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threadedComments/threadedComment2.xml" ContentType="application/vnd.ms-excel.threadedcomments+xml"/>
  <Override PartName="/xl/comments6.xml" ContentType="application/vnd.openxmlformats-officedocument.spreadsheetml.comments+xml"/>
  <Override PartName="/xl/threadedComments/threadedComment3.xml" ContentType="application/vnd.ms-excel.threadedcomments+xml"/>
  <Override PartName="/xl/comments7.xml" ContentType="application/vnd.openxmlformats-officedocument.spreadsheetml.comments+xml"/>
  <Override PartName="/xl/threadedComments/threadedComment4.xml" ContentType="application/vnd.ms-excel.threadedcomments+xml"/>
  <Override PartName="/xl/comments8.xml" ContentType="application/vnd.openxmlformats-officedocument.spreadsheetml.comments+xml"/>
  <Override PartName="/xl/threadedComments/threadedComment5.xml" ContentType="application/vnd.ms-excel.threadedcomments+xml"/>
  <Override PartName="/xl/comments9.xml" ContentType="application/vnd.openxmlformats-officedocument.spreadsheetml.comments+xml"/>
  <Override PartName="/xl/threadedComments/threadedComment6.xml" ContentType="application/vnd.ms-excel.threadedcomments+xml"/>
  <Override PartName="/xl/comments10.xml" ContentType="application/vnd.openxmlformats-officedocument.spreadsheetml.comments+xml"/>
  <Override PartName="/xl/threadedComments/threadedComment7.xml" ContentType="application/vnd.ms-excel.threadedcomments+xml"/>
  <Override PartName="/xl/comments11.xml" ContentType="application/vnd.openxmlformats-officedocument.spreadsheetml.comments+xml"/>
  <Override PartName="/xl/threadedComments/threadedComment8.xml" ContentType="application/vnd.ms-excel.threadedcomments+xml"/>
  <Override PartName="/xl/comments12.xml" ContentType="application/vnd.openxmlformats-officedocument.spreadsheetml.comments+xml"/>
  <Override PartName="/xl/threadedComments/threadedComment9.xml" ContentType="application/vnd.ms-excel.threadedcomments+xml"/>
  <Override PartName="/xl/comments13.xml" ContentType="application/vnd.openxmlformats-officedocument.spreadsheetml.comments+xml"/>
  <Override PartName="/xl/threadedComments/threadedComment10.xml" ContentType="application/vnd.ms-excel.threadedcomments+xml"/>
  <Override PartName="/xl/comments14.xml" ContentType="application/vnd.openxmlformats-officedocument.spreadsheetml.comments+xml"/>
  <Override PartName="/xl/threadedComments/threadedComment11.xml" ContentType="application/vnd.ms-excel.threadedcomments+xml"/>
  <Override PartName="/xl/comments15.xml" ContentType="application/vnd.openxmlformats-officedocument.spreadsheetml.comments+xml"/>
  <Override PartName="/xl/threadedComments/threadedComment12.xml" ContentType="application/vnd.ms-excel.threadedcomments+xml"/>
  <Override PartName="/xl/comments16.xml" ContentType="application/vnd.openxmlformats-officedocument.spreadsheetml.comments+xml"/>
  <Override PartName="/xl/threadedComments/threadedComment13.xml" ContentType="application/vnd.ms-excel.threadedcomments+xml"/>
  <Override PartName="/xl/comments17.xml" ContentType="application/vnd.openxmlformats-officedocument.spreadsheetml.comments+xml"/>
  <Override PartName="/xl/threadedComments/threadedComment14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filterPrivacy="1" codeName="ThisWorkbook" defaultThemeVersion="124226"/>
  <xr:revisionPtr revIDLastSave="0" documentId="8_{08A35406-D49F-465C-BBBD-9B619C3937EF}" xr6:coauthVersionLast="47" xr6:coauthVersionMax="47" xr10:uidLastSave="{00000000-0000-0000-0000-000000000000}"/>
  <bookViews>
    <workbookView xWindow="-120" yWindow="-120" windowWidth="29040" windowHeight="15720" tabRatio="824" activeTab="1" xr2:uid="{00000000-000D-0000-FFFF-FFFF00000000}"/>
  </bookViews>
  <sheets>
    <sheet name="Rate Changes" sheetId="30" r:id="rId1"/>
    <sheet name="Summary" sheetId="27" r:id="rId2"/>
    <sheet name="Revenue Proof Breakout" sheetId="20" r:id="rId3"/>
    <sheet name="Schedule G-1 Present Rates" sheetId="52" r:id="rId4"/>
    <sheet name="Schedule G-2 Proposed Rates" sheetId="53" r:id="rId5"/>
    <sheet name="G-3 COST OF SERVICE" sheetId="54" r:id="rId6"/>
    <sheet name="G-4 COST OF SERVICE" sheetId="55" r:id="rId7"/>
    <sheet name="G-5 Function Rate Base" sheetId="56" r:id="rId8"/>
    <sheet name="G-6 Function Expense" sheetId="57" r:id="rId9"/>
    <sheet name="G-6-1 Unit Cost" sheetId="58" r:id="rId10"/>
    <sheet name="G-7 Allocations" sheetId="59" r:id="rId11"/>
    <sheet name="Rev&amp;Expense" sheetId="60" r:id="rId12"/>
    <sheet name="Rate Base" sheetId="61" r:id="rId13"/>
    <sheet name="Function Allocators" sheetId="62" r:id="rId14"/>
    <sheet name="Functionalization RES" sheetId="63" r:id="rId15"/>
    <sheet name="Functionalization SMALL" sheetId="64" r:id="rId16"/>
    <sheet name="Functionalization LARGE" sheetId="65" r:id="rId17"/>
    <sheet name="Schedule H1" sheetId="14" r:id="rId18"/>
    <sheet name="Schedule H2" sheetId="13" r:id="rId19"/>
    <sheet name="Schedule H2-2" sheetId="11" r:id="rId20"/>
    <sheet name="Schedule H-3" sheetId="15" r:id="rId21"/>
    <sheet name="Lookup" sheetId="19" r:id="rId22"/>
    <sheet name="UNSG - ALL RATES" sheetId="24" r:id="rId23"/>
    <sheet name="UNSG- SOC Current" sheetId="21" r:id="rId24"/>
    <sheet name="UNSG Riders- Current" sheetId="22" r:id="rId25"/>
    <sheet name="PGA Calculation" sheetId="49" r:id="rId26"/>
    <sheet name="GRRES" sheetId="31" r:id="rId27"/>
    <sheet name="GRRESC" sheetId="32" r:id="rId28"/>
    <sheet name="GRCNG" sheetId="47" r:id="rId29"/>
    <sheet name="GGSVS" sheetId="36" r:id="rId30"/>
    <sheet name="GISVS" sheetId="37" r:id="rId31"/>
    <sheet name="GPSVS" sheetId="38" r:id="rId32"/>
    <sheet name="GGIRS" sheetId="39" r:id="rId33"/>
    <sheet name="GPCNGSV" sheetId="46" r:id="rId34"/>
    <sheet name="GGLVS" sheetId="43" r:id="rId35"/>
    <sheet name="GILVS" sheetId="44" r:id="rId36"/>
    <sheet name="GPLVS" sheetId="45" r:id="rId37"/>
    <sheet name="GTILVS" sheetId="50" r:id="rId38"/>
    <sheet name="GTNILVS" sheetId="51" r:id="rId39"/>
    <sheet name="GRRES Billed" sheetId="66" r:id="rId40"/>
    <sheet name="GRRESC Billed" sheetId="67" r:id="rId41"/>
    <sheet name="GGSVS Billed" sheetId="68" r:id="rId42"/>
    <sheet name="GGIRS Billed" sheetId="69" r:id="rId43"/>
    <sheet name="GISVS Billed" sheetId="70" r:id="rId44"/>
    <sheet name="GILVS Billed" sheetId="71" r:id="rId45"/>
    <sheet name="GGLVS Billed" sheetId="72" r:id="rId46"/>
    <sheet name="GPSVS Billed" sheetId="73" r:id="rId47"/>
    <sheet name="GPLVS Billed" sheetId="74" r:id="rId48"/>
    <sheet name="GTGLVS Billed" sheetId="75" r:id="rId49"/>
    <sheet name="GTILVS Billed" sheetId="76" r:id="rId50"/>
    <sheet name="GTPLVS Billed" sheetId="77" r:id="rId51"/>
    <sheet name="GTNGLVS Billed" sheetId="78" r:id="rId52"/>
    <sheet name="GTNILVS Billed" sheetId="79" r:id="rId53"/>
    <sheet name="GRRES Adjusted" sheetId="80" r:id="rId54"/>
    <sheet name="GRRESC Adjusted" sheetId="81" r:id="rId55"/>
    <sheet name="GGSVS Adjusted" sheetId="82" r:id="rId56"/>
    <sheet name="GGIRS Adjusted" sheetId="83" r:id="rId57"/>
    <sheet name="GGLVS Adjusted" sheetId="84" r:id="rId58"/>
    <sheet name="GISVS Adjusted" sheetId="85" r:id="rId59"/>
    <sheet name="GILVS Adjusted" sheetId="86" r:id="rId60"/>
    <sheet name="GPSVS Adjusted" sheetId="87" r:id="rId61"/>
    <sheet name="GPLVS Adjusted" sheetId="88" r:id="rId62"/>
    <sheet name="GTGLVS Adjusted" sheetId="89" r:id="rId63"/>
    <sheet name="GTPLVS Adjusted" sheetId="90" r:id="rId64"/>
    <sheet name="GTILVS Adjusted" sheetId="91" r:id="rId65"/>
    <sheet name="GTNGLVS Adjusted" sheetId="92" r:id="rId66"/>
    <sheet name="GTNILVS Adjusted" sheetId="93" r:id="rId67"/>
    <sheet name="GRRES Proposed" sheetId="94" r:id="rId68"/>
    <sheet name="GRRESC Proposed" sheetId="95" r:id="rId69"/>
    <sheet name="GGSVS Proposed" sheetId="96" r:id="rId70"/>
    <sheet name="GILVS Proposed" sheetId="97" r:id="rId71"/>
    <sheet name="GTILVS Proposed" sheetId="98" r:id="rId72"/>
    <sheet name="GTNILVS Proposed" sheetId="99" r:id="rId73"/>
    <sheet name="Rate Codes" sheetId="100" r:id="rId74"/>
  </sheets>
  <externalReferences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</externalReferences>
  <definedNames>
    <definedName name="\4">#REF!</definedName>
    <definedName name="\a" localSheetId="13">#REF!</definedName>
    <definedName name="\a" localSheetId="16">#REF!</definedName>
    <definedName name="\a" localSheetId="14">#REF!</definedName>
    <definedName name="\a" localSheetId="15">#REF!</definedName>
    <definedName name="\a" localSheetId="6">#REF!</definedName>
    <definedName name="\a" localSheetId="8">#REF!</definedName>
    <definedName name="\a" localSheetId="3">#REF!</definedName>
    <definedName name="\a" localSheetId="4">#REF!</definedName>
    <definedName name="\a">#REF!</definedName>
    <definedName name="\b" localSheetId="13">#REF!</definedName>
    <definedName name="\b" localSheetId="16">#REF!</definedName>
    <definedName name="\b" localSheetId="14">#REF!</definedName>
    <definedName name="\b" localSheetId="15">#REF!</definedName>
    <definedName name="\b" localSheetId="6">#REF!</definedName>
    <definedName name="\b" localSheetId="8">#REF!</definedName>
    <definedName name="\b" localSheetId="3">#REF!</definedName>
    <definedName name="\b" localSheetId="4">#REF!</definedName>
    <definedName name="\b">#REF!</definedName>
    <definedName name="\c" localSheetId="13">#REF!</definedName>
    <definedName name="\c" localSheetId="16">#REF!</definedName>
    <definedName name="\c" localSheetId="14">#REF!</definedName>
    <definedName name="\c" localSheetId="15">#REF!</definedName>
    <definedName name="\c" localSheetId="6">#REF!</definedName>
    <definedName name="\c" localSheetId="8">#REF!</definedName>
    <definedName name="\c" localSheetId="3">#REF!</definedName>
    <definedName name="\c" localSheetId="4">#REF!</definedName>
    <definedName name="\c">#REF!</definedName>
    <definedName name="\d" localSheetId="13">#REF!</definedName>
    <definedName name="\d" localSheetId="16">#REF!</definedName>
    <definedName name="\d" localSheetId="14">#REF!</definedName>
    <definedName name="\d" localSheetId="15">#REF!</definedName>
    <definedName name="\d" localSheetId="6">#REF!</definedName>
    <definedName name="\d" localSheetId="8">#REF!</definedName>
    <definedName name="\d" localSheetId="3">#REF!</definedName>
    <definedName name="\d" localSheetId="4">#REF!</definedName>
    <definedName name="\d">#REF!</definedName>
    <definedName name="\l" localSheetId="13">#REF!</definedName>
    <definedName name="\l" localSheetId="16">#REF!</definedName>
    <definedName name="\l" localSheetId="14">#REF!</definedName>
    <definedName name="\l" localSheetId="15">#REF!</definedName>
    <definedName name="\l" localSheetId="6">#REF!</definedName>
    <definedName name="\l" localSheetId="8">#REF!</definedName>
    <definedName name="\l" localSheetId="3">#REF!</definedName>
    <definedName name="\l" localSheetId="4">#REF!</definedName>
    <definedName name="\l">#REF!</definedName>
    <definedName name="\p" localSheetId="13">#REF!</definedName>
    <definedName name="\p" localSheetId="16">#REF!</definedName>
    <definedName name="\p" localSheetId="14">#REF!</definedName>
    <definedName name="\p" localSheetId="15">#REF!</definedName>
    <definedName name="\p" localSheetId="6">#REF!</definedName>
    <definedName name="\p" localSheetId="8">#REF!</definedName>
    <definedName name="\p" localSheetId="3">#REF!</definedName>
    <definedName name="\p" localSheetId="4">#REF!</definedName>
    <definedName name="\p">#REF!</definedName>
    <definedName name="\R">#REF!</definedName>
    <definedName name="\S">#REF!</definedName>
    <definedName name="\V">#REF!</definedName>
    <definedName name="\w" localSheetId="13">#REF!</definedName>
    <definedName name="\w" localSheetId="16">#REF!</definedName>
    <definedName name="\w" localSheetId="14">#REF!</definedName>
    <definedName name="\w" localSheetId="15">#REF!</definedName>
    <definedName name="\w" localSheetId="6">#REF!</definedName>
    <definedName name="\w" localSheetId="8">#REF!</definedName>
    <definedName name="\w" localSheetId="3">#REF!</definedName>
    <definedName name="\w" localSheetId="4">#REF!</definedName>
    <definedName name="\w">#REF!</definedName>
    <definedName name="___ROR1">#REF!</definedName>
    <definedName name="__act106">#REF!</definedName>
    <definedName name="__act114">#REF!</definedName>
    <definedName name="__C904R1">#REF!</definedName>
    <definedName name="__C904R3">#REF!</definedName>
    <definedName name="__C904R41">#REF!</definedName>
    <definedName name="__C904R42">#REF!</definedName>
    <definedName name="__C904R43">#REF!</definedName>
    <definedName name="__C904R51">#REF!</definedName>
    <definedName name="__C904R52">#REF!</definedName>
    <definedName name="__C904R53">#REF!</definedName>
    <definedName name="__C904T54">#REF!</definedName>
    <definedName name="__CDA912">#REF!</definedName>
    <definedName name="__CDA913">#REF!</definedName>
    <definedName name="__EXP520">#REF!</definedName>
    <definedName name="__EXP804">#REF!</definedName>
    <definedName name="__EXP820">#REF!</definedName>
    <definedName name="__EXP824">#REF!</definedName>
    <definedName name="__EXP856">#REF!</definedName>
    <definedName name="__EXP857">#REF!</definedName>
    <definedName name="__EXP864">#REF!</definedName>
    <definedName name="__EXP867">#REF!</definedName>
    <definedName name="__EXP871">#REF!</definedName>
    <definedName name="__EXP874">#REF!</definedName>
    <definedName name="__EXP87479">#REF!</definedName>
    <definedName name="__EXP875">#REF!</definedName>
    <definedName name="__EXP876">#REF!</definedName>
    <definedName name="__EXP877">#REF!</definedName>
    <definedName name="__EXP878">#REF!</definedName>
    <definedName name="__EXP879">#REF!</definedName>
    <definedName name="__EXP880">#REF!</definedName>
    <definedName name="__EXP881">#REF!</definedName>
    <definedName name="__EXP886">#REF!</definedName>
    <definedName name="__EXP887">#REF!</definedName>
    <definedName name="__EXP889">#REF!</definedName>
    <definedName name="__EXP890">#REF!</definedName>
    <definedName name="__EXP891">#REF!</definedName>
    <definedName name="__EXP892">#REF!</definedName>
    <definedName name="__EXP893">#REF!</definedName>
    <definedName name="__EXP894">#REF!</definedName>
    <definedName name="__EXP902">#REF!</definedName>
    <definedName name="__EXP9024">#REF!</definedName>
    <definedName name="__EXP903">#REF!</definedName>
    <definedName name="__EXP904">#REF!</definedName>
    <definedName name="__EXP905">#REF!</definedName>
    <definedName name="__EXP906">#REF!</definedName>
    <definedName name="__EXP908">#REF!</definedName>
    <definedName name="__EXP9089">#REF!</definedName>
    <definedName name="__EXP909">#REF!</definedName>
    <definedName name="__EXP910">#REF!</definedName>
    <definedName name="__EXP912">#REF!</definedName>
    <definedName name="__EXP913">#REF!</definedName>
    <definedName name="__EXP920">#REF!</definedName>
    <definedName name="__EXP921">#REF!</definedName>
    <definedName name="__EXP923">#REF!</definedName>
    <definedName name="__EXP924">#REF!</definedName>
    <definedName name="__EXP925">#REF!</definedName>
    <definedName name="__EXP926">#REF!</definedName>
    <definedName name="__EXP928">#REF!</definedName>
    <definedName name="__EXP930">#REF!</definedName>
    <definedName name="__EXP931">#REF!</definedName>
    <definedName name="__EXP932">#REF!</definedName>
    <definedName name="__OX5671">#REF!</definedName>
    <definedName name="__PLT302">#REF!</definedName>
    <definedName name="__PLT303">#REF!</definedName>
    <definedName name="__PLT365">#REF!</definedName>
    <definedName name="__PLT366">#REF!</definedName>
    <definedName name="__PLT367">#REF!</definedName>
    <definedName name="__PLT367376">#REF!</definedName>
    <definedName name="__PLT369">#REF!</definedName>
    <definedName name="__PLT374">#REF!</definedName>
    <definedName name="__PLT3741">#REF!</definedName>
    <definedName name="__PLT375">#REF!</definedName>
    <definedName name="__PLT376">#REF!</definedName>
    <definedName name="__PLT376380">#REF!</definedName>
    <definedName name="__PLT378">#REF!</definedName>
    <definedName name="__PLT37879">#REF!</definedName>
    <definedName name="__PLT379">#REF!</definedName>
    <definedName name="__PLT380">#REF!</definedName>
    <definedName name="__PLT381">#REF!</definedName>
    <definedName name="__PLT382">#REF!</definedName>
    <definedName name="__PLT38284">#REF!</definedName>
    <definedName name="__PLT383">#REF!</definedName>
    <definedName name="__PLT384">#REF!</definedName>
    <definedName name="__PLT385">#REF!</definedName>
    <definedName name="__PLT387">#REF!</definedName>
    <definedName name="__PLT389">#REF!</definedName>
    <definedName name="__PLT390">#REF!</definedName>
    <definedName name="__PLT391">#REF!</definedName>
    <definedName name="__PLT3911">#REF!</definedName>
    <definedName name="__PLT3912">#REF!</definedName>
    <definedName name="__PLT392">#REF!</definedName>
    <definedName name="__PLT393">#REF!</definedName>
    <definedName name="__PLT394">#REF!</definedName>
    <definedName name="__PLT395">#REF!</definedName>
    <definedName name="__PLT396">#REF!</definedName>
    <definedName name="__PLT397">#REF!</definedName>
    <definedName name="__PLT398">#REF!</definedName>
    <definedName name="__PLT399">#REF!</definedName>
    <definedName name="__ROR1">#REF!</definedName>
    <definedName name="__ROR2">#REF!</definedName>
    <definedName name="__ROR3">#REF!</definedName>
    <definedName name="__ROR4">#REF!</definedName>
    <definedName name="__ROW1">#REF!</definedName>
    <definedName name="_act106" localSheetId="13">#REF!</definedName>
    <definedName name="_act106" localSheetId="16">#REF!</definedName>
    <definedName name="_act106" localSheetId="14">#REF!</definedName>
    <definedName name="_act106" localSheetId="15">#REF!</definedName>
    <definedName name="_act106" localSheetId="6">#REF!</definedName>
    <definedName name="_act106" localSheetId="8">#REF!</definedName>
    <definedName name="_act106" localSheetId="3">#REF!</definedName>
    <definedName name="_act106" localSheetId="4">#REF!</definedName>
    <definedName name="_act106">#REF!</definedName>
    <definedName name="_act114" localSheetId="13">#REF!</definedName>
    <definedName name="_act114" localSheetId="16">#REF!</definedName>
    <definedName name="_act114" localSheetId="14">#REF!</definedName>
    <definedName name="_act114" localSheetId="15">#REF!</definedName>
    <definedName name="_act114" localSheetId="6">#REF!</definedName>
    <definedName name="_act114" localSheetId="8">#REF!</definedName>
    <definedName name="_act114" localSheetId="3">#REF!</definedName>
    <definedName name="_act114" localSheetId="4">#REF!</definedName>
    <definedName name="_act114">#REF!</definedName>
    <definedName name="_CDA912" localSheetId="13">#REF!</definedName>
    <definedName name="_CDA912" localSheetId="16">#REF!</definedName>
    <definedName name="_CDA912" localSheetId="14">#REF!</definedName>
    <definedName name="_CDA912" localSheetId="15">#REF!</definedName>
    <definedName name="_CDA912" localSheetId="6">#REF!</definedName>
    <definedName name="_CDA912" localSheetId="8">#REF!</definedName>
    <definedName name="_CDA912" localSheetId="3">#REF!</definedName>
    <definedName name="_CDA912" localSheetId="4">#REF!</definedName>
    <definedName name="_CDA912">#REF!</definedName>
    <definedName name="_CDA913" localSheetId="13">#REF!</definedName>
    <definedName name="_CDA913" localSheetId="16">#REF!</definedName>
    <definedName name="_CDA913" localSheetId="14">#REF!</definedName>
    <definedName name="_CDA913" localSheetId="15">#REF!</definedName>
    <definedName name="_CDA913" localSheetId="6">#REF!</definedName>
    <definedName name="_CDA913" localSheetId="8">#REF!</definedName>
    <definedName name="_CDA913" localSheetId="3">#REF!</definedName>
    <definedName name="_CDA913" localSheetId="4">#REF!</definedName>
    <definedName name="_CDA913">#REF!</definedName>
    <definedName name="_CUS01">#REF!</definedName>
    <definedName name="_CUS02">#REF!</definedName>
    <definedName name="_CUS03">#REF!</definedName>
    <definedName name="_CUS10">#REF!</definedName>
    <definedName name="_CUS11">#REF!</definedName>
    <definedName name="_CUS13">#REF!</definedName>
    <definedName name="_CUS21">#REF!</definedName>
    <definedName name="_EXP520" localSheetId="13">#REF!</definedName>
    <definedName name="_EXP520" localSheetId="16">#REF!</definedName>
    <definedName name="_EXP520" localSheetId="14">#REF!</definedName>
    <definedName name="_EXP520" localSheetId="15">#REF!</definedName>
    <definedName name="_EXP520" localSheetId="6">#REF!</definedName>
    <definedName name="_EXP520" localSheetId="8">#REF!</definedName>
    <definedName name="_EXP520" localSheetId="3">#REF!</definedName>
    <definedName name="_EXP520" localSheetId="4">#REF!</definedName>
    <definedName name="_EXP520">#REF!</definedName>
    <definedName name="_EXP804" localSheetId="13">#REF!</definedName>
    <definedName name="_EXP804" localSheetId="16">#REF!</definedName>
    <definedName name="_EXP804" localSheetId="14">#REF!</definedName>
    <definedName name="_EXP804" localSheetId="15">#REF!</definedName>
    <definedName name="_EXP804" localSheetId="6">#REF!</definedName>
    <definedName name="_EXP804" localSheetId="8">#REF!</definedName>
    <definedName name="_EXP804" localSheetId="3">#REF!</definedName>
    <definedName name="_EXP804" localSheetId="4">#REF!</definedName>
    <definedName name="_EXP804">#REF!</definedName>
    <definedName name="_EXP820" localSheetId="13">#REF!</definedName>
    <definedName name="_EXP820" localSheetId="16">#REF!</definedName>
    <definedName name="_EXP820" localSheetId="14">#REF!</definedName>
    <definedName name="_EXP820" localSheetId="15">#REF!</definedName>
    <definedName name="_EXP820" localSheetId="6">#REF!</definedName>
    <definedName name="_EXP820" localSheetId="8">#REF!</definedName>
    <definedName name="_EXP820" localSheetId="3">#REF!</definedName>
    <definedName name="_EXP820" localSheetId="4">#REF!</definedName>
    <definedName name="_EXP820">#REF!</definedName>
    <definedName name="_EXP824" localSheetId="13">#REF!</definedName>
    <definedName name="_EXP824" localSheetId="16">#REF!</definedName>
    <definedName name="_EXP824" localSheetId="14">#REF!</definedName>
    <definedName name="_EXP824" localSheetId="15">#REF!</definedName>
    <definedName name="_EXP824" localSheetId="6">#REF!</definedName>
    <definedName name="_EXP824" localSheetId="8">#REF!</definedName>
    <definedName name="_EXP824" localSheetId="3">#REF!</definedName>
    <definedName name="_EXP824" localSheetId="4">#REF!</definedName>
    <definedName name="_EXP824">#REF!</definedName>
    <definedName name="_EXP856" localSheetId="13">#REF!</definedName>
    <definedName name="_EXP856" localSheetId="16">#REF!</definedName>
    <definedName name="_EXP856" localSheetId="14">#REF!</definedName>
    <definedName name="_EXP856" localSheetId="15">#REF!</definedName>
    <definedName name="_EXP856" localSheetId="6">#REF!</definedName>
    <definedName name="_EXP856" localSheetId="8">#REF!</definedName>
    <definedName name="_EXP856" localSheetId="3">#REF!</definedName>
    <definedName name="_EXP856" localSheetId="4">#REF!</definedName>
    <definedName name="_EXP856">#REF!</definedName>
    <definedName name="_EXP857" localSheetId="13">#REF!</definedName>
    <definedName name="_EXP857" localSheetId="16">#REF!</definedName>
    <definedName name="_EXP857" localSheetId="14">#REF!</definedName>
    <definedName name="_EXP857" localSheetId="15">#REF!</definedName>
    <definedName name="_EXP857" localSheetId="6">#REF!</definedName>
    <definedName name="_EXP857" localSheetId="8">#REF!</definedName>
    <definedName name="_EXP857" localSheetId="3">#REF!</definedName>
    <definedName name="_EXP857" localSheetId="4">#REF!</definedName>
    <definedName name="_EXP857">#REF!</definedName>
    <definedName name="_EXP864" localSheetId="13">#REF!</definedName>
    <definedName name="_EXP864" localSheetId="16">#REF!</definedName>
    <definedName name="_EXP864" localSheetId="14">#REF!</definedName>
    <definedName name="_EXP864" localSheetId="15">#REF!</definedName>
    <definedName name="_EXP864" localSheetId="6">#REF!</definedName>
    <definedName name="_EXP864" localSheetId="8">#REF!</definedName>
    <definedName name="_EXP864" localSheetId="3">#REF!</definedName>
    <definedName name="_EXP864" localSheetId="4">#REF!</definedName>
    <definedName name="_EXP864">#REF!</definedName>
    <definedName name="_EXP867" localSheetId="13">#REF!</definedName>
    <definedName name="_EXP867" localSheetId="16">#REF!</definedName>
    <definedName name="_EXP867" localSheetId="14">#REF!</definedName>
    <definedName name="_EXP867" localSheetId="15">#REF!</definedName>
    <definedName name="_EXP867" localSheetId="6">#REF!</definedName>
    <definedName name="_EXP867" localSheetId="8">#REF!</definedName>
    <definedName name="_EXP867" localSheetId="3">#REF!</definedName>
    <definedName name="_EXP867" localSheetId="4">#REF!</definedName>
    <definedName name="_EXP867">#REF!</definedName>
    <definedName name="_EXP871" localSheetId="13">#REF!</definedName>
    <definedName name="_EXP871" localSheetId="16">#REF!</definedName>
    <definedName name="_EXP871" localSheetId="14">#REF!</definedName>
    <definedName name="_EXP871" localSheetId="15">#REF!</definedName>
    <definedName name="_EXP871" localSheetId="6">#REF!</definedName>
    <definedName name="_EXP871" localSheetId="8">#REF!</definedName>
    <definedName name="_EXP871" localSheetId="3">#REF!</definedName>
    <definedName name="_EXP871" localSheetId="4">#REF!</definedName>
    <definedName name="_EXP871">#REF!</definedName>
    <definedName name="_EXP874" localSheetId="13">#REF!</definedName>
    <definedName name="_EXP874" localSheetId="16">#REF!</definedName>
    <definedName name="_EXP874" localSheetId="14">#REF!</definedName>
    <definedName name="_EXP874" localSheetId="15">#REF!</definedName>
    <definedName name="_EXP874" localSheetId="6">#REF!</definedName>
    <definedName name="_EXP874" localSheetId="8">#REF!</definedName>
    <definedName name="_EXP874" localSheetId="3">#REF!</definedName>
    <definedName name="_EXP874" localSheetId="4">#REF!</definedName>
    <definedName name="_EXP874">#REF!</definedName>
    <definedName name="_EXP87479" localSheetId="13">#REF!</definedName>
    <definedName name="_EXP87479" localSheetId="16">#REF!</definedName>
    <definedName name="_EXP87479" localSheetId="14">#REF!</definedName>
    <definedName name="_EXP87479" localSheetId="15">#REF!</definedName>
    <definedName name="_EXP87479" localSheetId="6">#REF!</definedName>
    <definedName name="_EXP87479" localSheetId="8">#REF!</definedName>
    <definedName name="_EXP87479" localSheetId="3">#REF!</definedName>
    <definedName name="_EXP87479" localSheetId="4">#REF!</definedName>
    <definedName name="_EXP87479">#REF!</definedName>
    <definedName name="_EXP875" localSheetId="13">#REF!</definedName>
    <definedName name="_EXP875" localSheetId="16">#REF!</definedName>
    <definedName name="_EXP875" localSheetId="14">#REF!</definedName>
    <definedName name="_EXP875" localSheetId="15">#REF!</definedName>
    <definedName name="_EXP875" localSheetId="6">#REF!</definedName>
    <definedName name="_EXP875" localSheetId="8">#REF!</definedName>
    <definedName name="_EXP875" localSheetId="3">#REF!</definedName>
    <definedName name="_EXP875" localSheetId="4">#REF!</definedName>
    <definedName name="_EXP875">#REF!</definedName>
    <definedName name="_EXP876" localSheetId="13">#REF!</definedName>
    <definedName name="_EXP876" localSheetId="16">#REF!</definedName>
    <definedName name="_EXP876" localSheetId="14">#REF!</definedName>
    <definedName name="_EXP876" localSheetId="15">#REF!</definedName>
    <definedName name="_EXP876" localSheetId="6">#REF!</definedName>
    <definedName name="_EXP876" localSheetId="8">#REF!</definedName>
    <definedName name="_EXP876" localSheetId="3">#REF!</definedName>
    <definedName name="_EXP876" localSheetId="4">#REF!</definedName>
    <definedName name="_EXP876">#REF!</definedName>
    <definedName name="_EXP877" localSheetId="13">#REF!</definedName>
    <definedName name="_EXP877" localSheetId="16">#REF!</definedName>
    <definedName name="_EXP877" localSheetId="14">#REF!</definedName>
    <definedName name="_EXP877" localSheetId="15">#REF!</definedName>
    <definedName name="_EXP877" localSheetId="6">#REF!</definedName>
    <definedName name="_EXP877" localSheetId="8">#REF!</definedName>
    <definedName name="_EXP877" localSheetId="3">#REF!</definedName>
    <definedName name="_EXP877" localSheetId="4">#REF!</definedName>
    <definedName name="_EXP877">#REF!</definedName>
    <definedName name="_EXP878" localSheetId="13">#REF!</definedName>
    <definedName name="_EXP878" localSheetId="16">#REF!</definedName>
    <definedName name="_EXP878" localSheetId="14">#REF!</definedName>
    <definedName name="_EXP878" localSheetId="15">#REF!</definedName>
    <definedName name="_EXP878" localSheetId="6">#REF!</definedName>
    <definedName name="_EXP878" localSheetId="8">#REF!</definedName>
    <definedName name="_EXP878" localSheetId="3">#REF!</definedName>
    <definedName name="_EXP878" localSheetId="4">#REF!</definedName>
    <definedName name="_EXP878">#REF!</definedName>
    <definedName name="_EXP879" localSheetId="13">#REF!</definedName>
    <definedName name="_EXP879" localSheetId="16">#REF!</definedName>
    <definedName name="_EXP879" localSheetId="14">#REF!</definedName>
    <definedName name="_EXP879" localSheetId="15">#REF!</definedName>
    <definedName name="_EXP879" localSheetId="6">#REF!</definedName>
    <definedName name="_EXP879" localSheetId="8">#REF!</definedName>
    <definedName name="_EXP879" localSheetId="3">#REF!</definedName>
    <definedName name="_EXP879" localSheetId="4">#REF!</definedName>
    <definedName name="_EXP879">#REF!</definedName>
    <definedName name="_EXP880" localSheetId="13">#REF!</definedName>
    <definedName name="_EXP880" localSheetId="16">#REF!</definedName>
    <definedName name="_EXP880" localSheetId="14">#REF!</definedName>
    <definedName name="_EXP880" localSheetId="15">#REF!</definedName>
    <definedName name="_EXP880" localSheetId="6">#REF!</definedName>
    <definedName name="_EXP880" localSheetId="8">#REF!</definedName>
    <definedName name="_EXP880" localSheetId="3">#REF!</definedName>
    <definedName name="_EXP880" localSheetId="4">#REF!</definedName>
    <definedName name="_EXP880">#REF!</definedName>
    <definedName name="_EXP881" localSheetId="13">#REF!</definedName>
    <definedName name="_EXP881" localSheetId="16">#REF!</definedName>
    <definedName name="_EXP881" localSheetId="14">#REF!</definedName>
    <definedName name="_EXP881" localSheetId="15">#REF!</definedName>
    <definedName name="_EXP881" localSheetId="6">#REF!</definedName>
    <definedName name="_EXP881" localSheetId="8">#REF!</definedName>
    <definedName name="_EXP881" localSheetId="3">#REF!</definedName>
    <definedName name="_EXP881" localSheetId="4">#REF!</definedName>
    <definedName name="_EXP881">#REF!</definedName>
    <definedName name="_EXP886" localSheetId="13">#REF!</definedName>
    <definedName name="_EXP886" localSheetId="16">#REF!</definedName>
    <definedName name="_EXP886" localSheetId="14">#REF!</definedName>
    <definedName name="_EXP886" localSheetId="15">#REF!</definedName>
    <definedName name="_EXP886" localSheetId="6">#REF!</definedName>
    <definedName name="_EXP886" localSheetId="8">#REF!</definedName>
    <definedName name="_EXP886" localSheetId="3">#REF!</definedName>
    <definedName name="_EXP886" localSheetId="4">#REF!</definedName>
    <definedName name="_EXP886">#REF!</definedName>
    <definedName name="_EXP887" localSheetId="13">#REF!</definedName>
    <definedName name="_EXP887" localSheetId="16">#REF!</definedName>
    <definedName name="_EXP887" localSheetId="14">#REF!</definedName>
    <definedName name="_EXP887" localSheetId="15">#REF!</definedName>
    <definedName name="_EXP887" localSheetId="6">#REF!</definedName>
    <definedName name="_EXP887" localSheetId="8">#REF!</definedName>
    <definedName name="_EXP887" localSheetId="3">#REF!</definedName>
    <definedName name="_EXP887" localSheetId="4">#REF!</definedName>
    <definedName name="_EXP887">#REF!</definedName>
    <definedName name="_EXP889" localSheetId="13">#REF!</definedName>
    <definedName name="_EXP889" localSheetId="16">#REF!</definedName>
    <definedName name="_EXP889" localSheetId="14">#REF!</definedName>
    <definedName name="_EXP889" localSheetId="15">#REF!</definedName>
    <definedName name="_EXP889" localSheetId="6">#REF!</definedName>
    <definedName name="_EXP889" localSheetId="8">#REF!</definedName>
    <definedName name="_EXP889" localSheetId="3">#REF!</definedName>
    <definedName name="_EXP889" localSheetId="4">#REF!</definedName>
    <definedName name="_EXP889">#REF!</definedName>
    <definedName name="_EXP890" localSheetId="13">#REF!</definedName>
    <definedName name="_EXP890" localSheetId="16">#REF!</definedName>
    <definedName name="_EXP890" localSheetId="14">#REF!</definedName>
    <definedName name="_EXP890" localSheetId="15">#REF!</definedName>
    <definedName name="_EXP890" localSheetId="6">#REF!</definedName>
    <definedName name="_EXP890" localSheetId="8">#REF!</definedName>
    <definedName name="_EXP890" localSheetId="3">#REF!</definedName>
    <definedName name="_EXP890" localSheetId="4">#REF!</definedName>
    <definedName name="_EXP890">#REF!</definedName>
    <definedName name="_EXP891" localSheetId="13">#REF!</definedName>
    <definedName name="_EXP891" localSheetId="16">#REF!</definedName>
    <definedName name="_EXP891" localSheetId="14">#REF!</definedName>
    <definedName name="_EXP891" localSheetId="15">#REF!</definedName>
    <definedName name="_EXP891" localSheetId="6">#REF!</definedName>
    <definedName name="_EXP891" localSheetId="8">#REF!</definedName>
    <definedName name="_EXP891" localSheetId="3">#REF!</definedName>
    <definedName name="_EXP891" localSheetId="4">#REF!</definedName>
    <definedName name="_EXP891">#REF!</definedName>
    <definedName name="_EXP892" localSheetId="13">#REF!</definedName>
    <definedName name="_EXP892" localSheetId="16">#REF!</definedName>
    <definedName name="_EXP892" localSheetId="14">#REF!</definedName>
    <definedName name="_EXP892" localSheetId="15">#REF!</definedName>
    <definedName name="_EXP892" localSheetId="6">#REF!</definedName>
    <definedName name="_EXP892" localSheetId="8">#REF!</definedName>
    <definedName name="_EXP892" localSheetId="3">#REF!</definedName>
    <definedName name="_EXP892" localSheetId="4">#REF!</definedName>
    <definedName name="_EXP892">#REF!</definedName>
    <definedName name="_EXP893" localSheetId="13">#REF!</definedName>
    <definedName name="_EXP893" localSheetId="16">#REF!</definedName>
    <definedName name="_EXP893" localSheetId="14">#REF!</definedName>
    <definedName name="_EXP893" localSheetId="15">#REF!</definedName>
    <definedName name="_EXP893" localSheetId="6">#REF!</definedName>
    <definedName name="_EXP893" localSheetId="8">#REF!</definedName>
    <definedName name="_EXP893" localSheetId="3">#REF!</definedName>
    <definedName name="_EXP893" localSheetId="4">#REF!</definedName>
    <definedName name="_EXP893">#REF!</definedName>
    <definedName name="_EXP894" localSheetId="13">#REF!</definedName>
    <definedName name="_EXP894" localSheetId="16">#REF!</definedName>
    <definedName name="_EXP894" localSheetId="14">#REF!</definedName>
    <definedName name="_EXP894" localSheetId="15">#REF!</definedName>
    <definedName name="_EXP894" localSheetId="6">#REF!</definedName>
    <definedName name="_EXP894" localSheetId="8">#REF!</definedName>
    <definedName name="_EXP894" localSheetId="3">#REF!</definedName>
    <definedName name="_EXP894" localSheetId="4">#REF!</definedName>
    <definedName name="_EXP894">#REF!</definedName>
    <definedName name="_EXP902" localSheetId="13">#REF!</definedName>
    <definedName name="_EXP902" localSheetId="16">#REF!</definedName>
    <definedName name="_EXP902" localSheetId="14">#REF!</definedName>
    <definedName name="_EXP902" localSheetId="15">#REF!</definedName>
    <definedName name="_EXP902" localSheetId="6">#REF!</definedName>
    <definedName name="_EXP902" localSheetId="8">#REF!</definedName>
    <definedName name="_EXP902" localSheetId="3">#REF!</definedName>
    <definedName name="_EXP902" localSheetId="4">#REF!</definedName>
    <definedName name="_EXP902">#REF!</definedName>
    <definedName name="_EXP9024" localSheetId="13">#REF!</definedName>
    <definedName name="_EXP9024" localSheetId="16">#REF!</definedName>
    <definedName name="_EXP9024" localSheetId="14">#REF!</definedName>
    <definedName name="_EXP9024" localSheetId="15">#REF!</definedName>
    <definedName name="_EXP9024" localSheetId="6">#REF!</definedName>
    <definedName name="_EXP9024" localSheetId="8">#REF!</definedName>
    <definedName name="_EXP9024" localSheetId="3">#REF!</definedName>
    <definedName name="_EXP9024" localSheetId="4">#REF!</definedName>
    <definedName name="_EXP9024">#REF!</definedName>
    <definedName name="_EXP903" localSheetId="13">#REF!</definedName>
    <definedName name="_EXP903" localSheetId="16">#REF!</definedName>
    <definedName name="_EXP903" localSheetId="14">#REF!</definedName>
    <definedName name="_EXP903" localSheetId="15">#REF!</definedName>
    <definedName name="_EXP903" localSheetId="6">#REF!</definedName>
    <definedName name="_EXP903" localSheetId="8">#REF!</definedName>
    <definedName name="_EXP903" localSheetId="3">#REF!</definedName>
    <definedName name="_EXP903" localSheetId="4">#REF!</definedName>
    <definedName name="_EXP903">#REF!</definedName>
    <definedName name="_EXP904" localSheetId="13">#REF!</definedName>
    <definedName name="_EXP904" localSheetId="16">#REF!</definedName>
    <definedName name="_EXP904" localSheetId="14">#REF!</definedName>
    <definedName name="_EXP904" localSheetId="15">#REF!</definedName>
    <definedName name="_EXP904" localSheetId="6">#REF!</definedName>
    <definedName name="_EXP904" localSheetId="8">#REF!</definedName>
    <definedName name="_EXP904" localSheetId="3">#REF!</definedName>
    <definedName name="_EXP904" localSheetId="4">#REF!</definedName>
    <definedName name="_EXP904">#REF!</definedName>
    <definedName name="_EXP905" localSheetId="13">#REF!</definedName>
    <definedName name="_EXP905" localSheetId="16">#REF!</definedName>
    <definedName name="_EXP905" localSheetId="14">#REF!</definedName>
    <definedName name="_EXP905" localSheetId="15">#REF!</definedName>
    <definedName name="_EXP905" localSheetId="6">#REF!</definedName>
    <definedName name="_EXP905" localSheetId="8">#REF!</definedName>
    <definedName name="_EXP905" localSheetId="3">#REF!</definedName>
    <definedName name="_EXP905" localSheetId="4">#REF!</definedName>
    <definedName name="_EXP905">#REF!</definedName>
    <definedName name="_EXP906" localSheetId="13">#REF!</definedName>
    <definedName name="_EXP906" localSheetId="16">#REF!</definedName>
    <definedName name="_EXP906" localSheetId="14">#REF!</definedName>
    <definedName name="_EXP906" localSheetId="15">#REF!</definedName>
    <definedName name="_EXP906" localSheetId="6">#REF!</definedName>
    <definedName name="_EXP906" localSheetId="8">#REF!</definedName>
    <definedName name="_EXP906" localSheetId="3">#REF!</definedName>
    <definedName name="_EXP906" localSheetId="4">#REF!</definedName>
    <definedName name="_EXP906">#REF!</definedName>
    <definedName name="_EXP908" localSheetId="13">#REF!</definedName>
    <definedName name="_EXP908" localSheetId="16">#REF!</definedName>
    <definedName name="_EXP908" localSheetId="14">#REF!</definedName>
    <definedName name="_EXP908" localSheetId="15">#REF!</definedName>
    <definedName name="_EXP908" localSheetId="6">#REF!</definedName>
    <definedName name="_EXP908" localSheetId="8">#REF!</definedName>
    <definedName name="_EXP908" localSheetId="3">#REF!</definedName>
    <definedName name="_EXP908" localSheetId="4">#REF!</definedName>
    <definedName name="_EXP908">#REF!</definedName>
    <definedName name="_EXP9089" localSheetId="13">#REF!</definedName>
    <definedName name="_EXP9089" localSheetId="16">#REF!</definedName>
    <definedName name="_EXP9089" localSheetId="14">#REF!</definedName>
    <definedName name="_EXP9089" localSheetId="15">#REF!</definedName>
    <definedName name="_EXP9089" localSheetId="6">#REF!</definedName>
    <definedName name="_EXP9089" localSheetId="8">#REF!</definedName>
    <definedName name="_EXP9089" localSheetId="3">#REF!</definedName>
    <definedName name="_EXP9089" localSheetId="4">#REF!</definedName>
    <definedName name="_EXP9089">#REF!</definedName>
    <definedName name="_EXP909" localSheetId="13">#REF!</definedName>
    <definedName name="_EXP909" localSheetId="16">#REF!</definedName>
    <definedName name="_EXP909" localSheetId="14">#REF!</definedName>
    <definedName name="_EXP909" localSheetId="15">#REF!</definedName>
    <definedName name="_EXP909" localSheetId="6">#REF!</definedName>
    <definedName name="_EXP909" localSheetId="8">#REF!</definedName>
    <definedName name="_EXP909" localSheetId="3">#REF!</definedName>
    <definedName name="_EXP909" localSheetId="4">#REF!</definedName>
    <definedName name="_EXP909">#REF!</definedName>
    <definedName name="_EXP910" localSheetId="13">#REF!</definedName>
    <definedName name="_EXP910" localSheetId="16">#REF!</definedName>
    <definedName name="_EXP910" localSheetId="14">#REF!</definedName>
    <definedName name="_EXP910" localSheetId="15">#REF!</definedName>
    <definedName name="_EXP910" localSheetId="6">#REF!</definedName>
    <definedName name="_EXP910" localSheetId="8">#REF!</definedName>
    <definedName name="_EXP910" localSheetId="3">#REF!</definedName>
    <definedName name="_EXP910" localSheetId="4">#REF!</definedName>
    <definedName name="_EXP910">#REF!</definedName>
    <definedName name="_EXP912" localSheetId="13">#REF!</definedName>
    <definedName name="_EXP912" localSheetId="16">#REF!</definedName>
    <definedName name="_EXP912" localSheetId="14">#REF!</definedName>
    <definedName name="_EXP912" localSheetId="15">#REF!</definedName>
    <definedName name="_EXP912" localSheetId="6">#REF!</definedName>
    <definedName name="_EXP912" localSheetId="8">#REF!</definedName>
    <definedName name="_EXP912" localSheetId="3">#REF!</definedName>
    <definedName name="_EXP912" localSheetId="4">#REF!</definedName>
    <definedName name="_EXP912">#REF!</definedName>
    <definedName name="_EXP913" localSheetId="13">#REF!</definedName>
    <definedName name="_EXP913" localSheetId="16">#REF!</definedName>
    <definedName name="_EXP913" localSheetId="14">#REF!</definedName>
    <definedName name="_EXP913" localSheetId="15">#REF!</definedName>
    <definedName name="_EXP913" localSheetId="6">#REF!</definedName>
    <definedName name="_EXP913" localSheetId="8">#REF!</definedName>
    <definedName name="_EXP913" localSheetId="3">#REF!</definedName>
    <definedName name="_EXP913" localSheetId="4">#REF!</definedName>
    <definedName name="_EXP913">#REF!</definedName>
    <definedName name="_EXP920" localSheetId="13">#REF!</definedName>
    <definedName name="_EXP920" localSheetId="16">#REF!</definedName>
    <definedName name="_EXP920" localSheetId="14">#REF!</definedName>
    <definedName name="_EXP920" localSheetId="15">#REF!</definedName>
    <definedName name="_EXP920" localSheetId="6">#REF!</definedName>
    <definedName name="_EXP920" localSheetId="8">#REF!</definedName>
    <definedName name="_EXP920" localSheetId="3">#REF!</definedName>
    <definedName name="_EXP920" localSheetId="4">#REF!</definedName>
    <definedName name="_EXP920">#REF!</definedName>
    <definedName name="_EXP921" localSheetId="13">#REF!</definedName>
    <definedName name="_EXP921" localSheetId="16">#REF!</definedName>
    <definedName name="_EXP921" localSheetId="14">#REF!</definedName>
    <definedName name="_EXP921" localSheetId="15">#REF!</definedName>
    <definedName name="_EXP921" localSheetId="6">#REF!</definedName>
    <definedName name="_EXP921" localSheetId="8">#REF!</definedName>
    <definedName name="_EXP921" localSheetId="3">#REF!</definedName>
    <definedName name="_EXP921" localSheetId="4">#REF!</definedName>
    <definedName name="_EXP921">#REF!</definedName>
    <definedName name="_EXP923" localSheetId="13">#REF!</definedName>
    <definedName name="_EXP923" localSheetId="16">#REF!</definedName>
    <definedName name="_EXP923" localSheetId="14">#REF!</definedName>
    <definedName name="_EXP923" localSheetId="15">#REF!</definedName>
    <definedName name="_EXP923" localSheetId="6">#REF!</definedName>
    <definedName name="_EXP923" localSheetId="8">#REF!</definedName>
    <definedName name="_EXP923" localSheetId="3">#REF!</definedName>
    <definedName name="_EXP923" localSheetId="4">#REF!</definedName>
    <definedName name="_EXP923">#REF!</definedName>
    <definedName name="_EXP924" localSheetId="13">#REF!</definedName>
    <definedName name="_EXP924" localSheetId="16">#REF!</definedName>
    <definedName name="_EXP924" localSheetId="14">#REF!</definedName>
    <definedName name="_EXP924" localSheetId="15">#REF!</definedName>
    <definedName name="_EXP924" localSheetId="6">#REF!</definedName>
    <definedName name="_EXP924" localSheetId="8">#REF!</definedName>
    <definedName name="_EXP924" localSheetId="3">#REF!</definedName>
    <definedName name="_EXP924" localSheetId="4">#REF!</definedName>
    <definedName name="_EXP924">#REF!</definedName>
    <definedName name="_EXP925" localSheetId="13">#REF!</definedName>
    <definedName name="_EXP925" localSheetId="16">#REF!</definedName>
    <definedName name="_EXP925" localSheetId="14">#REF!</definedName>
    <definedName name="_EXP925" localSheetId="15">#REF!</definedName>
    <definedName name="_EXP925" localSheetId="6">#REF!</definedName>
    <definedName name="_EXP925" localSheetId="8">#REF!</definedName>
    <definedName name="_EXP925" localSheetId="3">#REF!</definedName>
    <definedName name="_EXP925" localSheetId="4">#REF!</definedName>
    <definedName name="_EXP925">#REF!</definedName>
    <definedName name="_EXP926" localSheetId="13">#REF!</definedName>
    <definedName name="_EXP926" localSheetId="16">#REF!</definedName>
    <definedName name="_EXP926" localSheetId="14">#REF!</definedName>
    <definedName name="_EXP926" localSheetId="15">#REF!</definedName>
    <definedName name="_EXP926" localSheetId="6">#REF!</definedName>
    <definedName name="_EXP926" localSheetId="8">#REF!</definedName>
    <definedName name="_EXP926" localSheetId="3">#REF!</definedName>
    <definedName name="_EXP926" localSheetId="4">#REF!</definedName>
    <definedName name="_EXP926">#REF!</definedName>
    <definedName name="_EXP928" localSheetId="13">#REF!</definedName>
    <definedName name="_EXP928" localSheetId="16">#REF!</definedName>
    <definedName name="_EXP928" localSheetId="14">#REF!</definedName>
    <definedName name="_EXP928" localSheetId="15">#REF!</definedName>
    <definedName name="_EXP928" localSheetId="6">#REF!</definedName>
    <definedName name="_EXP928" localSheetId="8">#REF!</definedName>
    <definedName name="_EXP928" localSheetId="3">#REF!</definedName>
    <definedName name="_EXP928" localSheetId="4">#REF!</definedName>
    <definedName name="_EXP928">#REF!</definedName>
    <definedName name="_EXP930" localSheetId="13">#REF!</definedName>
    <definedName name="_EXP930" localSheetId="16">#REF!</definedName>
    <definedName name="_EXP930" localSheetId="14">#REF!</definedName>
    <definedName name="_EXP930" localSheetId="15">#REF!</definedName>
    <definedName name="_EXP930" localSheetId="6">#REF!</definedName>
    <definedName name="_EXP930" localSheetId="8">#REF!</definedName>
    <definedName name="_EXP930" localSheetId="3">#REF!</definedName>
    <definedName name="_EXP930" localSheetId="4">#REF!</definedName>
    <definedName name="_EXP930">#REF!</definedName>
    <definedName name="_EXP931" localSheetId="13">#REF!</definedName>
    <definedName name="_EXP931" localSheetId="16">#REF!</definedName>
    <definedName name="_EXP931" localSheetId="14">#REF!</definedName>
    <definedName name="_EXP931" localSheetId="15">#REF!</definedName>
    <definedName name="_EXP931" localSheetId="6">#REF!</definedName>
    <definedName name="_EXP931" localSheetId="8">#REF!</definedName>
    <definedName name="_EXP931" localSheetId="3">#REF!</definedName>
    <definedName name="_EXP931" localSheetId="4">#REF!</definedName>
    <definedName name="_EXP931">#REF!</definedName>
    <definedName name="_EXP932" localSheetId="13">#REF!</definedName>
    <definedName name="_EXP932" localSheetId="16">#REF!</definedName>
    <definedName name="_EXP932" localSheetId="14">#REF!</definedName>
    <definedName name="_EXP932" localSheetId="15">#REF!</definedName>
    <definedName name="_EXP932" localSheetId="6">#REF!</definedName>
    <definedName name="_EXP932" localSheetId="8">#REF!</definedName>
    <definedName name="_EXP932" localSheetId="3">#REF!</definedName>
    <definedName name="_EXP932" localSheetId="4">#REF!</definedName>
    <definedName name="_EXP932">#REF!</definedName>
    <definedName name="_Fill" localSheetId="32" hidden="1">#REF!</definedName>
    <definedName name="_Fill" localSheetId="34" hidden="1">#REF!</definedName>
    <definedName name="_Fill" localSheetId="29" hidden="1">#REF!</definedName>
    <definedName name="_Fill" localSheetId="35" hidden="1">#REF!</definedName>
    <definedName name="_Fill" localSheetId="30" hidden="1">#REF!</definedName>
    <definedName name="_Fill" localSheetId="33" hidden="1">#REF!</definedName>
    <definedName name="_Fill" localSheetId="36" hidden="1">#REF!</definedName>
    <definedName name="_Fill" localSheetId="31" hidden="1">#REF!</definedName>
    <definedName name="_Fill" localSheetId="28" hidden="1">#REF!</definedName>
    <definedName name="_Fill" localSheetId="26" hidden="1">#REF!</definedName>
    <definedName name="_Fill" localSheetId="27" hidden="1">#REF!</definedName>
    <definedName name="_Fill" localSheetId="37" hidden="1">#REF!</definedName>
    <definedName name="_Fill" localSheetId="38" hidden="1">#REF!</definedName>
    <definedName name="_Fill" localSheetId="0" hidden="1">#REF!</definedName>
    <definedName name="_Fill" localSheetId="2" hidden="1">#REF!</definedName>
    <definedName name="_Fill" localSheetId="17" hidden="1">#REF!</definedName>
    <definedName name="_Fill" localSheetId="18" hidden="1">#REF!</definedName>
    <definedName name="_Fill" localSheetId="19" hidden="1">#REF!</definedName>
    <definedName name="_Fill" localSheetId="20" hidden="1">#REF!</definedName>
    <definedName name="_Fill" hidden="1">#REF!</definedName>
    <definedName name="_xlnm._FilterDatabase" localSheetId="12" hidden="1">'Rate Base'!$G$5:$G$104</definedName>
    <definedName name="_xlnm._FilterDatabase" localSheetId="73" hidden="1">'Rate Codes'!$B$1:$D$45</definedName>
    <definedName name="_xlnm._FilterDatabase" localSheetId="2" hidden="1">'Revenue Proof Breakout'!$A$5:$AE$509</definedName>
    <definedName name="_xlnm._FilterDatabase" localSheetId="4" hidden="1">'Schedule G-2 Proposed Rates'!$I$32:$I$32</definedName>
    <definedName name="_xlnm._FilterDatabase" localSheetId="20" hidden="1">'Schedule H-3'!$A$3:$O$52</definedName>
    <definedName name="_xlnm._FilterDatabase" localSheetId="22" hidden="1">'UNSG - ALL RATES'!$A$2:$BQ$41</definedName>
    <definedName name="_Key1" localSheetId="32" hidden="1">#REF!</definedName>
    <definedName name="_Key1" localSheetId="34" hidden="1">#REF!</definedName>
    <definedName name="_Key1" localSheetId="29" hidden="1">#REF!</definedName>
    <definedName name="_Key1" localSheetId="35" hidden="1">#REF!</definedName>
    <definedName name="_Key1" localSheetId="30" hidden="1">#REF!</definedName>
    <definedName name="_Key1" localSheetId="33" hidden="1">#REF!</definedName>
    <definedName name="_Key1" localSheetId="36" hidden="1">#REF!</definedName>
    <definedName name="_Key1" localSheetId="31" hidden="1">#REF!</definedName>
    <definedName name="_Key1" localSheetId="28" hidden="1">#REF!</definedName>
    <definedName name="_Key1" localSheetId="26" hidden="1">#REF!</definedName>
    <definedName name="_Key1" localSheetId="27" hidden="1">#REF!</definedName>
    <definedName name="_Key1" localSheetId="37" hidden="1">#REF!</definedName>
    <definedName name="_Key1" localSheetId="38" hidden="1">#REF!</definedName>
    <definedName name="_Key1" localSheetId="2" hidden="1">#REF!</definedName>
    <definedName name="_Key1" localSheetId="17" hidden="1">#REF!</definedName>
    <definedName name="_Key1" localSheetId="18" hidden="1">#REF!</definedName>
    <definedName name="_Key1" localSheetId="19" hidden="1">#REF!</definedName>
    <definedName name="_Key1" localSheetId="20" hidden="1">#REF!</definedName>
    <definedName name="_Key1" hidden="1">#REF!</definedName>
    <definedName name="_Order1" hidden="1">255</definedName>
    <definedName name="_PLT302" localSheetId="13">#REF!</definedName>
    <definedName name="_PLT302" localSheetId="16">#REF!</definedName>
    <definedName name="_PLT302" localSheetId="14">#REF!</definedName>
    <definedName name="_PLT302" localSheetId="15">#REF!</definedName>
    <definedName name="_PLT302" localSheetId="6">#REF!</definedName>
    <definedName name="_PLT302" localSheetId="8">#REF!</definedName>
    <definedName name="_PLT302" localSheetId="3">#REF!</definedName>
    <definedName name="_PLT302" localSheetId="4">#REF!</definedName>
    <definedName name="_PLT302">#REF!</definedName>
    <definedName name="_PLT303" localSheetId="13">#REF!</definedName>
    <definedName name="_PLT303" localSheetId="16">#REF!</definedName>
    <definedName name="_PLT303" localSheetId="14">#REF!</definedName>
    <definedName name="_PLT303" localSheetId="15">#REF!</definedName>
    <definedName name="_PLT303" localSheetId="6">#REF!</definedName>
    <definedName name="_PLT303" localSheetId="8">#REF!</definedName>
    <definedName name="_PLT303" localSheetId="3">#REF!</definedName>
    <definedName name="_PLT303" localSheetId="4">#REF!</definedName>
    <definedName name="_PLT303">#REF!</definedName>
    <definedName name="_PLT365" localSheetId="13">#REF!</definedName>
    <definedName name="_PLT365" localSheetId="16">#REF!</definedName>
    <definedName name="_PLT365" localSheetId="14">#REF!</definedName>
    <definedName name="_PLT365" localSheetId="15">#REF!</definedName>
    <definedName name="_PLT365" localSheetId="6">#REF!</definedName>
    <definedName name="_PLT365" localSheetId="8">#REF!</definedName>
    <definedName name="_PLT365" localSheetId="3">#REF!</definedName>
    <definedName name="_PLT365" localSheetId="4">#REF!</definedName>
    <definedName name="_PLT365">#REF!</definedName>
    <definedName name="_PLT366" localSheetId="13">#REF!</definedName>
    <definedName name="_PLT366" localSheetId="16">#REF!</definedName>
    <definedName name="_PLT366" localSheetId="14">#REF!</definedName>
    <definedName name="_PLT366" localSheetId="15">#REF!</definedName>
    <definedName name="_PLT366" localSheetId="6">#REF!</definedName>
    <definedName name="_PLT366" localSheetId="8">#REF!</definedName>
    <definedName name="_PLT366" localSheetId="3">#REF!</definedName>
    <definedName name="_PLT366" localSheetId="4">#REF!</definedName>
    <definedName name="_PLT366">#REF!</definedName>
    <definedName name="_PLT367" localSheetId="13">#REF!</definedName>
    <definedName name="_PLT367" localSheetId="16">#REF!</definedName>
    <definedName name="_PLT367" localSheetId="14">#REF!</definedName>
    <definedName name="_PLT367" localSheetId="15">#REF!</definedName>
    <definedName name="_PLT367" localSheetId="6">#REF!</definedName>
    <definedName name="_PLT367" localSheetId="8">#REF!</definedName>
    <definedName name="_PLT367" localSheetId="3">#REF!</definedName>
    <definedName name="_PLT367" localSheetId="4">#REF!</definedName>
    <definedName name="_PLT367">#REF!</definedName>
    <definedName name="_PLT367376" localSheetId="13">#REF!</definedName>
    <definedName name="_PLT367376" localSheetId="16">#REF!</definedName>
    <definedName name="_PLT367376" localSheetId="14">#REF!</definedName>
    <definedName name="_PLT367376" localSheetId="15">#REF!</definedName>
    <definedName name="_PLT367376" localSheetId="6">#REF!</definedName>
    <definedName name="_PLT367376" localSheetId="8">#REF!</definedName>
    <definedName name="_PLT367376" localSheetId="3">#REF!</definedName>
    <definedName name="_PLT367376" localSheetId="4">#REF!</definedName>
    <definedName name="_PLT367376">#REF!</definedName>
    <definedName name="_PLT369" localSheetId="13">#REF!</definedName>
    <definedName name="_PLT369" localSheetId="16">#REF!</definedName>
    <definedName name="_PLT369" localSheetId="14">#REF!</definedName>
    <definedName name="_PLT369" localSheetId="15">#REF!</definedName>
    <definedName name="_PLT369" localSheetId="6">#REF!</definedName>
    <definedName name="_PLT369" localSheetId="8">#REF!</definedName>
    <definedName name="_PLT369" localSheetId="3">#REF!</definedName>
    <definedName name="_PLT369" localSheetId="4">#REF!</definedName>
    <definedName name="_PLT369">#REF!</definedName>
    <definedName name="_PLT374" localSheetId="13">#REF!</definedName>
    <definedName name="_PLT374" localSheetId="16">#REF!</definedName>
    <definedName name="_PLT374" localSheetId="14">#REF!</definedName>
    <definedName name="_PLT374" localSheetId="15">#REF!</definedName>
    <definedName name="_PLT374" localSheetId="6">#REF!</definedName>
    <definedName name="_PLT374" localSheetId="8">#REF!</definedName>
    <definedName name="_PLT374" localSheetId="3">#REF!</definedName>
    <definedName name="_PLT374" localSheetId="4">#REF!</definedName>
    <definedName name="_PLT374">#REF!</definedName>
    <definedName name="_PLT3741" localSheetId="13">#REF!</definedName>
    <definedName name="_PLT3741" localSheetId="16">#REF!</definedName>
    <definedName name="_PLT3741" localSheetId="14">#REF!</definedName>
    <definedName name="_PLT3741" localSheetId="15">#REF!</definedName>
    <definedName name="_PLT3741" localSheetId="6">#REF!</definedName>
    <definedName name="_PLT3741" localSheetId="8">#REF!</definedName>
    <definedName name="_PLT3741" localSheetId="3">#REF!</definedName>
    <definedName name="_PLT3741" localSheetId="4">#REF!</definedName>
    <definedName name="_PLT3741">#REF!</definedName>
    <definedName name="_PLT375" localSheetId="13">#REF!</definedName>
    <definedName name="_PLT375" localSheetId="16">#REF!</definedName>
    <definedName name="_PLT375" localSheetId="14">#REF!</definedName>
    <definedName name="_PLT375" localSheetId="15">#REF!</definedName>
    <definedName name="_PLT375" localSheetId="6">#REF!</definedName>
    <definedName name="_PLT375" localSheetId="8">#REF!</definedName>
    <definedName name="_PLT375" localSheetId="3">#REF!</definedName>
    <definedName name="_PLT375" localSheetId="4">#REF!</definedName>
    <definedName name="_PLT375">#REF!</definedName>
    <definedName name="_PLT376" localSheetId="13">#REF!</definedName>
    <definedName name="_PLT376" localSheetId="16">#REF!</definedName>
    <definedName name="_PLT376" localSheetId="14">#REF!</definedName>
    <definedName name="_PLT376" localSheetId="15">#REF!</definedName>
    <definedName name="_PLT376" localSheetId="6">#REF!</definedName>
    <definedName name="_PLT376" localSheetId="8">#REF!</definedName>
    <definedName name="_PLT376" localSheetId="3">#REF!</definedName>
    <definedName name="_PLT376" localSheetId="4">#REF!</definedName>
    <definedName name="_PLT376">#REF!</definedName>
    <definedName name="_PLT376380" localSheetId="13">#REF!</definedName>
    <definedName name="_PLT376380" localSheetId="16">#REF!</definedName>
    <definedName name="_PLT376380" localSheetId="14">#REF!</definedName>
    <definedName name="_PLT376380" localSheetId="15">#REF!</definedName>
    <definedName name="_PLT376380" localSheetId="6">#REF!</definedName>
    <definedName name="_PLT376380" localSheetId="8">#REF!</definedName>
    <definedName name="_PLT376380" localSheetId="3">#REF!</definedName>
    <definedName name="_PLT376380" localSheetId="4">#REF!</definedName>
    <definedName name="_PLT376380">#REF!</definedName>
    <definedName name="_PLT378" localSheetId="13">#REF!</definedName>
    <definedName name="_PLT378" localSheetId="16">#REF!</definedName>
    <definedName name="_PLT378" localSheetId="14">#REF!</definedName>
    <definedName name="_PLT378" localSheetId="15">#REF!</definedName>
    <definedName name="_PLT378" localSheetId="6">#REF!</definedName>
    <definedName name="_PLT378" localSheetId="8">#REF!</definedName>
    <definedName name="_PLT378" localSheetId="3">#REF!</definedName>
    <definedName name="_PLT378" localSheetId="4">#REF!</definedName>
    <definedName name="_PLT378">#REF!</definedName>
    <definedName name="_PLT37879" localSheetId="13">#REF!</definedName>
    <definedName name="_PLT37879" localSheetId="16">#REF!</definedName>
    <definedName name="_PLT37879" localSheetId="14">#REF!</definedName>
    <definedName name="_PLT37879" localSheetId="15">#REF!</definedName>
    <definedName name="_PLT37879" localSheetId="6">#REF!</definedName>
    <definedName name="_PLT37879" localSheetId="8">#REF!</definedName>
    <definedName name="_PLT37879" localSheetId="3">#REF!</definedName>
    <definedName name="_PLT37879" localSheetId="4">#REF!</definedName>
    <definedName name="_PLT37879">#REF!</definedName>
    <definedName name="_PLT379" localSheetId="13">#REF!</definedName>
    <definedName name="_PLT379" localSheetId="16">#REF!</definedName>
    <definedName name="_PLT379" localSheetId="14">#REF!</definedName>
    <definedName name="_PLT379" localSheetId="15">#REF!</definedName>
    <definedName name="_PLT379" localSheetId="6">#REF!</definedName>
    <definedName name="_PLT379" localSheetId="8">#REF!</definedName>
    <definedName name="_PLT379" localSheetId="3">#REF!</definedName>
    <definedName name="_PLT379" localSheetId="4">#REF!</definedName>
    <definedName name="_PLT379">#REF!</definedName>
    <definedName name="_PLT380" localSheetId="13">#REF!</definedName>
    <definedName name="_PLT380" localSheetId="16">#REF!</definedName>
    <definedName name="_PLT380" localSheetId="14">#REF!</definedName>
    <definedName name="_PLT380" localSheetId="15">#REF!</definedName>
    <definedName name="_PLT380" localSheetId="6">#REF!</definedName>
    <definedName name="_PLT380" localSheetId="8">#REF!</definedName>
    <definedName name="_PLT380" localSheetId="3">#REF!</definedName>
    <definedName name="_PLT380" localSheetId="4">#REF!</definedName>
    <definedName name="_PLT380">#REF!</definedName>
    <definedName name="_PLT381" localSheetId="13">#REF!</definedName>
    <definedName name="_PLT381" localSheetId="16">#REF!</definedName>
    <definedName name="_PLT381" localSheetId="14">#REF!</definedName>
    <definedName name="_PLT381" localSheetId="15">#REF!</definedName>
    <definedName name="_PLT381" localSheetId="6">#REF!</definedName>
    <definedName name="_PLT381" localSheetId="8">#REF!</definedName>
    <definedName name="_PLT381" localSheetId="3">#REF!</definedName>
    <definedName name="_PLT381" localSheetId="4">#REF!</definedName>
    <definedName name="_PLT381">#REF!</definedName>
    <definedName name="_PLT382" localSheetId="13">#REF!</definedName>
    <definedName name="_PLT382" localSheetId="16">#REF!</definedName>
    <definedName name="_PLT382" localSheetId="14">#REF!</definedName>
    <definedName name="_PLT382" localSheetId="15">#REF!</definedName>
    <definedName name="_PLT382" localSheetId="6">#REF!</definedName>
    <definedName name="_PLT382" localSheetId="8">#REF!</definedName>
    <definedName name="_PLT382" localSheetId="3">#REF!</definedName>
    <definedName name="_PLT382" localSheetId="4">#REF!</definedName>
    <definedName name="_PLT382">#REF!</definedName>
    <definedName name="_PLT38284" localSheetId="13">#REF!</definedName>
    <definedName name="_PLT38284" localSheetId="16">#REF!</definedName>
    <definedName name="_PLT38284" localSheetId="14">#REF!</definedName>
    <definedName name="_PLT38284" localSheetId="15">#REF!</definedName>
    <definedName name="_PLT38284" localSheetId="6">#REF!</definedName>
    <definedName name="_PLT38284" localSheetId="8">#REF!</definedName>
    <definedName name="_PLT38284" localSheetId="3">#REF!</definedName>
    <definedName name="_PLT38284" localSheetId="4">#REF!</definedName>
    <definedName name="_PLT38284">#REF!</definedName>
    <definedName name="_PLT383" localSheetId="13">#REF!</definedName>
    <definedName name="_PLT383" localSheetId="16">#REF!</definedName>
    <definedName name="_PLT383" localSheetId="14">#REF!</definedName>
    <definedName name="_PLT383" localSheetId="15">#REF!</definedName>
    <definedName name="_PLT383" localSheetId="6">#REF!</definedName>
    <definedName name="_PLT383" localSheetId="8">#REF!</definedName>
    <definedName name="_PLT383" localSheetId="3">#REF!</definedName>
    <definedName name="_PLT383" localSheetId="4">#REF!</definedName>
    <definedName name="_PLT383">#REF!</definedName>
    <definedName name="_PLT384" localSheetId="13">#REF!</definedName>
    <definedName name="_PLT384" localSheetId="16">#REF!</definedName>
    <definedName name="_PLT384" localSheetId="14">#REF!</definedName>
    <definedName name="_PLT384" localSheetId="15">#REF!</definedName>
    <definedName name="_PLT384" localSheetId="6">#REF!</definedName>
    <definedName name="_PLT384" localSheetId="8">#REF!</definedName>
    <definedName name="_PLT384" localSheetId="3">#REF!</definedName>
    <definedName name="_PLT384" localSheetId="4">#REF!</definedName>
    <definedName name="_PLT384">#REF!</definedName>
    <definedName name="_PLT385" localSheetId="13">#REF!</definedName>
    <definedName name="_PLT385" localSheetId="16">#REF!</definedName>
    <definedName name="_PLT385" localSheetId="14">#REF!</definedName>
    <definedName name="_PLT385" localSheetId="15">#REF!</definedName>
    <definedName name="_PLT385" localSheetId="6">#REF!</definedName>
    <definedName name="_PLT385" localSheetId="8">#REF!</definedName>
    <definedName name="_PLT385" localSheetId="3">#REF!</definedName>
    <definedName name="_PLT385" localSheetId="4">#REF!</definedName>
    <definedName name="_PLT385">#REF!</definedName>
    <definedName name="_PLT387" localSheetId="13">#REF!</definedName>
    <definedName name="_PLT387" localSheetId="16">#REF!</definedName>
    <definedName name="_PLT387" localSheetId="14">#REF!</definedName>
    <definedName name="_PLT387" localSheetId="15">#REF!</definedName>
    <definedName name="_PLT387" localSheetId="6">#REF!</definedName>
    <definedName name="_PLT387" localSheetId="8">#REF!</definedName>
    <definedName name="_PLT387" localSheetId="3">#REF!</definedName>
    <definedName name="_PLT387" localSheetId="4">#REF!</definedName>
    <definedName name="_PLT387">#REF!</definedName>
    <definedName name="_PLT389" localSheetId="13">#REF!</definedName>
    <definedName name="_PLT389" localSheetId="16">#REF!</definedName>
    <definedName name="_PLT389" localSheetId="14">#REF!</definedName>
    <definedName name="_PLT389" localSheetId="15">#REF!</definedName>
    <definedName name="_PLT389" localSheetId="6">#REF!</definedName>
    <definedName name="_PLT389" localSheetId="8">#REF!</definedName>
    <definedName name="_PLT389" localSheetId="3">#REF!</definedName>
    <definedName name="_PLT389" localSheetId="4">#REF!</definedName>
    <definedName name="_PLT389">#REF!</definedName>
    <definedName name="_PLT390" localSheetId="13">#REF!</definedName>
    <definedName name="_PLT390" localSheetId="16">#REF!</definedName>
    <definedName name="_PLT390" localSheetId="14">#REF!</definedName>
    <definedName name="_PLT390" localSheetId="15">#REF!</definedName>
    <definedName name="_PLT390" localSheetId="6">#REF!</definedName>
    <definedName name="_PLT390" localSheetId="8">#REF!</definedName>
    <definedName name="_PLT390" localSheetId="3">#REF!</definedName>
    <definedName name="_PLT390" localSheetId="4">#REF!</definedName>
    <definedName name="_PLT390">#REF!</definedName>
    <definedName name="_PLT391" localSheetId="13">#REF!</definedName>
    <definedName name="_PLT391" localSheetId="16">#REF!</definedName>
    <definedName name="_PLT391" localSheetId="14">#REF!</definedName>
    <definedName name="_PLT391" localSheetId="15">#REF!</definedName>
    <definedName name="_PLT391" localSheetId="6">#REF!</definedName>
    <definedName name="_PLT391" localSheetId="8">#REF!</definedName>
    <definedName name="_PLT391" localSheetId="3">#REF!</definedName>
    <definedName name="_PLT391" localSheetId="4">#REF!</definedName>
    <definedName name="_PLT391">#REF!</definedName>
    <definedName name="_PLT3911" localSheetId="13">#REF!</definedName>
    <definedName name="_PLT3911" localSheetId="16">#REF!</definedName>
    <definedName name="_PLT3911" localSheetId="14">#REF!</definedName>
    <definedName name="_PLT3911" localSheetId="15">#REF!</definedName>
    <definedName name="_PLT3911" localSheetId="6">#REF!</definedName>
    <definedName name="_PLT3911" localSheetId="8">#REF!</definedName>
    <definedName name="_PLT3911" localSheetId="3">#REF!</definedName>
    <definedName name="_PLT3911" localSheetId="4">#REF!</definedName>
    <definedName name="_PLT3911">#REF!</definedName>
    <definedName name="_PLT3912" localSheetId="13">#REF!</definedName>
    <definedName name="_PLT3912" localSheetId="16">#REF!</definedName>
    <definedName name="_PLT3912" localSheetId="14">#REF!</definedName>
    <definedName name="_PLT3912" localSheetId="15">#REF!</definedName>
    <definedName name="_PLT3912" localSheetId="6">#REF!</definedName>
    <definedName name="_PLT3912" localSheetId="8">#REF!</definedName>
    <definedName name="_PLT3912" localSheetId="3">#REF!</definedName>
    <definedName name="_PLT3912" localSheetId="4">#REF!</definedName>
    <definedName name="_PLT3912">#REF!</definedName>
    <definedName name="_PLT392" localSheetId="13">#REF!</definedName>
    <definedName name="_PLT392" localSheetId="16">#REF!</definedName>
    <definedName name="_PLT392" localSheetId="14">#REF!</definedName>
    <definedName name="_PLT392" localSheetId="15">#REF!</definedName>
    <definedName name="_PLT392" localSheetId="6">#REF!</definedName>
    <definedName name="_PLT392" localSheetId="8">#REF!</definedName>
    <definedName name="_PLT392" localSheetId="3">#REF!</definedName>
    <definedName name="_PLT392" localSheetId="4">#REF!</definedName>
    <definedName name="_PLT392">#REF!</definedName>
    <definedName name="_PLT393" localSheetId="13">#REF!</definedName>
    <definedName name="_PLT393" localSheetId="16">#REF!</definedName>
    <definedName name="_PLT393" localSheetId="14">#REF!</definedName>
    <definedName name="_PLT393" localSheetId="15">#REF!</definedName>
    <definedName name="_PLT393" localSheetId="6">#REF!</definedName>
    <definedName name="_PLT393" localSheetId="8">#REF!</definedName>
    <definedName name="_PLT393" localSheetId="3">#REF!</definedName>
    <definedName name="_PLT393" localSheetId="4">#REF!</definedName>
    <definedName name="_PLT393">#REF!</definedName>
    <definedName name="_PLT394" localSheetId="13">#REF!</definedName>
    <definedName name="_PLT394" localSheetId="16">#REF!</definedName>
    <definedName name="_PLT394" localSheetId="14">#REF!</definedName>
    <definedName name="_PLT394" localSheetId="15">#REF!</definedName>
    <definedName name="_PLT394" localSheetId="6">#REF!</definedName>
    <definedName name="_PLT394" localSheetId="8">#REF!</definedName>
    <definedName name="_PLT394" localSheetId="3">#REF!</definedName>
    <definedName name="_PLT394" localSheetId="4">#REF!</definedName>
    <definedName name="_PLT394">#REF!</definedName>
    <definedName name="_PLT395" localSheetId="13">#REF!</definedName>
    <definedName name="_PLT395" localSheetId="16">#REF!</definedName>
    <definedName name="_PLT395" localSheetId="14">#REF!</definedName>
    <definedName name="_PLT395" localSheetId="15">#REF!</definedName>
    <definedName name="_PLT395" localSheetId="6">#REF!</definedName>
    <definedName name="_PLT395" localSheetId="8">#REF!</definedName>
    <definedName name="_PLT395" localSheetId="3">#REF!</definedName>
    <definedName name="_PLT395" localSheetId="4">#REF!</definedName>
    <definedName name="_PLT395">#REF!</definedName>
    <definedName name="_PLT396" localSheetId="13">#REF!</definedName>
    <definedName name="_PLT396" localSheetId="16">#REF!</definedName>
    <definedName name="_PLT396" localSheetId="14">#REF!</definedName>
    <definedName name="_PLT396" localSheetId="15">#REF!</definedName>
    <definedName name="_PLT396" localSheetId="6">#REF!</definedName>
    <definedName name="_PLT396" localSheetId="8">#REF!</definedName>
    <definedName name="_PLT396" localSheetId="3">#REF!</definedName>
    <definedName name="_PLT396" localSheetId="4">#REF!</definedName>
    <definedName name="_PLT396">#REF!</definedName>
    <definedName name="_PLT397" localSheetId="13">#REF!</definedName>
    <definedName name="_PLT397" localSheetId="16">#REF!</definedName>
    <definedName name="_PLT397" localSheetId="14">#REF!</definedName>
    <definedName name="_PLT397" localSheetId="15">#REF!</definedName>
    <definedName name="_PLT397" localSheetId="6">#REF!</definedName>
    <definedName name="_PLT397" localSheetId="8">#REF!</definedName>
    <definedName name="_PLT397" localSheetId="3">#REF!</definedName>
    <definedName name="_PLT397" localSheetId="4">#REF!</definedName>
    <definedName name="_PLT397">#REF!</definedName>
    <definedName name="_PLT398" localSheetId="13">#REF!</definedName>
    <definedName name="_PLT398" localSheetId="16">#REF!</definedName>
    <definedName name="_PLT398" localSheetId="14">#REF!</definedName>
    <definedName name="_PLT398" localSheetId="15">#REF!</definedName>
    <definedName name="_PLT398" localSheetId="6">#REF!</definedName>
    <definedName name="_PLT398" localSheetId="8">#REF!</definedName>
    <definedName name="_PLT398" localSheetId="3">#REF!</definedName>
    <definedName name="_PLT398" localSheetId="4">#REF!</definedName>
    <definedName name="_PLT398">#REF!</definedName>
    <definedName name="_PLT399" localSheetId="13">#REF!</definedName>
    <definedName name="_PLT399" localSheetId="16">#REF!</definedName>
    <definedName name="_PLT399" localSheetId="14">#REF!</definedName>
    <definedName name="_PLT399" localSheetId="15">#REF!</definedName>
    <definedName name="_PLT399" localSheetId="6">#REF!</definedName>
    <definedName name="_PLT399" localSheetId="8">#REF!</definedName>
    <definedName name="_PLT399" localSheetId="3">#REF!</definedName>
    <definedName name="_PLT399" localSheetId="4">#REF!</definedName>
    <definedName name="_PLT399">#REF!</definedName>
    <definedName name="_ROR1" localSheetId="13">#REF!</definedName>
    <definedName name="_ROR1" localSheetId="16">#REF!</definedName>
    <definedName name="_ROR1" localSheetId="14">#REF!</definedName>
    <definedName name="_ROR1" localSheetId="15">#REF!</definedName>
    <definedName name="_ROR1" localSheetId="6">#REF!</definedName>
    <definedName name="_ROR1" localSheetId="8">#REF!</definedName>
    <definedName name="_ROR1" localSheetId="3">#REF!</definedName>
    <definedName name="_ROR1" localSheetId="4">#REF!</definedName>
    <definedName name="_ROR1">#REF!</definedName>
    <definedName name="_Sort" localSheetId="32" hidden="1">#REF!</definedName>
    <definedName name="_Sort" localSheetId="34" hidden="1">#REF!</definedName>
    <definedName name="_Sort" localSheetId="29" hidden="1">#REF!</definedName>
    <definedName name="_Sort" localSheetId="35" hidden="1">#REF!</definedName>
    <definedName name="_Sort" localSheetId="30" hidden="1">#REF!</definedName>
    <definedName name="_Sort" localSheetId="33" hidden="1">#REF!</definedName>
    <definedName name="_Sort" localSheetId="36" hidden="1">#REF!</definedName>
    <definedName name="_Sort" localSheetId="31" hidden="1">#REF!</definedName>
    <definedName name="_Sort" localSheetId="28" hidden="1">#REF!</definedName>
    <definedName name="_Sort" localSheetId="26" hidden="1">#REF!</definedName>
    <definedName name="_Sort" localSheetId="27" hidden="1">#REF!</definedName>
    <definedName name="_Sort" localSheetId="37" hidden="1">#REF!</definedName>
    <definedName name="_Sort" localSheetId="38" hidden="1">#REF!</definedName>
    <definedName name="_Sort" localSheetId="0" hidden="1">#REF!</definedName>
    <definedName name="_Sort" localSheetId="2" hidden="1">#REF!</definedName>
    <definedName name="_Sort" localSheetId="17" hidden="1">#REF!</definedName>
    <definedName name="_Sort" localSheetId="18" hidden="1">#REF!</definedName>
    <definedName name="_Sort" localSheetId="19" hidden="1">#REF!</definedName>
    <definedName name="_Sort" localSheetId="20" hidden="1">#REF!</definedName>
    <definedName name="_Sort" hidden="1">#REF!</definedName>
    <definedName name="A" localSheetId="13">#REF!</definedName>
    <definedName name="A" localSheetId="16">#REF!</definedName>
    <definedName name="A" localSheetId="14">#REF!</definedName>
    <definedName name="A" localSheetId="15">#REF!</definedName>
    <definedName name="A" localSheetId="6">#REF!</definedName>
    <definedName name="A" localSheetId="8">#REF!</definedName>
    <definedName name="A" localSheetId="3">#REF!</definedName>
    <definedName name="A" localSheetId="4">#REF!</definedName>
    <definedName name="A">#REF!</definedName>
    <definedName name="aaa">#REF!</definedName>
    <definedName name="acc">#REF!</definedName>
    <definedName name="AccountedPeriodType3">#REF!</definedName>
    <definedName name="Acct_AZ_UNSG_By_Plant">#REF!</definedName>
    <definedName name="ACTDEM">#REF!</definedName>
    <definedName name="ACTUAL_DEMAND__KW">#REF!</definedName>
    <definedName name="ACwvu.HIST_COST." localSheetId="13" hidden="1">#REF!</definedName>
    <definedName name="ACwvu.HIST_COST." localSheetId="16" hidden="1">#REF!</definedName>
    <definedName name="ACwvu.HIST_COST." localSheetId="14" hidden="1">#REF!</definedName>
    <definedName name="ACwvu.HIST_COST." localSheetId="15" hidden="1">#REF!</definedName>
    <definedName name="ACwvu.HIST_COST." localSheetId="6" hidden="1">#REF!</definedName>
    <definedName name="ACwvu.HIST_COST." localSheetId="8" hidden="1">#REF!</definedName>
    <definedName name="ACwvu.HIST_COST." localSheetId="32" hidden="1">#REF!</definedName>
    <definedName name="ACwvu.HIST_COST." localSheetId="34" hidden="1">#REF!</definedName>
    <definedName name="ACwvu.HIST_COST." localSheetId="29" hidden="1">#REF!</definedName>
    <definedName name="ACwvu.HIST_COST." localSheetId="35" hidden="1">#REF!</definedName>
    <definedName name="ACwvu.HIST_COST." localSheetId="30" hidden="1">#REF!</definedName>
    <definedName name="ACwvu.HIST_COST." localSheetId="33" hidden="1">#REF!</definedName>
    <definedName name="ACwvu.HIST_COST." localSheetId="36" hidden="1">#REF!</definedName>
    <definedName name="ACwvu.HIST_COST." localSheetId="31" hidden="1">#REF!</definedName>
    <definedName name="ACwvu.HIST_COST." localSheetId="28" hidden="1">#REF!</definedName>
    <definedName name="ACwvu.HIST_COST." localSheetId="26" hidden="1">#REF!</definedName>
    <definedName name="ACwvu.HIST_COST." localSheetId="27" hidden="1">#REF!</definedName>
    <definedName name="ACwvu.HIST_COST." localSheetId="37" hidden="1">#REF!</definedName>
    <definedName name="ACwvu.HIST_COST." localSheetId="38" hidden="1">#REF!</definedName>
    <definedName name="ACwvu.HIST_COST." localSheetId="2" hidden="1">#REF!</definedName>
    <definedName name="ACwvu.HIST_COST." localSheetId="3" hidden="1">#REF!</definedName>
    <definedName name="ACwvu.HIST_COST." localSheetId="4" hidden="1">#REF!</definedName>
    <definedName name="ACwvu.HIST_COST." localSheetId="17" hidden="1">#REF!</definedName>
    <definedName name="ACwvu.HIST_COST." localSheetId="18" hidden="1">#REF!</definedName>
    <definedName name="ACwvu.HIST_COST." localSheetId="19" hidden="1">#REF!</definedName>
    <definedName name="ACwvu.HIST_COST." localSheetId="20" hidden="1">#REF!</definedName>
    <definedName name="ACwvu.HIST_COST." hidden="1">#REF!</definedName>
    <definedName name="ACwvu.PRT_OM." localSheetId="13" hidden="1">#REF!</definedName>
    <definedName name="ACwvu.PRT_OM." localSheetId="16" hidden="1">#REF!</definedName>
    <definedName name="ACwvu.PRT_OM." localSheetId="14" hidden="1">#REF!</definedName>
    <definedName name="ACwvu.PRT_OM." localSheetId="15" hidden="1">#REF!</definedName>
    <definedName name="ACwvu.PRT_OM." localSheetId="6" hidden="1">#REF!</definedName>
    <definedName name="ACwvu.PRT_OM." localSheetId="8" hidden="1">#REF!</definedName>
    <definedName name="ACwvu.PRT_OM." localSheetId="32" hidden="1">#REF!</definedName>
    <definedName name="ACwvu.PRT_OM." localSheetId="34" hidden="1">#REF!</definedName>
    <definedName name="ACwvu.PRT_OM." localSheetId="29" hidden="1">#REF!</definedName>
    <definedName name="ACwvu.PRT_OM." localSheetId="35" hidden="1">#REF!</definedName>
    <definedName name="ACwvu.PRT_OM." localSheetId="30" hidden="1">#REF!</definedName>
    <definedName name="ACwvu.PRT_OM." localSheetId="33" hidden="1">#REF!</definedName>
    <definedName name="ACwvu.PRT_OM." localSheetId="36" hidden="1">#REF!</definedName>
    <definedName name="ACwvu.PRT_OM." localSheetId="31" hidden="1">#REF!</definedName>
    <definedName name="ACwvu.PRT_OM." localSheetId="28" hidden="1">#REF!</definedName>
    <definedName name="ACwvu.PRT_OM." localSheetId="26" hidden="1">#REF!</definedName>
    <definedName name="ACwvu.PRT_OM." localSheetId="27" hidden="1">#REF!</definedName>
    <definedName name="ACwvu.PRT_OM." localSheetId="37" hidden="1">#REF!</definedName>
    <definedName name="ACwvu.PRT_OM." localSheetId="38" hidden="1">#REF!</definedName>
    <definedName name="ACwvu.PRT_OM." localSheetId="2" hidden="1">#REF!</definedName>
    <definedName name="ACwvu.PRT_OM." localSheetId="3" hidden="1">#REF!</definedName>
    <definedName name="ACwvu.PRT_OM." localSheetId="4" hidden="1">#REF!</definedName>
    <definedName name="ACwvu.PRT_OM." localSheetId="17" hidden="1">#REF!</definedName>
    <definedName name="ACwvu.PRT_OM." localSheetId="18" hidden="1">#REF!</definedName>
    <definedName name="ACwvu.PRT_OM." localSheetId="19" hidden="1">#REF!</definedName>
    <definedName name="ACwvu.PRT_OM." localSheetId="20" hidden="1">#REF!</definedName>
    <definedName name="ACwvu.PRT_OM." hidden="1">#REF!</definedName>
    <definedName name="ACwvu.PRT_RATEBASE." localSheetId="13" hidden="1">#REF!</definedName>
    <definedName name="ACwvu.PRT_RATEBASE." localSheetId="16" hidden="1">#REF!</definedName>
    <definedName name="ACwvu.PRT_RATEBASE." localSheetId="14" hidden="1">#REF!</definedName>
    <definedName name="ACwvu.PRT_RATEBASE." localSheetId="15" hidden="1">#REF!</definedName>
    <definedName name="ACwvu.PRT_RATEBASE." localSheetId="6" hidden="1">#REF!</definedName>
    <definedName name="ACwvu.PRT_RATEBASE." localSheetId="8" hidden="1">#REF!</definedName>
    <definedName name="ACwvu.PRT_RATEBASE." localSheetId="32" hidden="1">#REF!</definedName>
    <definedName name="ACwvu.PRT_RATEBASE." localSheetId="34" hidden="1">#REF!</definedName>
    <definedName name="ACwvu.PRT_RATEBASE." localSheetId="29" hidden="1">#REF!</definedName>
    <definedName name="ACwvu.PRT_RATEBASE." localSheetId="35" hidden="1">#REF!</definedName>
    <definedName name="ACwvu.PRT_RATEBASE." localSheetId="30" hidden="1">#REF!</definedName>
    <definedName name="ACwvu.PRT_RATEBASE." localSheetId="33" hidden="1">#REF!</definedName>
    <definedName name="ACwvu.PRT_RATEBASE." localSheetId="36" hidden="1">#REF!</definedName>
    <definedName name="ACwvu.PRT_RATEBASE." localSheetId="31" hidden="1">#REF!</definedName>
    <definedName name="ACwvu.PRT_RATEBASE." localSheetId="28" hidden="1">#REF!</definedName>
    <definedName name="ACwvu.PRT_RATEBASE." localSheetId="26" hidden="1">#REF!</definedName>
    <definedName name="ACwvu.PRT_RATEBASE." localSheetId="27" hidden="1">#REF!</definedName>
    <definedName name="ACwvu.PRT_RATEBASE." localSheetId="37" hidden="1">#REF!</definedName>
    <definedName name="ACwvu.PRT_RATEBASE." localSheetId="38" hidden="1">#REF!</definedName>
    <definedName name="ACwvu.PRT_RATEBASE." localSheetId="2" hidden="1">#REF!</definedName>
    <definedName name="ACwvu.PRT_RATEBASE." localSheetId="3" hidden="1">#REF!</definedName>
    <definedName name="ACwvu.PRT_RATEBASE." localSheetId="4" hidden="1">#REF!</definedName>
    <definedName name="ACwvu.PRT_RATEBASE." localSheetId="17" hidden="1">#REF!</definedName>
    <definedName name="ACwvu.PRT_RATEBASE." localSheetId="18" hidden="1">#REF!</definedName>
    <definedName name="ACwvu.PRT_RATEBASE." localSheetId="19" hidden="1">#REF!</definedName>
    <definedName name="ACwvu.PRT_RATEBASE." localSheetId="20" hidden="1">#REF!</definedName>
    <definedName name="ACwvu.PRT_RATEBASE." hidden="1">#REF!</definedName>
    <definedName name="Additions">#REF!</definedName>
    <definedName name="ADDLSUM">#REF!</definedName>
    <definedName name="ADDLWIN">#REF!</definedName>
    <definedName name="ADIT">#REF!</definedName>
    <definedName name="ADJUSTMENTS">#REF!</definedName>
    <definedName name="AEAlloc">#REF!</definedName>
    <definedName name="ALL">#REF!</definedName>
    <definedName name="ALL_GL_s">#REF!</definedName>
    <definedName name="Alloc_pres_rev">#REF!</definedName>
    <definedName name="Alloc35">#REF!</definedName>
    <definedName name="AllocationDate">#REF!</definedName>
    <definedName name="Allocators">#REF!</definedName>
    <definedName name="AllocHeader">#REF!</definedName>
    <definedName name="ALLOFACTINPUT" localSheetId="13">#REF!</definedName>
    <definedName name="ALLOFACTINPUT" localSheetId="16">#REF!</definedName>
    <definedName name="ALLOFACTINPUT" localSheetId="14">#REF!</definedName>
    <definedName name="ALLOFACTINPUT" localSheetId="15">#REF!</definedName>
    <definedName name="ALLOFACTINPUT" localSheetId="6">#REF!</definedName>
    <definedName name="ALLOFACTINPUT" localSheetId="8">#REF!</definedName>
    <definedName name="ALLOFACTINPUT" localSheetId="3">#REF!</definedName>
    <definedName name="ALLOFACTINPUT" localSheetId="4">#REF!</definedName>
    <definedName name="ALLOFACTINPUT">#REF!</definedName>
    <definedName name="Allowance_For_Working_Capital">#REF!</definedName>
    <definedName name="APCFAC">#REF!</definedName>
    <definedName name="APCLF">#REF!</definedName>
    <definedName name="APCMW">#REF!</definedName>
    <definedName name="APCMWH">#REF!</definedName>
    <definedName name="AppsUsername3">#REF!</definedName>
    <definedName name="asd">#REF!</definedName>
    <definedName name="assd">#REF!</definedName>
    <definedName name="AUGUST_23__1995_TO_SEPTEMBER_22__1995">#REF!</definedName>
    <definedName name="B" localSheetId="13">#REF!</definedName>
    <definedName name="B" localSheetId="16">#REF!</definedName>
    <definedName name="B" localSheetId="14">#REF!</definedName>
    <definedName name="B" localSheetId="15">#REF!</definedName>
    <definedName name="B" localSheetId="6">#REF!</definedName>
    <definedName name="B" localSheetId="8">#REF!</definedName>
    <definedName name="B" localSheetId="3">#REF!</definedName>
    <definedName name="B" localSheetId="4">#REF!</definedName>
    <definedName name="B">#REF!</definedName>
    <definedName name="B1P1">#REF!</definedName>
    <definedName name="ba">#REF!</definedName>
    <definedName name="BADDEBT" localSheetId="13">#REF!</definedName>
    <definedName name="BADDEBT" localSheetId="16">#REF!</definedName>
    <definedName name="BADDEBT" localSheetId="14">#REF!</definedName>
    <definedName name="BADDEBT" localSheetId="15">#REF!</definedName>
    <definedName name="BADDEBT" localSheetId="6">#REF!</definedName>
    <definedName name="BADDEBT" localSheetId="8">#REF!</definedName>
    <definedName name="BADDEBT" localSheetId="3">#REF!</definedName>
    <definedName name="BADDEBT" localSheetId="4">#REF!</definedName>
    <definedName name="BADDEBT">#REF!</definedName>
    <definedName name="BBBBB">#REF!</definedName>
    <definedName name="BBBBBBBBBBBBBBBBBBBBBBB" localSheetId="16" hidden="1">#REF!</definedName>
    <definedName name="BBBBBBBBBBBBBBBBBBBBBBB" localSheetId="14" hidden="1">#REF!</definedName>
    <definedName name="BBBBBBBBBBBBBBBBBBBBBBB" localSheetId="15" hidden="1">#REF!</definedName>
    <definedName name="BBBBBBBBBBBBBBBBBBBBBBB" localSheetId="32" hidden="1">#REF!</definedName>
    <definedName name="BBBBBBBBBBBBBBBBBBBBBBB" localSheetId="34" hidden="1">#REF!</definedName>
    <definedName name="BBBBBBBBBBBBBBBBBBBBBBB" localSheetId="29" hidden="1">#REF!</definedName>
    <definedName name="BBBBBBBBBBBBBBBBBBBBBBB" localSheetId="35" hidden="1">#REF!</definedName>
    <definedName name="BBBBBBBBBBBBBBBBBBBBBBB" localSheetId="30" hidden="1">#REF!</definedName>
    <definedName name="BBBBBBBBBBBBBBBBBBBBBBB" localSheetId="33" hidden="1">#REF!</definedName>
    <definedName name="BBBBBBBBBBBBBBBBBBBBBBB" localSheetId="36" hidden="1">#REF!</definedName>
    <definedName name="BBBBBBBBBBBBBBBBBBBBBBB" localSheetId="31" hidden="1">#REF!</definedName>
    <definedName name="BBBBBBBBBBBBBBBBBBBBBBB" localSheetId="28" hidden="1">#REF!</definedName>
    <definedName name="BBBBBBBBBBBBBBBBBBBBBBB" localSheetId="26" hidden="1">#REF!</definedName>
    <definedName name="BBBBBBBBBBBBBBBBBBBBBBB" localSheetId="27" hidden="1">#REF!</definedName>
    <definedName name="BBBBBBBBBBBBBBBBBBBBBBB" localSheetId="37" hidden="1">#REF!</definedName>
    <definedName name="BBBBBBBBBBBBBBBBBBBBBBB" localSheetId="38" hidden="1">#REF!</definedName>
    <definedName name="BBBBBBBBBBBBBBBBBBBBBBB" localSheetId="2" hidden="1">#REF!</definedName>
    <definedName name="BBBBBBBBBBBBBBBBBBBBBBB" localSheetId="17" hidden="1">#REF!</definedName>
    <definedName name="BBBBBBBBBBBBBBBBBBBBBBB" localSheetId="18" hidden="1">#REF!</definedName>
    <definedName name="BBBBBBBBBBBBBBBBBBBBBBB" localSheetId="19" hidden="1">#REF!</definedName>
    <definedName name="BBBBBBBBBBBBBBBBBBBBBBB" localSheetId="20" hidden="1">#REF!</definedName>
    <definedName name="BBBBBBBBBBBBBBBBBBBBBBB" hidden="1">#REF!</definedName>
    <definedName name="BBFAC">#REF!</definedName>
    <definedName name="BBLF">#REF!</definedName>
    <definedName name="BBMW">#REF!</definedName>
    <definedName name="BBMWH">#REF!</definedName>
    <definedName name="BCDD">#REF!</definedName>
    <definedName name="BCDD10">#REF!</definedName>
    <definedName name="BCDD5">#REF!</definedName>
    <definedName name="BCDDHARP">#REF!</definedName>
    <definedName name="be">#REF!,#REF!,#REF!,#REF!,#REF!,#REF!,#REF!,#REF!,#REF!,#REF!,#REF!,#REF!,#REF!,#REF!,#REF!</definedName>
    <definedName name="bench">#REF!</definedName>
    <definedName name="bgr">#REF!</definedName>
    <definedName name="BHDD">#REF!</definedName>
    <definedName name="BHDD10">#REF!</definedName>
    <definedName name="BHDD5">#REF!</definedName>
    <definedName name="BHDDHARP">#REF!</definedName>
    <definedName name="Bill_Inv">#REF!</definedName>
    <definedName name="Bill_inv_X">#REF!</definedName>
    <definedName name="BILLED_HOURS">#REF!</definedName>
    <definedName name="BILLING_DEMAND__KW">#REF!</definedName>
    <definedName name="blc">#REF!</definedName>
    <definedName name="BMC">#REF!</definedName>
    <definedName name="BMCAX">#REF!</definedName>
    <definedName name="BNE_MESSAGES_HIDDEN" localSheetId="32" hidden="1">#REF!</definedName>
    <definedName name="BNE_MESSAGES_HIDDEN" localSheetId="34" hidden="1">#REF!</definedName>
    <definedName name="BNE_MESSAGES_HIDDEN" localSheetId="29" hidden="1">#REF!</definedName>
    <definedName name="BNE_MESSAGES_HIDDEN" localSheetId="35" hidden="1">#REF!</definedName>
    <definedName name="BNE_MESSAGES_HIDDEN" localSheetId="30" hidden="1">#REF!</definedName>
    <definedName name="BNE_MESSAGES_HIDDEN" localSheetId="33" hidden="1">#REF!</definedName>
    <definedName name="BNE_MESSAGES_HIDDEN" localSheetId="36" hidden="1">#REF!</definedName>
    <definedName name="BNE_MESSAGES_HIDDEN" localSheetId="31" hidden="1">#REF!</definedName>
    <definedName name="BNE_MESSAGES_HIDDEN" localSheetId="28" hidden="1">#REF!</definedName>
    <definedName name="BNE_MESSAGES_HIDDEN" localSheetId="26" hidden="1">#REF!</definedName>
    <definedName name="BNE_MESSAGES_HIDDEN" localSheetId="27" hidden="1">#REF!</definedName>
    <definedName name="BNE_MESSAGES_HIDDEN" localSheetId="37" hidden="1">#REF!</definedName>
    <definedName name="BNE_MESSAGES_HIDDEN" localSheetId="38" hidden="1">#REF!</definedName>
    <definedName name="BNE_MESSAGES_HIDDEN" localSheetId="2" hidden="1">#REF!</definedName>
    <definedName name="BNE_MESSAGES_HIDDEN" localSheetId="17" hidden="1">#REF!</definedName>
    <definedName name="BNE_MESSAGES_HIDDEN" localSheetId="18" hidden="1">#REF!</definedName>
    <definedName name="BNE_MESSAGES_HIDDEN" localSheetId="19" hidden="1">#REF!</definedName>
    <definedName name="BNE_MESSAGES_HIDDEN" localSheetId="20" hidden="1">#REF!</definedName>
    <definedName name="BNE_MESSAGES_HIDDEN" hidden="1">#REF!</definedName>
    <definedName name="bnm">#REF!</definedName>
    <definedName name="Book_bill_ratio">#REF!</definedName>
    <definedName name="BPAAlloc" localSheetId="13">#REF!</definedName>
    <definedName name="BPAAlloc" localSheetId="16">#REF!</definedName>
    <definedName name="BPAAlloc" localSheetId="14">#REF!</definedName>
    <definedName name="BPAAlloc" localSheetId="15">#REF!</definedName>
    <definedName name="BPAAlloc" localSheetId="6">#REF!</definedName>
    <definedName name="BPAAlloc" localSheetId="8">#REF!</definedName>
    <definedName name="BPAAlloc" localSheetId="3">#REF!</definedName>
    <definedName name="BPAAlloc" localSheetId="4">#REF!</definedName>
    <definedName name="BPAAlloc">#REF!</definedName>
    <definedName name="BPACustAlloc">#REF!</definedName>
    <definedName name="BPAGenAlloc">#REF!</definedName>
    <definedName name="BPAGenHeader">#REF!</definedName>
    <definedName name="br">#REF!</definedName>
    <definedName name="BRDMONTH">#REF!</definedName>
    <definedName name="BRDMONTH12">#REF!</definedName>
    <definedName name="BRDQTR">#REF!</definedName>
    <definedName name="BRDYTD">#REF!</definedName>
    <definedName name="BRMAT">#REF!</definedName>
    <definedName name="BS">#REF!</definedName>
    <definedName name="bvc">#REF!</definedName>
    <definedName name="Ca">#REF!</definedName>
    <definedName name="CAAAlloc">#REF!</definedName>
    <definedName name="CalPXMarch">#REF!</definedName>
    <definedName name="CandAByCust">#REF!</definedName>
    <definedName name="CandAByFunc">#REF!</definedName>
    <definedName name="cap">#REF!</definedName>
    <definedName name="CAPLABX" localSheetId="13">#REF!</definedName>
    <definedName name="CAPLABX" localSheetId="16">#REF!</definedName>
    <definedName name="CAPLABX" localSheetId="14">#REF!</definedName>
    <definedName name="CAPLABX" localSheetId="15">#REF!</definedName>
    <definedName name="CAPLABX" localSheetId="6">#REF!</definedName>
    <definedName name="CAPLABX" localSheetId="8">#REF!</definedName>
    <definedName name="CAPLABX" localSheetId="3">#REF!</definedName>
    <definedName name="CAPLABX" localSheetId="4">#REF!</definedName>
    <definedName name="CAPLABX">#REF!</definedName>
    <definedName name="CARES" localSheetId="13">#REF!</definedName>
    <definedName name="CARES" localSheetId="16">#REF!</definedName>
    <definedName name="CARES" localSheetId="14">#REF!</definedName>
    <definedName name="CARES" localSheetId="15">#REF!</definedName>
    <definedName name="CARES" localSheetId="6">#REF!</definedName>
    <definedName name="CARES" localSheetId="8">#REF!</definedName>
    <definedName name="CARES" localSheetId="3">#REF!</definedName>
    <definedName name="CARES" localSheetId="4">#REF!</definedName>
    <definedName name="CARES">#REF!</definedName>
    <definedName name="CCFUNC1" localSheetId="13">#REF!</definedName>
    <definedName name="CCFUNC1" localSheetId="16">#REF!</definedName>
    <definedName name="CCFUNC1" localSheetId="14">#REF!</definedName>
    <definedName name="CCFUNC1" localSheetId="15">#REF!</definedName>
    <definedName name="CCFUNC1" localSheetId="6">#REF!</definedName>
    <definedName name="CCFUNC1" localSheetId="8">#REF!</definedName>
    <definedName name="CCFUNC1" localSheetId="3">#REF!</definedName>
    <definedName name="CCFUNC1" localSheetId="4">#REF!</definedName>
    <definedName name="CCFUNC1">#REF!</definedName>
    <definedName name="CCFUNC10" localSheetId="13">#REF!</definedName>
    <definedName name="CCFUNC10" localSheetId="16">#REF!</definedName>
    <definedName name="CCFUNC10" localSheetId="14">#REF!</definedName>
    <definedName name="CCFUNC10" localSheetId="15">#REF!</definedName>
    <definedName name="CCFUNC10" localSheetId="6">#REF!</definedName>
    <definedName name="CCFUNC10" localSheetId="8">#REF!</definedName>
    <definedName name="CCFUNC10" localSheetId="3">#REF!</definedName>
    <definedName name="CCFUNC10" localSheetId="4">#REF!</definedName>
    <definedName name="CCFUNC10">#REF!</definedName>
    <definedName name="CCFUNC11" localSheetId="13">#REF!</definedName>
    <definedName name="CCFUNC11" localSheetId="16">#REF!</definedName>
    <definedName name="CCFUNC11" localSheetId="14">#REF!</definedName>
    <definedName name="CCFUNC11" localSheetId="15">#REF!</definedName>
    <definedName name="CCFUNC11" localSheetId="6">#REF!</definedName>
    <definedName name="CCFUNC11" localSheetId="8">#REF!</definedName>
    <definedName name="CCFUNC11" localSheetId="3">#REF!</definedName>
    <definedName name="CCFUNC11" localSheetId="4">#REF!</definedName>
    <definedName name="CCFUNC11">#REF!</definedName>
    <definedName name="CCFUNC12" localSheetId="13">#REF!</definedName>
    <definedName name="CCFUNC12" localSheetId="16">#REF!</definedName>
    <definedName name="CCFUNC12" localSheetId="14">#REF!</definedName>
    <definedName name="CCFUNC12" localSheetId="15">#REF!</definedName>
    <definedName name="CCFUNC12" localSheetId="6">#REF!</definedName>
    <definedName name="CCFUNC12" localSheetId="8">#REF!</definedName>
    <definedName name="CCFUNC12" localSheetId="3">#REF!</definedName>
    <definedName name="CCFUNC12" localSheetId="4">#REF!</definedName>
    <definedName name="CCFUNC12">#REF!</definedName>
    <definedName name="CCFUNC13" localSheetId="13">#REF!</definedName>
    <definedName name="CCFUNC13" localSheetId="16">#REF!</definedName>
    <definedName name="CCFUNC13" localSheetId="14">#REF!</definedName>
    <definedName name="CCFUNC13" localSheetId="15">#REF!</definedName>
    <definedName name="CCFUNC13" localSheetId="6">#REF!</definedName>
    <definedName name="CCFUNC13" localSheetId="8">#REF!</definedName>
    <definedName name="CCFUNC13" localSheetId="3">#REF!</definedName>
    <definedName name="CCFUNC13" localSheetId="4">#REF!</definedName>
    <definedName name="CCFUNC13">#REF!</definedName>
    <definedName name="CCFUNC14" localSheetId="13">#REF!</definedName>
    <definedName name="CCFUNC14" localSheetId="16">#REF!</definedName>
    <definedName name="CCFUNC14" localSheetId="14">#REF!</definedName>
    <definedName name="CCFUNC14" localSheetId="15">#REF!</definedName>
    <definedName name="CCFUNC14" localSheetId="6">#REF!</definedName>
    <definedName name="CCFUNC14" localSheetId="8">#REF!</definedName>
    <definedName name="CCFUNC14" localSheetId="3">#REF!</definedName>
    <definedName name="CCFUNC14" localSheetId="4">#REF!</definedName>
    <definedName name="CCFUNC14">#REF!</definedName>
    <definedName name="CCFUNC15" localSheetId="13">#REF!</definedName>
    <definedName name="CCFUNC15" localSheetId="16">#REF!</definedName>
    <definedName name="CCFUNC15" localSheetId="14">#REF!</definedName>
    <definedName name="CCFUNC15" localSheetId="15">#REF!</definedName>
    <definedName name="CCFUNC15" localSheetId="6">#REF!</definedName>
    <definedName name="CCFUNC15" localSheetId="8">#REF!</definedName>
    <definedName name="CCFUNC15" localSheetId="3">#REF!</definedName>
    <definedName name="CCFUNC15" localSheetId="4">#REF!</definedName>
    <definedName name="CCFUNC15">#REF!</definedName>
    <definedName name="CCFUNC16" localSheetId="13">#REF!</definedName>
    <definedName name="CCFUNC16" localSheetId="16">#REF!</definedName>
    <definedName name="CCFUNC16" localSheetId="14">#REF!</definedName>
    <definedName name="CCFUNC16" localSheetId="15">#REF!</definedName>
    <definedName name="CCFUNC16" localSheetId="6">#REF!</definedName>
    <definedName name="CCFUNC16" localSheetId="8">#REF!</definedName>
    <definedName name="CCFUNC16" localSheetId="3">#REF!</definedName>
    <definedName name="CCFUNC16" localSheetId="4">#REF!</definedName>
    <definedName name="CCFUNC16">#REF!</definedName>
    <definedName name="CCFUNC17" localSheetId="13">#REF!</definedName>
    <definedName name="CCFUNC17" localSheetId="16">#REF!</definedName>
    <definedName name="CCFUNC17" localSheetId="14">#REF!</definedName>
    <definedName name="CCFUNC17" localSheetId="15">#REF!</definedName>
    <definedName name="CCFUNC17" localSheetId="6">#REF!</definedName>
    <definedName name="CCFUNC17" localSheetId="8">#REF!</definedName>
    <definedName name="CCFUNC17" localSheetId="3">#REF!</definedName>
    <definedName name="CCFUNC17" localSheetId="4">#REF!</definedName>
    <definedName name="CCFUNC17">#REF!</definedName>
    <definedName name="CCFUNC18" localSheetId="13">#REF!</definedName>
    <definedName name="CCFUNC18" localSheetId="16">#REF!</definedName>
    <definedName name="CCFUNC18" localSheetId="14">#REF!</definedName>
    <definedName name="CCFUNC18" localSheetId="15">#REF!</definedName>
    <definedName name="CCFUNC18" localSheetId="6">#REF!</definedName>
    <definedName name="CCFUNC18" localSheetId="8">#REF!</definedName>
    <definedName name="CCFUNC18" localSheetId="3">#REF!</definedName>
    <definedName name="CCFUNC18" localSheetId="4">#REF!</definedName>
    <definedName name="CCFUNC18">#REF!</definedName>
    <definedName name="CCFUNC19" localSheetId="13">#REF!</definedName>
    <definedName name="CCFUNC19" localSheetId="16">#REF!</definedName>
    <definedName name="CCFUNC19" localSheetId="14">#REF!</definedName>
    <definedName name="CCFUNC19" localSheetId="15">#REF!</definedName>
    <definedName name="CCFUNC19" localSheetId="6">#REF!</definedName>
    <definedName name="CCFUNC19" localSheetId="8">#REF!</definedName>
    <definedName name="CCFUNC19" localSheetId="3">#REF!</definedName>
    <definedName name="CCFUNC19" localSheetId="4">#REF!</definedName>
    <definedName name="CCFUNC19">#REF!</definedName>
    <definedName name="CCFUNC2" localSheetId="13">#REF!</definedName>
    <definedName name="CCFUNC2" localSheetId="16">#REF!</definedName>
    <definedName name="CCFUNC2" localSheetId="14">#REF!</definedName>
    <definedName name="CCFUNC2" localSheetId="15">#REF!</definedName>
    <definedName name="CCFUNC2" localSheetId="6">#REF!</definedName>
    <definedName name="CCFUNC2" localSheetId="8">#REF!</definedName>
    <definedName name="CCFUNC2" localSheetId="3">#REF!</definedName>
    <definedName name="CCFUNC2" localSheetId="4">#REF!</definedName>
    <definedName name="CCFUNC2">#REF!</definedName>
    <definedName name="CCFUNC20" localSheetId="13">#REF!</definedName>
    <definedName name="CCFUNC20" localSheetId="16">#REF!</definedName>
    <definedName name="CCFUNC20" localSheetId="14">#REF!</definedName>
    <definedName name="CCFUNC20" localSheetId="15">#REF!</definedName>
    <definedName name="CCFUNC20" localSheetId="6">#REF!</definedName>
    <definedName name="CCFUNC20" localSheetId="8">#REF!</definedName>
    <definedName name="CCFUNC20" localSheetId="3">#REF!</definedName>
    <definedName name="CCFUNC20" localSheetId="4">#REF!</definedName>
    <definedName name="CCFUNC20">#REF!</definedName>
    <definedName name="CCFUNC21" localSheetId="13">#REF!</definedName>
    <definedName name="CCFUNC21" localSheetId="16">#REF!</definedName>
    <definedName name="CCFUNC21" localSheetId="14">#REF!</definedName>
    <definedName name="CCFUNC21" localSheetId="15">#REF!</definedName>
    <definedName name="CCFUNC21" localSheetId="6">#REF!</definedName>
    <definedName name="CCFUNC21" localSheetId="8">#REF!</definedName>
    <definedName name="CCFUNC21" localSheetId="3">#REF!</definedName>
    <definedName name="CCFUNC21" localSheetId="4">#REF!</definedName>
    <definedName name="CCFUNC21">#REF!</definedName>
    <definedName name="CCFUNC22" localSheetId="13">#REF!</definedName>
    <definedName name="CCFUNC22" localSheetId="16">#REF!</definedName>
    <definedName name="CCFUNC22" localSheetId="14">#REF!</definedName>
    <definedName name="CCFUNC22" localSheetId="15">#REF!</definedName>
    <definedName name="CCFUNC22" localSheetId="6">#REF!</definedName>
    <definedName name="CCFUNC22" localSheetId="8">#REF!</definedName>
    <definedName name="CCFUNC22" localSheetId="3">#REF!</definedName>
    <definedName name="CCFUNC22" localSheetId="4">#REF!</definedName>
    <definedName name="CCFUNC22">#REF!</definedName>
    <definedName name="CCFUNC23" localSheetId="13">#REF!</definedName>
    <definedName name="CCFUNC23" localSheetId="16">#REF!</definedName>
    <definedName name="CCFUNC23" localSheetId="14">#REF!</definedName>
    <definedName name="CCFUNC23" localSheetId="15">#REF!</definedName>
    <definedName name="CCFUNC23" localSheetId="6">#REF!</definedName>
    <definedName name="CCFUNC23" localSheetId="8">#REF!</definedName>
    <definedName name="CCFUNC23" localSheetId="3">#REF!</definedName>
    <definedName name="CCFUNC23" localSheetId="4">#REF!</definedName>
    <definedName name="CCFUNC23">#REF!</definedName>
    <definedName name="CCFUNC24" localSheetId="13">#REF!</definedName>
    <definedName name="CCFUNC24" localSheetId="16">#REF!</definedName>
    <definedName name="CCFUNC24" localSheetId="14">#REF!</definedName>
    <definedName name="CCFUNC24" localSheetId="15">#REF!</definedName>
    <definedName name="CCFUNC24" localSheetId="6">#REF!</definedName>
    <definedName name="CCFUNC24" localSheetId="8">#REF!</definedName>
    <definedName name="CCFUNC24" localSheetId="3">#REF!</definedName>
    <definedName name="CCFUNC24" localSheetId="4">#REF!</definedName>
    <definedName name="CCFUNC24">#REF!</definedName>
    <definedName name="CCFUNC25" localSheetId="13">#REF!</definedName>
    <definedName name="CCFUNC25" localSheetId="16">#REF!</definedName>
    <definedName name="CCFUNC25" localSheetId="14">#REF!</definedName>
    <definedName name="CCFUNC25" localSheetId="15">#REF!</definedName>
    <definedName name="CCFUNC25" localSheetId="6">#REF!</definedName>
    <definedName name="CCFUNC25" localSheetId="8">#REF!</definedName>
    <definedName name="CCFUNC25" localSheetId="3">#REF!</definedName>
    <definedName name="CCFUNC25" localSheetId="4">#REF!</definedName>
    <definedName name="CCFUNC25">#REF!</definedName>
    <definedName name="CCFUNC26" localSheetId="13">#REF!</definedName>
    <definedName name="CCFUNC26" localSheetId="16">#REF!</definedName>
    <definedName name="CCFUNC26" localSheetId="14">#REF!</definedName>
    <definedName name="CCFUNC26" localSheetId="15">#REF!</definedName>
    <definedName name="CCFUNC26" localSheetId="6">#REF!</definedName>
    <definedName name="CCFUNC26" localSheetId="8">#REF!</definedName>
    <definedName name="CCFUNC26" localSheetId="3">#REF!</definedName>
    <definedName name="CCFUNC26" localSheetId="4">#REF!</definedName>
    <definedName name="CCFUNC26">#REF!</definedName>
    <definedName name="CCFUNC27" localSheetId="13">#REF!</definedName>
    <definedName name="CCFUNC27" localSheetId="16">#REF!</definedName>
    <definedName name="CCFUNC27" localSheetId="14">#REF!</definedName>
    <definedName name="CCFUNC27" localSheetId="15">#REF!</definedName>
    <definedName name="CCFUNC27" localSheetId="6">#REF!</definedName>
    <definedName name="CCFUNC27" localSheetId="8">#REF!</definedName>
    <definedName name="CCFUNC27" localSheetId="3">#REF!</definedName>
    <definedName name="CCFUNC27" localSheetId="4">#REF!</definedName>
    <definedName name="CCFUNC27">#REF!</definedName>
    <definedName name="CCFUNC28" localSheetId="13">#REF!</definedName>
    <definedName name="CCFUNC28" localSheetId="16">#REF!</definedName>
    <definedName name="CCFUNC28" localSheetId="14">#REF!</definedName>
    <definedName name="CCFUNC28" localSheetId="15">#REF!</definedName>
    <definedName name="CCFUNC28" localSheetId="6">#REF!</definedName>
    <definedName name="CCFUNC28" localSheetId="8">#REF!</definedName>
    <definedName name="CCFUNC28" localSheetId="3">#REF!</definedName>
    <definedName name="CCFUNC28" localSheetId="4">#REF!</definedName>
    <definedName name="CCFUNC28">#REF!</definedName>
    <definedName name="CCFUNC29" localSheetId="13">#REF!</definedName>
    <definedName name="CCFUNC29" localSheetId="16">#REF!</definedName>
    <definedName name="CCFUNC29" localSheetId="14">#REF!</definedName>
    <definedName name="CCFUNC29" localSheetId="15">#REF!</definedName>
    <definedName name="CCFUNC29" localSheetId="6">#REF!</definedName>
    <definedName name="CCFUNC29" localSheetId="8">#REF!</definedName>
    <definedName name="CCFUNC29" localSheetId="3">#REF!</definedName>
    <definedName name="CCFUNC29" localSheetId="4">#REF!</definedName>
    <definedName name="CCFUNC29">#REF!</definedName>
    <definedName name="CCFUNC3" localSheetId="13">#REF!</definedName>
    <definedName name="CCFUNC3" localSheetId="16">#REF!</definedName>
    <definedName name="CCFUNC3" localSheetId="14">#REF!</definedName>
    <definedName name="CCFUNC3" localSheetId="15">#REF!</definedName>
    <definedName name="CCFUNC3" localSheetId="6">#REF!</definedName>
    <definedName name="CCFUNC3" localSheetId="8">#REF!</definedName>
    <definedName name="CCFUNC3" localSheetId="3">#REF!</definedName>
    <definedName name="CCFUNC3" localSheetId="4">#REF!</definedName>
    <definedName name="CCFUNC3">#REF!</definedName>
    <definedName name="CCFUNC30" localSheetId="13">#REF!</definedName>
    <definedName name="CCFUNC30" localSheetId="16">#REF!</definedName>
    <definedName name="CCFUNC30" localSheetId="14">#REF!</definedName>
    <definedName name="CCFUNC30" localSheetId="15">#REF!</definedName>
    <definedName name="CCFUNC30" localSheetId="6">#REF!</definedName>
    <definedName name="CCFUNC30" localSheetId="8">#REF!</definedName>
    <definedName name="CCFUNC30" localSheetId="3">#REF!</definedName>
    <definedName name="CCFUNC30" localSheetId="4">#REF!</definedName>
    <definedName name="CCFUNC30">#REF!</definedName>
    <definedName name="CCFUNC4" localSheetId="13">#REF!</definedName>
    <definedName name="CCFUNC4" localSheetId="16">#REF!</definedName>
    <definedName name="CCFUNC4" localSheetId="14">#REF!</definedName>
    <definedName name="CCFUNC4" localSheetId="15">#REF!</definedName>
    <definedName name="CCFUNC4" localSheetId="6">#REF!</definedName>
    <definedName name="CCFUNC4" localSheetId="8">#REF!</definedName>
    <definedName name="CCFUNC4" localSheetId="3">#REF!</definedName>
    <definedName name="CCFUNC4" localSheetId="4">#REF!</definedName>
    <definedName name="CCFUNC4">#REF!</definedName>
    <definedName name="CCFUNC5" localSheetId="13">#REF!</definedName>
    <definedName name="CCFUNC5" localSheetId="16">#REF!</definedName>
    <definedName name="CCFUNC5" localSheetId="14">#REF!</definedName>
    <definedName name="CCFUNC5" localSheetId="15">#REF!</definedName>
    <definedName name="CCFUNC5" localSheetId="6">#REF!</definedName>
    <definedName name="CCFUNC5" localSheetId="8">#REF!</definedName>
    <definedName name="CCFUNC5" localSheetId="3">#REF!</definedName>
    <definedName name="CCFUNC5" localSheetId="4">#REF!</definedName>
    <definedName name="CCFUNC5">#REF!</definedName>
    <definedName name="CCFUNC6" localSheetId="13">#REF!</definedName>
    <definedName name="CCFUNC6" localSheetId="16">#REF!</definedName>
    <definedName name="CCFUNC6" localSheetId="14">#REF!</definedName>
    <definedName name="CCFUNC6" localSheetId="15">#REF!</definedName>
    <definedName name="CCFUNC6" localSheetId="6">#REF!</definedName>
    <definedName name="CCFUNC6" localSheetId="8">#REF!</definedName>
    <definedName name="CCFUNC6" localSheetId="3">#REF!</definedName>
    <definedName name="CCFUNC6" localSheetId="4">#REF!</definedName>
    <definedName name="CCFUNC6">#REF!</definedName>
    <definedName name="CCFUNC7" localSheetId="13">#REF!</definedName>
    <definedName name="CCFUNC7" localSheetId="16">#REF!</definedName>
    <definedName name="CCFUNC7" localSheetId="14">#REF!</definedName>
    <definedName name="CCFUNC7" localSheetId="15">#REF!</definedName>
    <definedName name="CCFUNC7" localSheetId="6">#REF!</definedName>
    <definedName name="CCFUNC7" localSheetId="8">#REF!</definedName>
    <definedName name="CCFUNC7" localSheetId="3">#REF!</definedName>
    <definedName name="CCFUNC7" localSheetId="4">#REF!</definedName>
    <definedName name="CCFUNC7">#REF!</definedName>
    <definedName name="CCFUNC8" localSheetId="13">#REF!</definedName>
    <definedName name="CCFUNC8" localSheetId="16">#REF!</definedName>
    <definedName name="CCFUNC8" localSheetId="14">#REF!</definedName>
    <definedName name="CCFUNC8" localSheetId="15">#REF!</definedName>
    <definedName name="CCFUNC8" localSheetId="6">#REF!</definedName>
    <definedName name="CCFUNC8" localSheetId="8">#REF!</definedName>
    <definedName name="CCFUNC8" localSheetId="3">#REF!</definedName>
    <definedName name="CCFUNC8" localSheetId="4">#REF!</definedName>
    <definedName name="CCFUNC8">#REF!</definedName>
    <definedName name="CCFUNC9" localSheetId="13">#REF!</definedName>
    <definedName name="CCFUNC9" localSheetId="16">#REF!</definedName>
    <definedName name="CCFUNC9" localSheetId="14">#REF!</definedName>
    <definedName name="CCFUNC9" localSheetId="15">#REF!</definedName>
    <definedName name="CCFUNC9" localSheetId="6">#REF!</definedName>
    <definedName name="CCFUNC9" localSheetId="8">#REF!</definedName>
    <definedName name="CCFUNC9" localSheetId="3">#REF!</definedName>
    <definedName name="CCFUNC9" localSheetId="4">#REF!</definedName>
    <definedName name="CCFUNC9">#REF!</definedName>
    <definedName name="cde">#REF!</definedName>
    <definedName name="CENTS_KWH__GROSS">#REF!</definedName>
    <definedName name="CENTS_KWH__NET">#REF!</definedName>
    <definedName name="CF_INFO_TABLE" localSheetId="13">#REF!</definedName>
    <definedName name="CF_INFO_TABLE" localSheetId="16">#REF!</definedName>
    <definedName name="CF_INFO_TABLE" localSheetId="14">#REF!</definedName>
    <definedName name="CF_INFO_TABLE" localSheetId="15">#REF!</definedName>
    <definedName name="CF_INFO_TABLE" localSheetId="6">#REF!</definedName>
    <definedName name="CF_INFO_TABLE" localSheetId="8">#REF!</definedName>
    <definedName name="CF_INFO_TABLE" localSheetId="3">#REF!</definedName>
    <definedName name="CF_INFO_TABLE" localSheetId="4">#REF!</definedName>
    <definedName name="CF_INFO_TABLE">#REF!</definedName>
    <definedName name="ChartOfAccountsID3">#REF!</definedName>
    <definedName name="CIACMS" localSheetId="13">#REF!</definedName>
    <definedName name="CIACMS" localSheetId="16">#REF!</definedName>
    <definedName name="CIACMS" localSheetId="14">#REF!</definedName>
    <definedName name="CIACMS" localSheetId="15">#REF!</definedName>
    <definedName name="CIACMS" localSheetId="6">#REF!</definedName>
    <definedName name="CIACMS" localSheetId="8">#REF!</definedName>
    <definedName name="CIACMS" localSheetId="3">#REF!</definedName>
    <definedName name="CIACMS" localSheetId="4">#REF!</definedName>
    <definedName name="CIACMS">#REF!</definedName>
    <definedName name="CITYM">#REF!</definedName>
    <definedName name="CITYS">#REF!</definedName>
    <definedName name="CITYST">#REF!</definedName>
    <definedName name="CITYT">#REF!</definedName>
    <definedName name="ClaimedRate" localSheetId="13">#REF!</definedName>
    <definedName name="ClaimedRate" localSheetId="16">#REF!</definedName>
    <definedName name="ClaimedRate" localSheetId="14">#REF!</definedName>
    <definedName name="ClaimedRate" localSheetId="15">#REF!</definedName>
    <definedName name="ClaimedRate" localSheetId="6">#REF!</definedName>
    <definedName name="ClaimedRate" localSheetId="8">#REF!</definedName>
    <definedName name="ClaimedRate" localSheetId="3">#REF!</definedName>
    <definedName name="ClaimedRate" localSheetId="4">#REF!</definedName>
    <definedName name="ClaimedRate">#REF!</definedName>
    <definedName name="Class">#REF!</definedName>
    <definedName name="ClassCode">#REF!</definedName>
    <definedName name="ClassCustomer">#REF!</definedName>
    <definedName name="ClassDA">#REF!</definedName>
    <definedName name="ClassFunction">#REF!</definedName>
    <definedName name="ClassMethod">#REF!</definedName>
    <definedName name="CO">#REF!</definedName>
    <definedName name="COLUMN1">#REF!</definedName>
    <definedName name="ColumnAttributes1">#REF!</definedName>
    <definedName name="ColumnAttributes3">#REF!</definedName>
    <definedName name="ColumnHeadings1">#REF!</definedName>
    <definedName name="ColumnHeadings3">#REF!</definedName>
    <definedName name="Com20CUScharge">#REF!</definedName>
    <definedName name="Com22CUScharge">#REF!</definedName>
    <definedName name="Complete">#REF!</definedName>
    <definedName name="COMREV" localSheetId="13">#REF!</definedName>
    <definedName name="COMREV" localSheetId="16">#REF!</definedName>
    <definedName name="COMREV" localSheetId="14">#REF!</definedName>
    <definedName name="COMREV" localSheetId="15">#REF!</definedName>
    <definedName name="COMREV" localSheetId="6">#REF!</definedName>
    <definedName name="COMREV" localSheetId="8">#REF!</definedName>
    <definedName name="COMREV" localSheetId="3">#REF!</definedName>
    <definedName name="COMREV" localSheetId="4">#REF!</definedName>
    <definedName name="COMREV">#REF!</definedName>
    <definedName name="ConnectString3">#REF!</definedName>
    <definedName name="CONTSERV" localSheetId="13">#REF!</definedName>
    <definedName name="CONTSERV" localSheetId="16">#REF!</definedName>
    <definedName name="CONTSERV" localSheetId="14">#REF!</definedName>
    <definedName name="CONTSERV" localSheetId="15">#REF!</definedName>
    <definedName name="CONTSERV" localSheetId="6">#REF!</definedName>
    <definedName name="CONTSERV" localSheetId="8">#REF!</definedName>
    <definedName name="CONTSERV" localSheetId="3">#REF!</definedName>
    <definedName name="CONTSERV" localSheetId="4">#REF!</definedName>
    <definedName name="CONTSERV">#REF!</definedName>
    <definedName name="CostAlloc44">#REF!</definedName>
    <definedName name="Cover">#REF!</definedName>
    <definedName name="cp">#REF!</definedName>
    <definedName name="CPAlloc">#REF!</definedName>
    <definedName name="CPHeader">#REF!</definedName>
    <definedName name="_xlnm.Criteria" localSheetId="32">#REF!</definedName>
    <definedName name="_xlnm.Criteria" localSheetId="34">#REF!</definedName>
    <definedName name="_xlnm.Criteria" localSheetId="29">#REF!</definedName>
    <definedName name="_xlnm.Criteria" localSheetId="35">#REF!</definedName>
    <definedName name="_xlnm.Criteria" localSheetId="30">#REF!</definedName>
    <definedName name="_xlnm.Criteria" localSheetId="33">#REF!</definedName>
    <definedName name="_xlnm.Criteria" localSheetId="36">#REF!</definedName>
    <definedName name="_xlnm.Criteria" localSheetId="31">#REF!</definedName>
    <definedName name="_xlnm.Criteria" localSheetId="28">#REF!</definedName>
    <definedName name="_xlnm.Criteria" localSheetId="26">#REF!</definedName>
    <definedName name="_xlnm.Criteria" localSheetId="27">#REF!</definedName>
    <definedName name="_xlnm.Criteria" localSheetId="37">#REF!</definedName>
    <definedName name="_xlnm.Criteria" localSheetId="38">#REF!</definedName>
    <definedName name="_xlnm.Criteria">#REF!</definedName>
    <definedName name="CUS_IPS">#REF!</definedName>
    <definedName name="CUS_LGS">#REF!</definedName>
    <definedName name="CUS_LGS_TOU">#REF!</definedName>
    <definedName name="CUS_LPS_GT69">#REF!</definedName>
    <definedName name="CUS_LPS_LT69">#REF!</definedName>
    <definedName name="CUS_RSMO">#REF!</definedName>
    <definedName name="CUS_RSSC">#REF!</definedName>
    <definedName name="CUS_SGSSC">#REF!</definedName>
    <definedName name="CUS_SSGMO">#REF!</definedName>
    <definedName name="CUSACC">#REF!</definedName>
    <definedName name="CUST10" localSheetId="13">#REF!</definedName>
    <definedName name="CUST10" localSheetId="16">#REF!</definedName>
    <definedName name="CUST10" localSheetId="14">#REF!</definedName>
    <definedName name="CUST10" localSheetId="15">#REF!</definedName>
    <definedName name="CUST10" localSheetId="6">#REF!</definedName>
    <definedName name="CUST10" localSheetId="8">#REF!</definedName>
    <definedName name="CUST10" localSheetId="3">#REF!</definedName>
    <definedName name="CUST10" localSheetId="4">#REF!</definedName>
    <definedName name="CUST10">#REF!</definedName>
    <definedName name="CUST380" localSheetId="13">#REF!</definedName>
    <definedName name="CUST380" localSheetId="16">#REF!</definedName>
    <definedName name="CUST380" localSheetId="14">#REF!</definedName>
    <definedName name="CUST380" localSheetId="15">#REF!</definedName>
    <definedName name="CUST380" localSheetId="6">#REF!</definedName>
    <definedName name="CUST380" localSheetId="8">#REF!</definedName>
    <definedName name="CUST380" localSheetId="3">#REF!</definedName>
    <definedName name="CUST380" localSheetId="4">#REF!</definedName>
    <definedName name="CUST380">#REF!</definedName>
    <definedName name="CUST381" localSheetId="13">#REF!</definedName>
    <definedName name="CUST381" localSheetId="16">#REF!</definedName>
    <definedName name="CUST381" localSheetId="14">#REF!</definedName>
    <definedName name="CUST381" localSheetId="15">#REF!</definedName>
    <definedName name="CUST381" localSheetId="6">#REF!</definedName>
    <definedName name="CUST381" localSheetId="8">#REF!</definedName>
    <definedName name="CUST381" localSheetId="3">#REF!</definedName>
    <definedName name="CUST381" localSheetId="4">#REF!</definedName>
    <definedName name="CUST381">#REF!</definedName>
    <definedName name="CUST382" localSheetId="13">#REF!</definedName>
    <definedName name="CUST382" localSheetId="16">#REF!</definedName>
    <definedName name="CUST382" localSheetId="14">#REF!</definedName>
    <definedName name="CUST382" localSheetId="15">#REF!</definedName>
    <definedName name="CUST382" localSheetId="6">#REF!</definedName>
    <definedName name="CUST382" localSheetId="8">#REF!</definedName>
    <definedName name="CUST382" localSheetId="3">#REF!</definedName>
    <definedName name="CUST382" localSheetId="4">#REF!</definedName>
    <definedName name="CUST382">#REF!</definedName>
    <definedName name="CUST383" localSheetId="13">#REF!</definedName>
    <definedName name="CUST383" localSheetId="16">#REF!</definedName>
    <definedName name="CUST383" localSheetId="14">#REF!</definedName>
    <definedName name="CUST383" localSheetId="15">#REF!</definedName>
    <definedName name="CUST383" localSheetId="6">#REF!</definedName>
    <definedName name="CUST383" localSheetId="8">#REF!</definedName>
    <definedName name="CUST383" localSheetId="3">#REF!</definedName>
    <definedName name="CUST383" localSheetId="4">#REF!</definedName>
    <definedName name="CUST383">#REF!</definedName>
    <definedName name="CUST384" localSheetId="13">#REF!</definedName>
    <definedName name="CUST384" localSheetId="16">#REF!</definedName>
    <definedName name="CUST384" localSheetId="14">#REF!</definedName>
    <definedName name="CUST384" localSheetId="15">#REF!</definedName>
    <definedName name="CUST384" localSheetId="6">#REF!</definedName>
    <definedName name="CUST384" localSheetId="8">#REF!</definedName>
    <definedName name="CUST384" localSheetId="3">#REF!</definedName>
    <definedName name="CUST384" localSheetId="4">#REF!</definedName>
    <definedName name="CUST384">#REF!</definedName>
    <definedName name="CUST385" localSheetId="13">#REF!</definedName>
    <definedName name="CUST385" localSheetId="16">#REF!</definedName>
    <definedName name="CUST385" localSheetId="14">#REF!</definedName>
    <definedName name="CUST385" localSheetId="15">#REF!</definedName>
    <definedName name="CUST385" localSheetId="6">#REF!</definedName>
    <definedName name="CUST385" localSheetId="8">#REF!</definedName>
    <definedName name="CUST385" localSheetId="3">#REF!</definedName>
    <definedName name="CUST385" localSheetId="4">#REF!</definedName>
    <definedName name="CUST385">#REF!</definedName>
    <definedName name="CUST487B" localSheetId="13">#REF!</definedName>
    <definedName name="CUST487B" localSheetId="16">#REF!</definedName>
    <definedName name="CUST487B" localSheetId="14">#REF!</definedName>
    <definedName name="CUST487B" localSheetId="15">#REF!</definedName>
    <definedName name="CUST487B" localSheetId="6">#REF!</definedName>
    <definedName name="CUST487B" localSheetId="8">#REF!</definedName>
    <definedName name="CUST487B" localSheetId="3">#REF!</definedName>
    <definedName name="CUST487B" localSheetId="4">#REF!</definedName>
    <definedName name="CUST487B">#REF!</definedName>
    <definedName name="CUST902" localSheetId="13">#REF!</definedName>
    <definedName name="CUST902" localSheetId="16">#REF!</definedName>
    <definedName name="CUST902" localSheetId="14">#REF!</definedName>
    <definedName name="CUST902" localSheetId="15">#REF!</definedName>
    <definedName name="CUST902" localSheetId="6">#REF!</definedName>
    <definedName name="CUST902" localSheetId="8">#REF!</definedName>
    <definedName name="CUST902" localSheetId="3">#REF!</definedName>
    <definedName name="CUST902" localSheetId="4">#REF!</definedName>
    <definedName name="CUST902">#REF!</definedName>
    <definedName name="CUST903" localSheetId="13">#REF!</definedName>
    <definedName name="CUST903" localSheetId="16">#REF!</definedName>
    <definedName name="CUST903" localSheetId="14">#REF!</definedName>
    <definedName name="CUST903" localSheetId="15">#REF!</definedName>
    <definedName name="CUST903" localSheetId="6">#REF!</definedName>
    <definedName name="CUST903" localSheetId="8">#REF!</definedName>
    <definedName name="CUST903" localSheetId="3">#REF!</definedName>
    <definedName name="CUST903" localSheetId="4">#REF!</definedName>
    <definedName name="CUST903">#REF!</definedName>
    <definedName name="CUSTADV" localSheetId="13">#REF!</definedName>
    <definedName name="CUSTADV" localSheetId="16">#REF!</definedName>
    <definedName name="CUSTADV" localSheetId="14">#REF!</definedName>
    <definedName name="CUSTADV" localSheetId="15">#REF!</definedName>
    <definedName name="CUSTADV" localSheetId="6">#REF!</definedName>
    <definedName name="CUSTADV" localSheetId="8">#REF!</definedName>
    <definedName name="CUSTADV" localSheetId="3">#REF!</definedName>
    <definedName name="CUSTADV" localSheetId="4">#REF!</definedName>
    <definedName name="CUSTADV">#REF!</definedName>
    <definedName name="CUSTDEP" localSheetId="13">#REF!</definedName>
    <definedName name="CUSTDEP" localSheetId="16">#REF!</definedName>
    <definedName name="CUSTDEP" localSheetId="14">#REF!</definedName>
    <definedName name="CUSTDEP" localSheetId="15">#REF!</definedName>
    <definedName name="CUSTDEP" localSheetId="6">#REF!</definedName>
    <definedName name="CUSTDEP" localSheetId="8">#REF!</definedName>
    <definedName name="CUSTDEP" localSheetId="3">#REF!</definedName>
    <definedName name="CUSTDEP" localSheetId="4">#REF!</definedName>
    <definedName name="CUSTDEP">#REF!</definedName>
    <definedName name="custgrowth">#REF!</definedName>
    <definedName name="CustHeader">#REF!</definedName>
    <definedName name="CUSTOMERS">#REF!</definedName>
    <definedName name="cvb">#REF!</definedName>
    <definedName name="CWC">#REF!</definedName>
    <definedName name="CWORKC">#REF!</definedName>
    <definedName name="cxz">#REF!</definedName>
    <definedName name="CYPRUSFAC">#REF!</definedName>
    <definedName name="CYPRUSLF">#REF!</definedName>
    <definedName name="CYPRUSMW">#REF!</definedName>
    <definedName name="CYPRUSMWH">#REF!</definedName>
    <definedName name="DA">#REF!</definedName>
    <definedName name="data">#REF!</definedName>
    <definedName name="_xlnm.Database" localSheetId="32">#REF!</definedName>
    <definedName name="_xlnm.Database" localSheetId="34">#REF!</definedName>
    <definedName name="_xlnm.Database" localSheetId="29">#REF!</definedName>
    <definedName name="_xlnm.Database" localSheetId="35">#REF!</definedName>
    <definedName name="_xlnm.Database" localSheetId="30">#REF!</definedName>
    <definedName name="_xlnm.Database" localSheetId="33">#REF!</definedName>
    <definedName name="_xlnm.Database" localSheetId="36">#REF!</definedName>
    <definedName name="_xlnm.Database" localSheetId="31">#REF!</definedName>
    <definedName name="_xlnm.Database" localSheetId="28">#REF!</definedName>
    <definedName name="_xlnm.Database" localSheetId="26">#REF!</definedName>
    <definedName name="_xlnm.Database" localSheetId="27">#REF!</definedName>
    <definedName name="_xlnm.Database" localSheetId="37">#REF!</definedName>
    <definedName name="_xlnm.Database" localSheetId="38">#REF!</definedName>
    <definedName name="_xlnm.Database">#REF!</definedName>
    <definedName name="DATABASE1">#REF!</definedName>
    <definedName name="Database2">#REF!</definedName>
    <definedName name="date">#REF!</definedName>
    <definedName name="DBDECIMALPOINT1">#REF!</definedName>
    <definedName name="DBDECIMALPOINT3">#REF!</definedName>
    <definedName name="DBName3">#REF!</definedName>
    <definedName name="DBTHOUSANDSSEPARATOR1">#REF!</definedName>
    <definedName name="DBTHOUSANDSSEPARATOR3">#REF!</definedName>
    <definedName name="DBUsername3">#REF!</definedName>
    <definedName name="DDIST">#REF!</definedName>
    <definedName name="DE">#REF!</definedName>
    <definedName name="DEFAULTACTIVITY1">#REF!</definedName>
    <definedName name="DEFAULTACTIVITY3">#REF!</definedName>
    <definedName name="Dem_totM">#REF!</definedName>
    <definedName name="DEM13SUM">#REF!</definedName>
    <definedName name="DEM13WIN">#REF!</definedName>
    <definedName name="demand">#REF!</definedName>
    <definedName name="Demand_IPS">#REF!</definedName>
    <definedName name="Demand_LGS">#REF!</definedName>
    <definedName name="Demand_LGS_TOU">#REF!</definedName>
    <definedName name="Demand_LPS_GT69">#REF!</definedName>
    <definedName name="Demand_LPS_LT69">#REF!</definedName>
    <definedName name="DEMGAS" localSheetId="13">#REF!</definedName>
    <definedName name="DEMGAS" localSheetId="16">#REF!</definedName>
    <definedName name="DEMGAS" localSheetId="14">#REF!</definedName>
    <definedName name="DEMGAS" localSheetId="15">#REF!</definedName>
    <definedName name="DEMGAS" localSheetId="6">#REF!</definedName>
    <definedName name="DEMGAS" localSheetId="8">#REF!</definedName>
    <definedName name="DEMGAS" localSheetId="3">#REF!</definedName>
    <definedName name="DEMGAS" localSheetId="4">#REF!</definedName>
    <definedName name="DEMGAS">#REF!</definedName>
    <definedName name="DESCRIPTION1">#REF!</definedName>
    <definedName name="Detail">#REF!</definedName>
    <definedName name="dfgjfgkghfd">#REF!</definedName>
    <definedName name="DISTMAIN" localSheetId="13">#REF!</definedName>
    <definedName name="DISTMAIN" localSheetId="16">#REF!</definedName>
    <definedName name="DISTMAIN" localSheetId="14">#REF!</definedName>
    <definedName name="DISTMAIN" localSheetId="15">#REF!</definedName>
    <definedName name="DISTMAIN" localSheetId="6">#REF!</definedName>
    <definedName name="DISTMAIN" localSheetId="8">#REF!</definedName>
    <definedName name="DISTMAIN" localSheetId="3">#REF!</definedName>
    <definedName name="DISTMAIN" localSheetId="4">#REF!</definedName>
    <definedName name="DISTMAIN">#REF!</definedName>
    <definedName name="DISTR" localSheetId="13">#REF!</definedName>
    <definedName name="DISTR" localSheetId="16">#REF!</definedName>
    <definedName name="DISTR" localSheetId="14">#REF!</definedName>
    <definedName name="DISTR" localSheetId="15">#REF!</definedName>
    <definedName name="DISTR" localSheetId="6">#REF!</definedName>
    <definedName name="DISTR" localSheetId="8">#REF!</definedName>
    <definedName name="DISTR" localSheetId="3">#REF!</definedName>
    <definedName name="DISTR" localSheetId="4">#REF!</definedName>
    <definedName name="DISTR">#REF!</definedName>
    <definedName name="DISTREG" localSheetId="13">#REF!</definedName>
    <definedName name="DISTREG" localSheetId="16">#REF!</definedName>
    <definedName name="DISTREG" localSheetId="14">#REF!</definedName>
    <definedName name="DISTREG" localSheetId="15">#REF!</definedName>
    <definedName name="DISTREG" localSheetId="6">#REF!</definedName>
    <definedName name="DISTREG" localSheetId="8">#REF!</definedName>
    <definedName name="DISTREG" localSheetId="3">#REF!</definedName>
    <definedName name="DISTREG" localSheetId="4">#REF!</definedName>
    <definedName name="DISTREG">#REF!</definedName>
    <definedName name="DISTRPLT" localSheetId="13">#REF!</definedName>
    <definedName name="DISTRPLT" localSheetId="16">#REF!</definedName>
    <definedName name="DISTRPLT" localSheetId="14">#REF!</definedName>
    <definedName name="DISTRPLT" localSheetId="15">#REF!</definedName>
    <definedName name="DISTRPLT" localSheetId="6">#REF!</definedName>
    <definedName name="DISTRPLT" localSheetId="8">#REF!</definedName>
    <definedName name="DISTRPLT" localSheetId="3">#REF!</definedName>
    <definedName name="DISTRPLT" localSheetId="4">#REF!</definedName>
    <definedName name="DISTRPLT">#REF!</definedName>
    <definedName name="DMFAC">#REF!</definedName>
    <definedName name="DMLF">#REF!</definedName>
    <definedName name="DMMW">#REF!</definedName>
    <definedName name="DMMWH">#REF!</definedName>
    <definedName name="DPROD">#REF!</definedName>
    <definedName name="draft">#REF!</definedName>
    <definedName name="dsw">#REF!</definedName>
    <definedName name="DTRAN">#REF!</definedName>
    <definedName name="e1p1">#REF!</definedName>
    <definedName name="e1p2">#REF!</definedName>
    <definedName name="e2p1">#REF!</definedName>
    <definedName name="e3p1">#REF!</definedName>
    <definedName name="e3p2">#REF!</definedName>
    <definedName name="e4p1">#REF!</definedName>
    <definedName name="e5p1">#REF!</definedName>
    <definedName name="e5p2">#REF!</definedName>
    <definedName name="e5p3">#REF!</definedName>
    <definedName name="e5p4">#REF!</definedName>
    <definedName name="e7p1">#REF!</definedName>
    <definedName name="e8p1">#REF!</definedName>
    <definedName name="EFUEL">#REF!</definedName>
    <definedName name="End_KVARH">#REF!</definedName>
    <definedName name="End_KWH">#REF!</definedName>
    <definedName name="Endcode">#REF!</definedName>
    <definedName name="ENERGY">#REF!</definedName>
    <definedName name="ENERGYSALES">#REF!</definedName>
    <definedName name="equal_coss.">#REF!</definedName>
    <definedName name="ERASE1">#REF!</definedName>
    <definedName name="erq">#REF!</definedName>
    <definedName name="exet">#REF!</definedName>
    <definedName name="exgrowth">#REF!</definedName>
    <definedName name="EXP807C" localSheetId="13">#REF!</definedName>
    <definedName name="EXP807C" localSheetId="16">#REF!</definedName>
    <definedName name="EXP807C" localSheetId="14">#REF!</definedName>
    <definedName name="EXP807C" localSheetId="15">#REF!</definedName>
    <definedName name="EXP807C" localSheetId="6">#REF!</definedName>
    <definedName name="EXP807C" localSheetId="8">#REF!</definedName>
    <definedName name="EXP807C" localSheetId="3">#REF!</definedName>
    <definedName name="EXP807C" localSheetId="4">#REF!</definedName>
    <definedName name="EXP807C">#REF!</definedName>
    <definedName name="EXP807D" localSheetId="13">#REF!</definedName>
    <definedName name="EXP807D" localSheetId="16">#REF!</definedName>
    <definedName name="EXP807D" localSheetId="14">#REF!</definedName>
    <definedName name="EXP807D" localSheetId="15">#REF!</definedName>
    <definedName name="EXP807D" localSheetId="6">#REF!</definedName>
    <definedName name="EXP807D" localSheetId="8">#REF!</definedName>
    <definedName name="EXP807D" localSheetId="3">#REF!</definedName>
    <definedName name="EXP807D" localSheetId="4">#REF!</definedName>
    <definedName name="EXP807D">#REF!</definedName>
    <definedName name="_xlnm.Extract" localSheetId="32">#REF!</definedName>
    <definedName name="_xlnm.Extract" localSheetId="34">#REF!</definedName>
    <definedName name="_xlnm.Extract" localSheetId="29">#REF!</definedName>
    <definedName name="_xlnm.Extract" localSheetId="35">#REF!</definedName>
    <definedName name="_xlnm.Extract" localSheetId="30">#REF!</definedName>
    <definedName name="_xlnm.Extract" localSheetId="33">#REF!</definedName>
    <definedName name="_xlnm.Extract" localSheetId="36">#REF!</definedName>
    <definedName name="_xlnm.Extract" localSheetId="31">#REF!</definedName>
    <definedName name="_xlnm.Extract" localSheetId="28">#REF!</definedName>
    <definedName name="_xlnm.Extract" localSheetId="26">#REF!</definedName>
    <definedName name="_xlnm.Extract" localSheetId="27">#REF!</definedName>
    <definedName name="_xlnm.Extract" localSheetId="37">#REF!</definedName>
    <definedName name="_xlnm.Extract" localSheetId="38">#REF!</definedName>
    <definedName name="_xlnm.Extract">#REF!</definedName>
    <definedName name="f1p1">#REF!</definedName>
    <definedName name="f2p1">#REF!</definedName>
    <definedName name="f3p1">#REF!</definedName>
    <definedName name="FC10Filename" localSheetId="13">#REF!</definedName>
    <definedName name="FC10Filename" localSheetId="16">#REF!</definedName>
    <definedName name="FC10Filename" localSheetId="14">#REF!</definedName>
    <definedName name="FC10Filename" localSheetId="15">#REF!</definedName>
    <definedName name="FC10Filename" localSheetId="6">#REF!</definedName>
    <definedName name="FC10Filename" localSheetId="8">#REF!</definedName>
    <definedName name="FC10Filename" localSheetId="3">#REF!</definedName>
    <definedName name="FC10Filename" localSheetId="4">#REF!</definedName>
    <definedName name="FC10Filename">#REF!</definedName>
    <definedName name="FC11Filename" localSheetId="13">#REF!</definedName>
    <definedName name="FC11Filename" localSheetId="16">#REF!</definedName>
    <definedName name="FC11Filename" localSheetId="14">#REF!</definedName>
    <definedName name="FC11Filename" localSheetId="15">#REF!</definedName>
    <definedName name="FC11Filename" localSheetId="6">#REF!</definedName>
    <definedName name="FC11Filename" localSheetId="8">#REF!</definedName>
    <definedName name="FC11Filename" localSheetId="3">#REF!</definedName>
    <definedName name="FC11Filename" localSheetId="4">#REF!</definedName>
    <definedName name="FC11Filename">#REF!</definedName>
    <definedName name="FC12Filename" localSheetId="13">#REF!</definedName>
    <definedName name="FC12Filename" localSheetId="16">#REF!</definedName>
    <definedName name="FC12Filename" localSheetId="14">#REF!</definedName>
    <definedName name="FC12Filename" localSheetId="15">#REF!</definedName>
    <definedName name="FC12Filename" localSheetId="6">#REF!</definedName>
    <definedName name="FC12Filename" localSheetId="8">#REF!</definedName>
    <definedName name="FC12Filename" localSheetId="3">#REF!</definedName>
    <definedName name="FC12Filename" localSheetId="4">#REF!</definedName>
    <definedName name="FC12Filename">#REF!</definedName>
    <definedName name="FC13Filename" localSheetId="13">#REF!</definedName>
    <definedName name="FC13Filename" localSheetId="16">#REF!</definedName>
    <definedName name="FC13Filename" localSheetId="14">#REF!</definedName>
    <definedName name="FC13Filename" localSheetId="15">#REF!</definedName>
    <definedName name="FC13Filename" localSheetId="6">#REF!</definedName>
    <definedName name="FC13Filename" localSheetId="8">#REF!</definedName>
    <definedName name="FC13Filename" localSheetId="3">#REF!</definedName>
    <definedName name="FC13Filename" localSheetId="4">#REF!</definedName>
    <definedName name="FC13Filename">#REF!</definedName>
    <definedName name="FC14Filename" localSheetId="13">#REF!</definedName>
    <definedName name="FC14Filename" localSheetId="16">#REF!</definedName>
    <definedName name="FC14Filename" localSheetId="14">#REF!</definedName>
    <definedName name="FC14Filename" localSheetId="15">#REF!</definedName>
    <definedName name="FC14Filename" localSheetId="6">#REF!</definedName>
    <definedName name="FC14Filename" localSheetId="8">#REF!</definedName>
    <definedName name="FC14Filename" localSheetId="3">#REF!</definedName>
    <definedName name="FC14Filename" localSheetId="4">#REF!</definedName>
    <definedName name="FC14Filename">#REF!</definedName>
    <definedName name="FC15Filename" localSheetId="13">#REF!</definedName>
    <definedName name="FC15Filename" localSheetId="16">#REF!</definedName>
    <definedName name="FC15Filename" localSheetId="14">#REF!</definedName>
    <definedName name="FC15Filename" localSheetId="15">#REF!</definedName>
    <definedName name="FC15Filename" localSheetId="6">#REF!</definedName>
    <definedName name="FC15Filename" localSheetId="8">#REF!</definedName>
    <definedName name="FC15Filename" localSheetId="3">#REF!</definedName>
    <definedName name="FC15Filename" localSheetId="4">#REF!</definedName>
    <definedName name="FC15Filename">#REF!</definedName>
    <definedName name="FC16Filename" localSheetId="13">#REF!</definedName>
    <definedName name="FC16Filename" localSheetId="16">#REF!</definedName>
    <definedName name="FC16Filename" localSheetId="14">#REF!</definedName>
    <definedName name="FC16Filename" localSheetId="15">#REF!</definedName>
    <definedName name="FC16Filename" localSheetId="6">#REF!</definedName>
    <definedName name="FC16Filename" localSheetId="8">#REF!</definedName>
    <definedName name="FC16Filename" localSheetId="3">#REF!</definedName>
    <definedName name="FC16Filename" localSheetId="4">#REF!</definedName>
    <definedName name="FC16Filename">#REF!</definedName>
    <definedName name="FC17Filename" localSheetId="13">#REF!</definedName>
    <definedName name="FC17Filename" localSheetId="16">#REF!</definedName>
    <definedName name="FC17Filename" localSheetId="14">#REF!</definedName>
    <definedName name="FC17Filename" localSheetId="15">#REF!</definedName>
    <definedName name="FC17Filename" localSheetId="6">#REF!</definedName>
    <definedName name="FC17Filename" localSheetId="8">#REF!</definedName>
    <definedName name="FC17Filename" localSheetId="3">#REF!</definedName>
    <definedName name="FC17Filename" localSheetId="4">#REF!</definedName>
    <definedName name="FC17Filename">#REF!</definedName>
    <definedName name="FC18Filename" localSheetId="13">#REF!</definedName>
    <definedName name="FC18Filename" localSheetId="16">#REF!</definedName>
    <definedName name="FC18Filename" localSheetId="14">#REF!</definedName>
    <definedName name="FC18Filename" localSheetId="15">#REF!</definedName>
    <definedName name="FC18Filename" localSheetId="6">#REF!</definedName>
    <definedName name="FC18Filename" localSheetId="8">#REF!</definedName>
    <definedName name="FC18Filename" localSheetId="3">#REF!</definedName>
    <definedName name="FC18Filename" localSheetId="4">#REF!</definedName>
    <definedName name="FC18Filename">#REF!</definedName>
    <definedName name="FC19Filename" localSheetId="13">#REF!</definedName>
    <definedName name="FC19Filename" localSheetId="16">#REF!</definedName>
    <definedName name="FC19Filename" localSheetId="14">#REF!</definedName>
    <definedName name="FC19Filename" localSheetId="15">#REF!</definedName>
    <definedName name="FC19Filename" localSheetId="6">#REF!</definedName>
    <definedName name="FC19Filename" localSheetId="8">#REF!</definedName>
    <definedName name="FC19Filename" localSheetId="3">#REF!</definedName>
    <definedName name="FC19Filename" localSheetId="4">#REF!</definedName>
    <definedName name="FC19Filename">#REF!</definedName>
    <definedName name="FC1Filename" localSheetId="13">#REF!</definedName>
    <definedName name="FC1Filename" localSheetId="16">#REF!</definedName>
    <definedName name="FC1Filename" localSheetId="14">#REF!</definedName>
    <definedName name="FC1Filename" localSheetId="15">#REF!</definedName>
    <definedName name="FC1Filename" localSheetId="6">#REF!</definedName>
    <definedName name="FC1Filename" localSheetId="8">#REF!</definedName>
    <definedName name="FC1Filename" localSheetId="3">#REF!</definedName>
    <definedName name="FC1Filename" localSheetId="4">#REF!</definedName>
    <definedName name="FC1Filename">#REF!</definedName>
    <definedName name="FC20Filename" localSheetId="13">#REF!</definedName>
    <definedName name="FC20Filename" localSheetId="16">#REF!</definedName>
    <definedName name="FC20Filename" localSheetId="14">#REF!</definedName>
    <definedName name="FC20Filename" localSheetId="15">#REF!</definedName>
    <definedName name="FC20Filename" localSheetId="6">#REF!</definedName>
    <definedName name="FC20Filename" localSheetId="8">#REF!</definedName>
    <definedName name="FC20Filename" localSheetId="3">#REF!</definedName>
    <definedName name="FC20Filename" localSheetId="4">#REF!</definedName>
    <definedName name="FC20Filename">#REF!</definedName>
    <definedName name="FC21Filename" localSheetId="13">#REF!</definedName>
    <definedName name="FC21Filename" localSheetId="16">#REF!</definedName>
    <definedName name="FC21Filename" localSheetId="14">#REF!</definedName>
    <definedName name="FC21Filename" localSheetId="15">#REF!</definedName>
    <definedName name="FC21Filename" localSheetId="6">#REF!</definedName>
    <definedName name="FC21Filename" localSheetId="8">#REF!</definedName>
    <definedName name="FC21Filename" localSheetId="3">#REF!</definedName>
    <definedName name="FC21Filename" localSheetId="4">#REF!</definedName>
    <definedName name="FC21Filename">#REF!</definedName>
    <definedName name="FC22Filename" localSheetId="13">#REF!</definedName>
    <definedName name="FC22Filename" localSheetId="16">#REF!</definedName>
    <definedName name="FC22Filename" localSheetId="14">#REF!</definedName>
    <definedName name="FC22Filename" localSheetId="15">#REF!</definedName>
    <definedName name="FC22Filename" localSheetId="6">#REF!</definedName>
    <definedName name="FC22Filename" localSheetId="8">#REF!</definedName>
    <definedName name="FC22Filename" localSheetId="3">#REF!</definedName>
    <definedName name="FC22Filename" localSheetId="4">#REF!</definedName>
    <definedName name="FC22Filename">#REF!</definedName>
    <definedName name="FC23Filename" localSheetId="13">#REF!</definedName>
    <definedName name="FC23Filename" localSheetId="16">#REF!</definedName>
    <definedName name="FC23Filename" localSheetId="14">#REF!</definedName>
    <definedName name="FC23Filename" localSheetId="15">#REF!</definedName>
    <definedName name="FC23Filename" localSheetId="6">#REF!</definedName>
    <definedName name="FC23Filename" localSheetId="8">#REF!</definedName>
    <definedName name="FC23Filename" localSheetId="3">#REF!</definedName>
    <definedName name="FC23Filename" localSheetId="4">#REF!</definedName>
    <definedName name="FC23Filename">#REF!</definedName>
    <definedName name="FC24Filename" localSheetId="13">#REF!</definedName>
    <definedName name="FC24Filename" localSheetId="16">#REF!</definedName>
    <definedName name="FC24Filename" localSheetId="14">#REF!</definedName>
    <definedName name="FC24Filename" localSheetId="15">#REF!</definedName>
    <definedName name="FC24Filename" localSheetId="6">#REF!</definedName>
    <definedName name="FC24Filename" localSheetId="8">#REF!</definedName>
    <definedName name="FC24Filename" localSheetId="3">#REF!</definedName>
    <definedName name="FC24Filename" localSheetId="4">#REF!</definedName>
    <definedName name="FC24Filename">#REF!</definedName>
    <definedName name="FC25Filename" localSheetId="13">#REF!</definedName>
    <definedName name="FC25Filename" localSheetId="16">#REF!</definedName>
    <definedName name="FC25Filename" localSheetId="14">#REF!</definedName>
    <definedName name="FC25Filename" localSheetId="15">#REF!</definedName>
    <definedName name="FC25Filename" localSheetId="6">#REF!</definedName>
    <definedName name="FC25Filename" localSheetId="8">#REF!</definedName>
    <definedName name="FC25Filename" localSheetId="3">#REF!</definedName>
    <definedName name="FC25Filename" localSheetId="4">#REF!</definedName>
    <definedName name="FC25Filename">#REF!</definedName>
    <definedName name="FC26Filename" localSheetId="13">#REF!</definedName>
    <definedName name="FC26Filename" localSheetId="16">#REF!</definedName>
    <definedName name="FC26Filename" localSheetId="14">#REF!</definedName>
    <definedName name="FC26Filename" localSheetId="15">#REF!</definedName>
    <definedName name="FC26Filename" localSheetId="6">#REF!</definedName>
    <definedName name="FC26Filename" localSheetId="8">#REF!</definedName>
    <definedName name="FC26Filename" localSheetId="3">#REF!</definedName>
    <definedName name="FC26Filename" localSheetId="4">#REF!</definedName>
    <definedName name="FC26Filename">#REF!</definedName>
    <definedName name="FC27Filename" localSheetId="13">#REF!</definedName>
    <definedName name="FC27Filename" localSheetId="16">#REF!</definedName>
    <definedName name="FC27Filename" localSheetId="14">#REF!</definedName>
    <definedName name="FC27Filename" localSheetId="15">#REF!</definedName>
    <definedName name="FC27Filename" localSheetId="6">#REF!</definedName>
    <definedName name="FC27Filename" localSheetId="8">#REF!</definedName>
    <definedName name="FC27Filename" localSheetId="3">#REF!</definedName>
    <definedName name="FC27Filename" localSheetId="4">#REF!</definedName>
    <definedName name="FC27Filename">#REF!</definedName>
    <definedName name="FC28Filename" localSheetId="13">#REF!</definedName>
    <definedName name="FC28Filename" localSheetId="16">#REF!</definedName>
    <definedName name="FC28Filename" localSheetId="14">#REF!</definedName>
    <definedName name="FC28Filename" localSheetId="15">#REF!</definedName>
    <definedName name="FC28Filename" localSheetId="6">#REF!</definedName>
    <definedName name="FC28Filename" localSheetId="8">#REF!</definedName>
    <definedName name="FC28Filename" localSheetId="3">#REF!</definedName>
    <definedName name="FC28Filename" localSheetId="4">#REF!</definedName>
    <definedName name="FC28Filename">#REF!</definedName>
    <definedName name="FC29Filename" localSheetId="13">#REF!</definedName>
    <definedName name="FC29Filename" localSheetId="16">#REF!</definedName>
    <definedName name="FC29Filename" localSheetId="14">#REF!</definedName>
    <definedName name="FC29Filename" localSheetId="15">#REF!</definedName>
    <definedName name="FC29Filename" localSheetId="6">#REF!</definedName>
    <definedName name="FC29Filename" localSheetId="8">#REF!</definedName>
    <definedName name="FC29Filename" localSheetId="3">#REF!</definedName>
    <definedName name="FC29Filename" localSheetId="4">#REF!</definedName>
    <definedName name="FC29Filename">#REF!</definedName>
    <definedName name="FC2Filename" localSheetId="13">#REF!</definedName>
    <definedName name="FC2Filename" localSheetId="16">#REF!</definedName>
    <definedName name="FC2Filename" localSheetId="14">#REF!</definedName>
    <definedName name="FC2Filename" localSheetId="15">#REF!</definedName>
    <definedName name="FC2Filename" localSheetId="6">#REF!</definedName>
    <definedName name="FC2Filename" localSheetId="8">#REF!</definedName>
    <definedName name="FC2Filename" localSheetId="3">#REF!</definedName>
    <definedName name="FC2Filename" localSheetId="4">#REF!</definedName>
    <definedName name="FC2Filename">#REF!</definedName>
    <definedName name="FC30Filename" localSheetId="13">#REF!</definedName>
    <definedName name="FC30Filename" localSheetId="16">#REF!</definedName>
    <definedName name="FC30Filename" localSheetId="14">#REF!</definedName>
    <definedName name="FC30Filename" localSheetId="15">#REF!</definedName>
    <definedName name="FC30Filename" localSheetId="6">#REF!</definedName>
    <definedName name="FC30Filename" localSheetId="8">#REF!</definedName>
    <definedName name="FC30Filename" localSheetId="3">#REF!</definedName>
    <definedName name="FC30Filename" localSheetId="4">#REF!</definedName>
    <definedName name="FC30Filename">#REF!</definedName>
    <definedName name="FC3Filename" localSheetId="13">#REF!</definedName>
    <definedName name="FC3Filename" localSheetId="16">#REF!</definedName>
    <definedName name="FC3Filename" localSheetId="14">#REF!</definedName>
    <definedName name="FC3Filename" localSheetId="15">#REF!</definedName>
    <definedName name="FC3Filename" localSheetId="6">#REF!</definedName>
    <definedName name="FC3Filename" localSheetId="8">#REF!</definedName>
    <definedName name="FC3Filename" localSheetId="3">#REF!</definedName>
    <definedName name="FC3Filename" localSheetId="4">#REF!</definedName>
    <definedName name="FC3Filename">#REF!</definedName>
    <definedName name="FC4Filename" localSheetId="13">#REF!</definedName>
    <definedName name="FC4Filename" localSheetId="16">#REF!</definedName>
    <definedName name="FC4Filename" localSheetId="14">#REF!</definedName>
    <definedName name="FC4Filename" localSheetId="15">#REF!</definedName>
    <definedName name="FC4Filename" localSheetId="6">#REF!</definedName>
    <definedName name="FC4Filename" localSheetId="8">#REF!</definedName>
    <definedName name="FC4Filename" localSheetId="3">#REF!</definedName>
    <definedName name="FC4Filename" localSheetId="4">#REF!</definedName>
    <definedName name="FC4Filename">#REF!</definedName>
    <definedName name="FC5Filename" localSheetId="13">#REF!</definedName>
    <definedName name="FC5Filename" localSheetId="16">#REF!</definedName>
    <definedName name="FC5Filename" localSheetId="14">#REF!</definedName>
    <definedName name="FC5Filename" localSheetId="15">#REF!</definedName>
    <definedName name="FC5Filename" localSheetId="6">#REF!</definedName>
    <definedName name="FC5Filename" localSheetId="8">#REF!</definedName>
    <definedName name="FC5Filename" localSheetId="3">#REF!</definedName>
    <definedName name="FC5Filename" localSheetId="4">#REF!</definedName>
    <definedName name="FC5Filename">#REF!</definedName>
    <definedName name="FC6Filename" localSheetId="13">#REF!</definedName>
    <definedName name="FC6Filename" localSheetId="16">#REF!</definedName>
    <definedName name="FC6Filename" localSheetId="14">#REF!</definedName>
    <definedName name="FC6Filename" localSheetId="15">#REF!</definedName>
    <definedName name="FC6Filename" localSheetId="6">#REF!</definedName>
    <definedName name="FC6Filename" localSheetId="8">#REF!</definedName>
    <definedName name="FC6Filename" localSheetId="3">#REF!</definedName>
    <definedName name="FC6Filename" localSheetId="4">#REF!</definedName>
    <definedName name="FC6Filename">#REF!</definedName>
    <definedName name="FC7Filename" localSheetId="13">#REF!</definedName>
    <definedName name="FC7Filename" localSheetId="16">#REF!</definedName>
    <definedName name="FC7Filename" localSheetId="14">#REF!</definedName>
    <definedName name="FC7Filename" localSheetId="15">#REF!</definedName>
    <definedName name="FC7Filename" localSheetId="6">#REF!</definedName>
    <definedName name="FC7Filename" localSheetId="8">#REF!</definedName>
    <definedName name="FC7Filename" localSheetId="3">#REF!</definedName>
    <definedName name="FC7Filename" localSheetId="4">#REF!</definedName>
    <definedName name="FC7Filename">#REF!</definedName>
    <definedName name="FC8Filename" localSheetId="13">#REF!</definedName>
    <definedName name="FC8Filename" localSheetId="16">#REF!</definedName>
    <definedName name="FC8Filename" localSheetId="14">#REF!</definedName>
    <definedName name="FC8Filename" localSheetId="15">#REF!</definedName>
    <definedName name="FC8Filename" localSheetId="6">#REF!</definedName>
    <definedName name="FC8Filename" localSheetId="8">#REF!</definedName>
    <definedName name="FC8Filename" localSheetId="3">#REF!</definedName>
    <definedName name="FC8Filename" localSheetId="4">#REF!</definedName>
    <definedName name="FC8Filename">#REF!</definedName>
    <definedName name="FC9Filename" localSheetId="13">#REF!</definedName>
    <definedName name="FC9Filename" localSheetId="16">#REF!</definedName>
    <definedName name="FC9Filename" localSheetId="14">#REF!</definedName>
    <definedName name="FC9Filename" localSheetId="15">#REF!</definedName>
    <definedName name="FC9Filename" localSheetId="6">#REF!</definedName>
    <definedName name="FC9Filename" localSheetId="8">#REF!</definedName>
    <definedName name="FC9Filename" localSheetId="3">#REF!</definedName>
    <definedName name="FC9Filename" localSheetId="4">#REF!</definedName>
    <definedName name="FC9Filename">#REF!</definedName>
    <definedName name="FCSWITCH" localSheetId="13">#REF!</definedName>
    <definedName name="FCSWITCH" localSheetId="16">#REF!</definedName>
    <definedName name="FCSWITCH" localSheetId="14">#REF!</definedName>
    <definedName name="FCSWITCH" localSheetId="15">#REF!</definedName>
    <definedName name="FCSWITCH" localSheetId="6">#REF!</definedName>
    <definedName name="FCSWITCH" localSheetId="8">#REF!</definedName>
    <definedName name="FCSWITCH" localSheetId="3">#REF!</definedName>
    <definedName name="FCSWITCH" localSheetId="4">#REF!</definedName>
    <definedName name="FCSWITCH">#REF!</definedName>
    <definedName name="FCTCcalcN">"optbox_FCcalcN"</definedName>
    <definedName name="FCTCcalcY">"optbox_FccalcY"</definedName>
    <definedName name="FERCColumn">#REF!</definedName>
    <definedName name="FFAbove1_1">#REF!</definedName>
    <definedName name="FFAbove1_3">#REF!</definedName>
    <definedName name="FFAbove10_1">#REF!</definedName>
    <definedName name="FFAbove10_3">#REF!</definedName>
    <definedName name="FFAbove11_1">#REF!</definedName>
    <definedName name="FFAbove11_3">#REF!</definedName>
    <definedName name="FFAbove12_1">#REF!</definedName>
    <definedName name="FFAbove12_3">#REF!</definedName>
    <definedName name="FFAbove2_1">#REF!</definedName>
    <definedName name="FFAbove2_3">#REF!</definedName>
    <definedName name="FFAbove3_1">#REF!</definedName>
    <definedName name="FFAbove3_3">#REF!</definedName>
    <definedName name="FFAbove4_1">#REF!</definedName>
    <definedName name="FFAbove4_3">#REF!</definedName>
    <definedName name="FFAbove5_1">#REF!</definedName>
    <definedName name="FFAbove5_3">#REF!</definedName>
    <definedName name="FFAbove6_1">#REF!</definedName>
    <definedName name="FFAbove6_3">#REF!</definedName>
    <definedName name="FFAbove7_1">#REF!</definedName>
    <definedName name="FFAbove7_3">#REF!</definedName>
    <definedName name="FFAbove8_1">#REF!</definedName>
    <definedName name="FFAbove8_3">#REF!</definedName>
    <definedName name="FFAbove9_1">#REF!</definedName>
    <definedName name="FFAbove9_3">#REF!</definedName>
    <definedName name="FFAppColName1_3">#REF!</definedName>
    <definedName name="FFAppColName10_3">#REF!</definedName>
    <definedName name="FFAppColName11_3">#REF!</definedName>
    <definedName name="FFAppColName12_3">#REF!</definedName>
    <definedName name="FFAppColName2_3">#REF!</definedName>
    <definedName name="FFAppColName3_3">#REF!</definedName>
    <definedName name="FFAppColName4_3">#REF!</definedName>
    <definedName name="FFAppColName5_3">#REF!</definedName>
    <definedName name="FFAppColName6_3">#REF!</definedName>
    <definedName name="FFAppColName7_3">#REF!</definedName>
    <definedName name="FFAppColName8_3">#REF!</definedName>
    <definedName name="FFAppColName9_3">#REF!</definedName>
    <definedName name="FFDisplay1_1">#REF!</definedName>
    <definedName name="FFDisplay1_3">#REF!</definedName>
    <definedName name="FFDisplay10_1">#REF!</definedName>
    <definedName name="FFDisplay10_3">#REF!</definedName>
    <definedName name="FFDisplay11_1">#REF!</definedName>
    <definedName name="FFDisplay11_3">#REF!</definedName>
    <definedName name="FFDisplay12_1">#REF!</definedName>
    <definedName name="FFDisplay12_3">#REF!</definedName>
    <definedName name="FFDisplay2_1">#REF!</definedName>
    <definedName name="FFDisplay2_3">#REF!</definedName>
    <definedName name="FFDisplay3_1">#REF!</definedName>
    <definedName name="FFDisplay3_3">#REF!</definedName>
    <definedName name="FFDisplay4_1">#REF!</definedName>
    <definedName name="FFDisplay4_3">#REF!</definedName>
    <definedName name="FFDisplay5_1">#REF!</definedName>
    <definedName name="FFDisplay5_3">#REF!</definedName>
    <definedName name="FFDisplay6_1">#REF!</definedName>
    <definedName name="FFDisplay6_3">#REF!</definedName>
    <definedName name="FFDisplay7_1">#REF!</definedName>
    <definedName name="FFDisplay7_3">#REF!</definedName>
    <definedName name="FFDisplay8_1">#REF!</definedName>
    <definedName name="FFDisplay8_3">#REF!</definedName>
    <definedName name="FFDisplay9_1">#REF!</definedName>
    <definedName name="FFDisplay9_3">#REF!</definedName>
    <definedName name="ffff">#REF!</definedName>
    <definedName name="FFMaximum1_1">#REF!</definedName>
    <definedName name="FFMaximum1_3">#REF!</definedName>
    <definedName name="FFMaximum10_1">#REF!</definedName>
    <definedName name="FFMaximum10_3">#REF!</definedName>
    <definedName name="FFMaximum11_1">#REF!</definedName>
    <definedName name="FFMaximum11_3">#REF!</definedName>
    <definedName name="FFMaximum12_1">#REF!</definedName>
    <definedName name="FFMaximum12_3">#REF!</definedName>
    <definedName name="FFMaximum2_1">#REF!</definedName>
    <definedName name="FFMaximum2_3">#REF!</definedName>
    <definedName name="FFMaximum3_1">#REF!</definedName>
    <definedName name="FFMaximum3_3">#REF!</definedName>
    <definedName name="FFMaximum4_1">#REF!</definedName>
    <definedName name="FFMaximum4_3">#REF!</definedName>
    <definedName name="FFMaximum5_1">#REF!</definedName>
    <definedName name="FFMaximum5_3">#REF!</definedName>
    <definedName name="FFMaximum6_1">#REF!</definedName>
    <definedName name="FFMaximum6_3">#REF!</definedName>
    <definedName name="FFMaximum7_1">#REF!</definedName>
    <definedName name="FFMaximum7_3">#REF!</definedName>
    <definedName name="FFMaximum8_1">#REF!</definedName>
    <definedName name="FFMaximum8_3">#REF!</definedName>
    <definedName name="FFMaximum9_1">#REF!</definedName>
    <definedName name="FFMaximum9_3">#REF!</definedName>
    <definedName name="FFSegment1_3">#REF!</definedName>
    <definedName name="FFSegment10_3">#REF!</definedName>
    <definedName name="FFSegment11_3">#REF!</definedName>
    <definedName name="FFSegment12_3">#REF!</definedName>
    <definedName name="FFSegment2_3">#REF!</definedName>
    <definedName name="FFSegment3_3">#REF!</definedName>
    <definedName name="FFSegment4_3">#REF!</definedName>
    <definedName name="FFSegment5_3">#REF!</definedName>
    <definedName name="FFSegment6_3">#REF!</definedName>
    <definedName name="FFSegment7_3">#REF!</definedName>
    <definedName name="FFSegment8_3">#REF!</definedName>
    <definedName name="FFSegment9_3">#REF!</definedName>
    <definedName name="FFSegSeparator3">#REF!</definedName>
    <definedName name="fgjkdfhggsdf">#REF!,#REF!,#REF!,#REF!,#REF!,#REF!,#REF!,#REF!,#REF!,#REF!,#REF!,#REF!,#REF!,#REF!,#REF!</definedName>
    <definedName name="firstcust">#REF!</definedName>
    <definedName name="firstkwh">#REF!</definedName>
    <definedName name="FIRSTSUM">#REF!</definedName>
    <definedName name="FIRSTWIN">#REF!</definedName>
    <definedName name="FNDNAM3">#REF!</definedName>
    <definedName name="FNDUserID3">#REF!</definedName>
    <definedName name="ForcastRev">#REF!</definedName>
    <definedName name="ForecastRev72">#REF!</definedName>
    <definedName name="ForecastRev73">#REF!</definedName>
    <definedName name="ForecastRevHeader">#REF!</definedName>
    <definedName name="ForecastRevHeader72">#REF!</definedName>
    <definedName name="FORFDISC" localSheetId="13">#REF!</definedName>
    <definedName name="FORFDISC" localSheetId="16">#REF!</definedName>
    <definedName name="FORFDISC" localSheetId="14">#REF!</definedName>
    <definedName name="FORFDISC" localSheetId="15">#REF!</definedName>
    <definedName name="FORFDISC" localSheetId="6">#REF!</definedName>
    <definedName name="FORFDISC" localSheetId="8">#REF!</definedName>
    <definedName name="FORFDISC" localSheetId="3">#REF!</definedName>
    <definedName name="FORFDISC" localSheetId="4">#REF!</definedName>
    <definedName name="FORFDISC">#REF!</definedName>
    <definedName name="FRANM">#REF!</definedName>
    <definedName name="FRANT">#REF!</definedName>
    <definedName name="FTHUAFAC">#REF!</definedName>
    <definedName name="FTHUALF">#REF!</definedName>
    <definedName name="FTHUAMW">#REF!</definedName>
    <definedName name="FTHUAMWH">#REF!</definedName>
    <definedName name="Function">#REF!</definedName>
    <definedName name="FunctionHeader">#REF!</definedName>
    <definedName name="FYear1" localSheetId="13">#REF!</definedName>
    <definedName name="FYear1" localSheetId="16">#REF!</definedName>
    <definedName name="FYear1" localSheetId="14">#REF!</definedName>
    <definedName name="FYear1" localSheetId="15">#REF!</definedName>
    <definedName name="FYear1" localSheetId="6">#REF!</definedName>
    <definedName name="FYear1" localSheetId="8">#REF!</definedName>
    <definedName name="FYear1" localSheetId="3">#REF!</definedName>
    <definedName name="FYear1" localSheetId="4">#REF!</definedName>
    <definedName name="FYear1">#REF!</definedName>
    <definedName name="FYear2" localSheetId="13">#REF!</definedName>
    <definedName name="FYear2" localSheetId="16">#REF!</definedName>
    <definedName name="FYear2" localSheetId="14">#REF!</definedName>
    <definedName name="FYear2" localSheetId="15">#REF!</definedName>
    <definedName name="FYear2" localSheetId="6">#REF!</definedName>
    <definedName name="FYear2" localSheetId="8">#REF!</definedName>
    <definedName name="FYear2" localSheetId="3">#REF!</definedName>
    <definedName name="FYear2" localSheetId="4">#REF!</definedName>
    <definedName name="FYear2">#REF!</definedName>
    <definedName name="FYear3" localSheetId="13">#REF!</definedName>
    <definedName name="FYear3" localSheetId="16">#REF!</definedName>
    <definedName name="FYear3" localSheetId="14">#REF!</definedName>
    <definedName name="FYear3" localSheetId="15">#REF!</definedName>
    <definedName name="FYear3" localSheetId="6">#REF!</definedName>
    <definedName name="FYear3" localSheetId="8">#REF!</definedName>
    <definedName name="FYear3" localSheetId="3">#REF!</definedName>
    <definedName name="FYear3" localSheetId="4">#REF!</definedName>
    <definedName name="FYear3">#REF!</definedName>
    <definedName name="FYear4" localSheetId="13">#REF!</definedName>
    <definedName name="FYear4" localSheetId="16">#REF!</definedName>
    <definedName name="FYear4" localSheetId="14">#REF!</definedName>
    <definedName name="FYear4" localSheetId="15">#REF!</definedName>
    <definedName name="FYear4" localSheetId="6">#REF!</definedName>
    <definedName name="FYear4" localSheetId="8">#REF!</definedName>
    <definedName name="FYear4" localSheetId="3">#REF!</definedName>
    <definedName name="FYear4" localSheetId="4">#REF!</definedName>
    <definedName name="FYear4">#REF!</definedName>
    <definedName name="FYear5" localSheetId="13">#REF!</definedName>
    <definedName name="FYear5" localSheetId="16">#REF!</definedName>
    <definedName name="FYear5" localSheetId="14">#REF!</definedName>
    <definedName name="FYear5" localSheetId="15">#REF!</definedName>
    <definedName name="FYear5" localSheetId="6">#REF!</definedName>
    <definedName name="FYear5" localSheetId="8">#REF!</definedName>
    <definedName name="FYear5" localSheetId="3">#REF!</definedName>
    <definedName name="FYear5" localSheetId="4">#REF!</definedName>
    <definedName name="FYear5">#REF!</definedName>
    <definedName name="G_KVARH">#REF!</definedName>
    <definedName name="G_KWH">#REF!</definedName>
    <definedName name="G4_p1">#REF!</definedName>
    <definedName name="G4_p2_6">#REF!</definedName>
    <definedName name="GASCOSTS" localSheetId="13">#REF!</definedName>
    <definedName name="GASCOSTS" localSheetId="16">#REF!</definedName>
    <definedName name="GASCOSTS" localSheetId="14">#REF!</definedName>
    <definedName name="GASCOSTS" localSheetId="15">#REF!</definedName>
    <definedName name="GASCOSTS" localSheetId="6">#REF!</definedName>
    <definedName name="GASCOSTS" localSheetId="8">#REF!</definedName>
    <definedName name="GASCOSTS" localSheetId="3">#REF!</definedName>
    <definedName name="GASCOSTS" localSheetId="4">#REF!</definedName>
    <definedName name="GASCOSTS">#REF!</definedName>
    <definedName name="gasdfgsd">#REF!</definedName>
    <definedName name="gasg">#REF!,#REF!,#REF!,#REF!,#REF!,#REF!,#REF!,#REF!,#REF!,#REF!,#REF!,#REF!,#REF!,#REF!,#REF!</definedName>
    <definedName name="GASSALES" localSheetId="13">#REF!</definedName>
    <definedName name="GASSALES" localSheetId="16">#REF!</definedName>
    <definedName name="GASSALES" localSheetId="14">#REF!</definedName>
    <definedName name="GASSALES" localSheetId="15">#REF!</definedName>
    <definedName name="GASSALES" localSheetId="6">#REF!</definedName>
    <definedName name="GASSALES" localSheetId="8">#REF!</definedName>
    <definedName name="GASSALES" localSheetId="3">#REF!</definedName>
    <definedName name="GASSALES" localSheetId="4">#REF!</definedName>
    <definedName name="GASSALES">#REF!</definedName>
    <definedName name="GENPLT" localSheetId="13">#REF!</definedName>
    <definedName name="GENPLT" localSheetId="16">#REF!</definedName>
    <definedName name="GENPLT" localSheetId="14">#REF!</definedName>
    <definedName name="GENPLT" localSheetId="15">#REF!</definedName>
    <definedName name="GENPLT" localSheetId="6">#REF!</definedName>
    <definedName name="GENPLT" localSheetId="8">#REF!</definedName>
    <definedName name="GENPLT" localSheetId="3">#REF!</definedName>
    <definedName name="GENPLT" localSheetId="4">#REF!</definedName>
    <definedName name="GENPLT">#REF!</definedName>
    <definedName name="ggg">#REF!</definedName>
    <definedName name="GROSS_REVENUE">#REF!</definedName>
    <definedName name="GWYUID3">#REF!</definedName>
    <definedName name="HEADER">#REF!</definedName>
    <definedName name="Header44">#REF!</definedName>
    <definedName name="hgf">#REF!</definedName>
    <definedName name="histdate">#REF!</definedName>
    <definedName name="HOME">#REF!</definedName>
    <definedName name="HS_Peak">#REF!</definedName>
    <definedName name="HTITLE">#REF!</definedName>
    <definedName name="HTITLE1">#REF!</definedName>
    <definedName name="HTITLE26" localSheetId="13">#REF!</definedName>
    <definedName name="HTITLE26" localSheetId="16">#REF!</definedName>
    <definedName name="HTITLE26" localSheetId="14">#REF!</definedName>
    <definedName name="HTITLE26" localSheetId="15">#REF!</definedName>
    <definedName name="HTITLE26" localSheetId="6">#REF!</definedName>
    <definedName name="HTITLE26" localSheetId="8">#REF!</definedName>
    <definedName name="HTITLE26" localSheetId="3">#REF!</definedName>
    <definedName name="HTITLE26" localSheetId="4">#REF!</definedName>
    <definedName name="HTITLE26">#REF!</definedName>
    <definedName name="HTITLE27" localSheetId="13">#REF!</definedName>
    <definedName name="HTITLE27" localSheetId="16">#REF!</definedName>
    <definedName name="HTITLE27" localSheetId="14">#REF!</definedName>
    <definedName name="HTITLE27" localSheetId="15">#REF!</definedName>
    <definedName name="HTITLE27" localSheetId="6">#REF!</definedName>
    <definedName name="HTITLE27" localSheetId="8">#REF!</definedName>
    <definedName name="HTITLE27" localSheetId="3">#REF!</definedName>
    <definedName name="HTITLE27" localSheetId="4">#REF!</definedName>
    <definedName name="HTITLE27">#REF!</definedName>
    <definedName name="HTITLE28" localSheetId="13">#REF!</definedName>
    <definedName name="HTITLE28" localSheetId="16">#REF!</definedName>
    <definedName name="HTITLE28" localSheetId="14">#REF!</definedName>
    <definedName name="HTITLE28" localSheetId="15">#REF!</definedName>
    <definedName name="HTITLE28" localSheetId="6">#REF!</definedName>
    <definedName name="HTITLE28" localSheetId="8">#REF!</definedName>
    <definedName name="HTITLE28" localSheetId="3">#REF!</definedName>
    <definedName name="HTITLE28" localSheetId="4">#REF!</definedName>
    <definedName name="HTITLE28">#REF!</definedName>
    <definedName name="HTITLE29" localSheetId="13">#REF!</definedName>
    <definedName name="HTITLE29" localSheetId="16">#REF!</definedName>
    <definedName name="HTITLE29" localSheetId="14">#REF!</definedName>
    <definedName name="HTITLE29" localSheetId="15">#REF!</definedName>
    <definedName name="HTITLE29" localSheetId="6">#REF!</definedName>
    <definedName name="HTITLE29" localSheetId="8">#REF!</definedName>
    <definedName name="HTITLE29" localSheetId="3">#REF!</definedName>
    <definedName name="HTITLE29" localSheetId="4">#REF!</definedName>
    <definedName name="HTITLE29">#REF!</definedName>
    <definedName name="HTITLE30" localSheetId="13">#REF!</definedName>
    <definedName name="HTITLE30" localSheetId="16">#REF!</definedName>
    <definedName name="HTITLE30" localSheetId="14">#REF!</definedName>
    <definedName name="HTITLE30" localSheetId="15">#REF!</definedName>
    <definedName name="HTITLE30" localSheetId="6">#REF!</definedName>
    <definedName name="HTITLE30" localSheetId="8">#REF!</definedName>
    <definedName name="HTITLE30" localSheetId="3">#REF!</definedName>
    <definedName name="HTITLE30" localSheetId="4">#REF!</definedName>
    <definedName name="HTITLE30">#REF!</definedName>
    <definedName name="HUGHESFAC">#REF!</definedName>
    <definedName name="HUGHESLF">#REF!</definedName>
    <definedName name="HUGHESMW">#REF!</definedName>
    <definedName name="HUGHESMWH">#REF!</definedName>
    <definedName name="IBMFAC">#REF!</definedName>
    <definedName name="IBMLF">#REF!</definedName>
    <definedName name="IBMMW">#REF!</definedName>
    <definedName name="IBMMWH">#REF!</definedName>
    <definedName name="Inc_Stat">#REF!</definedName>
    <definedName name="Ind30CUScharge">#REF!</definedName>
    <definedName name="Ind32CUScharge">#REF!</definedName>
    <definedName name="Index">#REF!</definedName>
    <definedName name="IndexHeader">#REF!</definedName>
    <definedName name="INDREV" localSheetId="13">#REF!</definedName>
    <definedName name="INDREV" localSheetId="16">#REF!</definedName>
    <definedName name="INDREV" localSheetId="14">#REF!</definedName>
    <definedName name="INDREV" localSheetId="15">#REF!</definedName>
    <definedName name="INDREV" localSheetId="6">#REF!</definedName>
    <definedName name="INDREV" localSheetId="8">#REF!</definedName>
    <definedName name="INDREV" localSheetId="3">#REF!</definedName>
    <definedName name="INDREV" localSheetId="4">#REF!</definedName>
    <definedName name="INDREV">#REF!</definedName>
    <definedName name="Info_Table" localSheetId="13">#REF!</definedName>
    <definedName name="Info_Table" localSheetId="16">#REF!</definedName>
    <definedName name="Info_Table" localSheetId="14">#REF!</definedName>
    <definedName name="Info_Table" localSheetId="15">#REF!</definedName>
    <definedName name="Info_Table" localSheetId="6">#REF!</definedName>
    <definedName name="Info_Table" localSheetId="8">#REF!</definedName>
    <definedName name="Info_Table" localSheetId="3">#REF!</definedName>
    <definedName name="Info_Table" localSheetId="4">#REF!</definedName>
    <definedName name="Info_Table">#REF!</definedName>
    <definedName name="INPUT">#REF!</definedName>
    <definedName name="INPUT_REVENUE_REQUIREMENT">#REF!</definedName>
    <definedName name="INTTOTCO">#REF!</definedName>
    <definedName name="Irr60CUScharge">#REF!</definedName>
    <definedName name="IRRIGATION_SERVICE_RATE_I_60">'GGIRS Billed'!$A$6:$H$10</definedName>
    <definedName name="jjj">#REF!</definedName>
    <definedName name="kghfssfg">#REF!</definedName>
    <definedName name="kkk">#REF!</definedName>
    <definedName name="KVAR_GAH">#REF!</definedName>
    <definedName name="KVARH">#REF!</definedName>
    <definedName name="KVARH_GA">#REF!</definedName>
    <definedName name="KVARH_GAM">#REF!</definedName>
    <definedName name="KVARH_GS">#REF!</definedName>
    <definedName name="KVARH_GSM">#REF!</definedName>
    <definedName name="KWH">#REF!</definedName>
    <definedName name="KWH_GA">#REF!</definedName>
    <definedName name="KWH_GAH">#REF!</definedName>
    <definedName name="KWH_GS">#REF!</definedName>
    <definedName name="KWH_GS1">#REF!</definedName>
    <definedName name="kWh_IPS">#REF!</definedName>
    <definedName name="kWh_LGS">#REF!</definedName>
    <definedName name="kWh_LGS_TOU">#REF!</definedName>
    <definedName name="kWh_LPS_GT69">#REF!</definedName>
    <definedName name="kWh_LPS_LT69">#REF!</definedName>
    <definedName name="kWh_RSMO">#REF!</definedName>
    <definedName name="kWh_RSSC">#REF!</definedName>
    <definedName name="kWh_SGSSC">#REF!</definedName>
    <definedName name="kWh_SSGMO">#REF!</definedName>
    <definedName name="KWH_SUM">#REF!</definedName>
    <definedName name="KWH01SUM">#REF!</definedName>
    <definedName name="KWH01WIN">#REF!</definedName>
    <definedName name="KWH02SUM">#REF!</definedName>
    <definedName name="KWH02WIN">#REF!</definedName>
    <definedName name="KWH03SUM">#REF!</definedName>
    <definedName name="KWH03WIN">#REF!</definedName>
    <definedName name="KWH11SUM">#REF!</definedName>
    <definedName name="KWH11WIN">#REF!</definedName>
    <definedName name="KWH13SUM">#REF!</definedName>
    <definedName name="KWH13WIN">#REF!</definedName>
    <definedName name="KWH14SUM">#REF!</definedName>
    <definedName name="KWH14WIN">#REF!</definedName>
    <definedName name="LABCA" localSheetId="13">#REF!</definedName>
    <definedName name="LABCA" localSheetId="16">#REF!</definedName>
    <definedName name="LABCA" localSheetId="14">#REF!</definedName>
    <definedName name="LABCA" localSheetId="15">#REF!</definedName>
    <definedName name="LABCA" localSheetId="6">#REF!</definedName>
    <definedName name="LABCA" localSheetId="8">#REF!</definedName>
    <definedName name="LABCA" localSheetId="3">#REF!</definedName>
    <definedName name="LABCA" localSheetId="4">#REF!</definedName>
    <definedName name="LABCA">#REF!</definedName>
    <definedName name="LABCS" localSheetId="13">#REF!</definedName>
    <definedName name="LABCS" localSheetId="16">#REF!</definedName>
    <definedName name="LABCS" localSheetId="14">#REF!</definedName>
    <definedName name="LABCS" localSheetId="15">#REF!</definedName>
    <definedName name="LABCS" localSheetId="6">#REF!</definedName>
    <definedName name="LABCS" localSheetId="8">#REF!</definedName>
    <definedName name="LABCS" localSheetId="3">#REF!</definedName>
    <definedName name="LABCS" localSheetId="4">#REF!</definedName>
    <definedName name="LABCS">#REF!</definedName>
    <definedName name="LABDM" localSheetId="13">#REF!</definedName>
    <definedName name="LABDM" localSheetId="16">#REF!</definedName>
    <definedName name="LABDM" localSheetId="14">#REF!</definedName>
    <definedName name="LABDM" localSheetId="15">#REF!</definedName>
    <definedName name="LABDM" localSheetId="6">#REF!</definedName>
    <definedName name="LABDM" localSheetId="8">#REF!</definedName>
    <definedName name="LABDM" localSheetId="3">#REF!</definedName>
    <definedName name="LABDM" localSheetId="4">#REF!</definedName>
    <definedName name="LABDM">#REF!</definedName>
    <definedName name="LABDO" localSheetId="13">#REF!</definedName>
    <definedName name="LABDO" localSheetId="16">#REF!</definedName>
    <definedName name="LABDO" localSheetId="14">#REF!</definedName>
    <definedName name="LABDO" localSheetId="15">#REF!</definedName>
    <definedName name="LABDO" localSheetId="6">#REF!</definedName>
    <definedName name="LABDO" localSheetId="8">#REF!</definedName>
    <definedName name="LABDO" localSheetId="3">#REF!</definedName>
    <definedName name="LABDO" localSheetId="4">#REF!</definedName>
    <definedName name="LABDO">#REF!</definedName>
    <definedName name="LABOR" localSheetId="13">#REF!</definedName>
    <definedName name="LABOR" localSheetId="16">#REF!</definedName>
    <definedName name="LABOR" localSheetId="14">#REF!</definedName>
    <definedName name="LABOR" localSheetId="15">#REF!</definedName>
    <definedName name="LABOR" localSheetId="6">#REF!</definedName>
    <definedName name="LABOR" localSheetId="8">#REF!</definedName>
    <definedName name="LABOR" localSheetId="3">#REF!</definedName>
    <definedName name="LABOR" localSheetId="4">#REF!</definedName>
    <definedName name="LABOR">#REF!</definedName>
    <definedName name="LABTM" localSheetId="13">#REF!</definedName>
    <definedName name="LABTM" localSheetId="16">#REF!</definedName>
    <definedName name="LABTM" localSheetId="14">#REF!</definedName>
    <definedName name="LABTM" localSheetId="15">#REF!</definedName>
    <definedName name="LABTM" localSheetId="6">#REF!</definedName>
    <definedName name="LABTM" localSheetId="8">#REF!</definedName>
    <definedName name="LABTM" localSheetId="3">#REF!</definedName>
    <definedName name="LABTM" localSheetId="4">#REF!</definedName>
    <definedName name="LABTM">#REF!</definedName>
    <definedName name="LARGE_VOL_COMMERCIAL_RATE_C_22">'GGLVS Billed'!$A$6:$H$20</definedName>
    <definedName name="LARGE_VOL_INDUSTRIAL_RATE_I_32">'GILVS Billed'!#REF!</definedName>
    <definedName name="LARGE_VOL_PA_RATE_P_42">'GPLVS Billed'!#REF!</definedName>
    <definedName name="LargeList">#REF!</definedName>
    <definedName name="LATE_FEE">#REF!</definedName>
    <definedName name="Late_Fee_Q">#REF!</definedName>
    <definedName name="LD_Factor">#REF!</definedName>
    <definedName name="Less_UMC">#REF!</definedName>
    <definedName name="LIQAIRFAC">#REF!</definedName>
    <definedName name="LIQAIRLF">#REF!</definedName>
    <definedName name="LIQAIRMW">#REF!</definedName>
    <definedName name="LIQAIRMWH">#REF!</definedName>
    <definedName name="liu">#REF!</definedName>
    <definedName name="lko">#REF!</definedName>
    <definedName name="lll">#REF!</definedName>
    <definedName name="LOAD_FACTOR">#REF!</definedName>
    <definedName name="LOAD_FACTOR_BASED_ON_BILLING_DEMAND">#REF!</definedName>
    <definedName name="Load81">#REF!</definedName>
    <definedName name="Load81Header">#REF!</definedName>
    <definedName name="Load82">#REF!</definedName>
    <definedName name="Load82Header">#REF!</definedName>
    <definedName name="Load83">#REF!</definedName>
    <definedName name="Load83Header">#REF!</definedName>
    <definedName name="Load84">#REF!</definedName>
    <definedName name="Load84Header">#REF!</definedName>
    <definedName name="Load85">#REF!</definedName>
    <definedName name="Load85Header">#REF!</definedName>
    <definedName name="Load86">#REF!</definedName>
    <definedName name="Load86Header">#REF!</definedName>
    <definedName name="Load87">#REF!</definedName>
    <definedName name="LoadHeader">#REF!</definedName>
    <definedName name="LoadHeaderHistoric">#REF!</definedName>
    <definedName name="M">#REF!</definedName>
    <definedName name="MACRO1">#REF!</definedName>
    <definedName name="Marty">#REF!</definedName>
    <definedName name="minsys">#REF!</definedName>
    <definedName name="MISS1FAC">#REF!</definedName>
    <definedName name="MISS1LF">#REF!</definedName>
    <definedName name="MISS1MW">#REF!</definedName>
    <definedName name="MISS1MWH">#REF!</definedName>
    <definedName name="MISS2FAC">#REF!</definedName>
    <definedName name="MISS2LF">#REF!</definedName>
    <definedName name="MISS2MW">#REF!</definedName>
    <definedName name="MISS2MWH">#REF!</definedName>
    <definedName name="mju">#REF!</definedName>
    <definedName name="mm" localSheetId="16">#REF!</definedName>
    <definedName name="mm" localSheetId="14">#REF!</definedName>
    <definedName name="mm" localSheetId="15">#REF!</definedName>
    <definedName name="mm" localSheetId="4">#REF!</definedName>
    <definedName name="mm">#REF!</definedName>
    <definedName name="mmm">#REF!</definedName>
    <definedName name="mnh">#REF!</definedName>
    <definedName name="mnj">#REF!</definedName>
    <definedName name="MONTH">#REF!</definedName>
    <definedName name="MONTH12">#REF!</definedName>
    <definedName name="movelines">"movelines"</definedName>
    <definedName name="MSWITCH" localSheetId="13">#REF!</definedName>
    <definedName name="MSWITCH" localSheetId="16">#REF!</definedName>
    <definedName name="MSWITCH" localSheetId="14">#REF!</definedName>
    <definedName name="MSWITCH" localSheetId="15">#REF!</definedName>
    <definedName name="MSWITCH" localSheetId="6">#REF!</definedName>
    <definedName name="MSWITCH" localSheetId="8">#REF!</definedName>
    <definedName name="MSWITCH" localSheetId="3">#REF!</definedName>
    <definedName name="MSWITCH" localSheetId="4">#REF!</definedName>
    <definedName name="MSWITCH">#REF!</definedName>
    <definedName name="NET_REVENUE">#REF!</definedName>
    <definedName name="Net_Utility_Plant">#REF!</definedName>
    <definedName name="Net_Utility_Plant_In_Service">#REF!</definedName>
    <definedName name="NOMEANING1">#REF!</definedName>
    <definedName name="NOMEANING3">#REF!</definedName>
    <definedName name="NoOfFFSegments3">#REF!</definedName>
    <definedName name="NOTE">#REF!</definedName>
    <definedName name="NP">#REF!</definedName>
    <definedName name="NUCPLT">#REF!</definedName>
    <definedName name="OHDIST">#REF!</definedName>
    <definedName name="OMCustomer">#REF!</definedName>
    <definedName name="OMFunct">#REF!</definedName>
    <definedName name="ONE">#REF!</definedName>
    <definedName name="opsexp" localSheetId="13">#REF!</definedName>
    <definedName name="opsexp" localSheetId="16">#REF!</definedName>
    <definedName name="opsexp" localSheetId="14">#REF!</definedName>
    <definedName name="opsexp" localSheetId="15">#REF!</definedName>
    <definedName name="opsexp" localSheetId="6">#REF!</definedName>
    <definedName name="opsexp" localSheetId="8">#REF!</definedName>
    <definedName name="opsexp" localSheetId="3">#REF!</definedName>
    <definedName name="opsexp" localSheetId="4">#REF!</definedName>
    <definedName name="opsexp">#REF!</definedName>
    <definedName name="PA40CUScharge">#REF!</definedName>
    <definedName name="PA42CUScharge">#REF!</definedName>
    <definedName name="PAGE">#REF!</definedName>
    <definedName name="Page1" localSheetId="13">#REF!</definedName>
    <definedName name="Page1" localSheetId="16">#REF!</definedName>
    <definedName name="Page1" localSheetId="14">#REF!</definedName>
    <definedName name="Page1" localSheetId="15">#REF!</definedName>
    <definedName name="Page1" localSheetId="6">#REF!</definedName>
    <definedName name="Page1" localSheetId="8">#REF!</definedName>
    <definedName name="Page1" localSheetId="3">#REF!</definedName>
    <definedName name="Page1" localSheetId="4">#REF!</definedName>
    <definedName name="PAGE1">#REF!</definedName>
    <definedName name="Page10" localSheetId="13">#REF!</definedName>
    <definedName name="Page10" localSheetId="16">#REF!</definedName>
    <definedName name="Page10" localSheetId="14">#REF!</definedName>
    <definedName name="Page10" localSheetId="15">#REF!</definedName>
    <definedName name="Page10" localSheetId="6">#REF!</definedName>
    <definedName name="Page10" localSheetId="8">#REF!</definedName>
    <definedName name="Page10" localSheetId="3">#REF!</definedName>
    <definedName name="Page10" localSheetId="4">#REF!</definedName>
    <definedName name="PAGE10">#REF!</definedName>
    <definedName name="Page10Sum" localSheetId="13">#REF!</definedName>
    <definedName name="Page10Sum" localSheetId="16">#REF!</definedName>
    <definedName name="Page10Sum" localSheetId="14">#REF!</definedName>
    <definedName name="Page10Sum" localSheetId="15">#REF!</definedName>
    <definedName name="Page10Sum" localSheetId="6">#REF!</definedName>
    <definedName name="Page10Sum" localSheetId="8">#REF!</definedName>
    <definedName name="Page10Sum" localSheetId="3">#REF!</definedName>
    <definedName name="Page10Sum" localSheetId="4">#REF!</definedName>
    <definedName name="Page10Sum">#REF!</definedName>
    <definedName name="Page11" localSheetId="13">#REF!</definedName>
    <definedName name="Page11" localSheetId="16">#REF!</definedName>
    <definedName name="Page11" localSheetId="14">#REF!</definedName>
    <definedName name="Page11" localSheetId="15">#REF!</definedName>
    <definedName name="Page11" localSheetId="6">#REF!</definedName>
    <definedName name="Page11" localSheetId="8">#REF!</definedName>
    <definedName name="Page11" localSheetId="3">#REF!</definedName>
    <definedName name="Page11" localSheetId="4">#REF!</definedName>
    <definedName name="Page11">#REF!</definedName>
    <definedName name="Page11Sum" localSheetId="13">#REF!</definedName>
    <definedName name="Page11Sum" localSheetId="16">#REF!</definedName>
    <definedName name="Page11Sum" localSheetId="14">#REF!</definedName>
    <definedName name="Page11Sum" localSheetId="15">#REF!</definedName>
    <definedName name="Page11Sum" localSheetId="6">#REF!</definedName>
    <definedName name="Page11Sum" localSheetId="8">#REF!</definedName>
    <definedName name="Page11Sum" localSheetId="3">#REF!</definedName>
    <definedName name="Page11Sum" localSheetId="4">#REF!</definedName>
    <definedName name="Page11Sum">#REF!</definedName>
    <definedName name="Page12" localSheetId="13">#REF!</definedName>
    <definedName name="Page12" localSheetId="16">#REF!</definedName>
    <definedName name="Page12" localSheetId="14">#REF!</definedName>
    <definedName name="Page12" localSheetId="15">#REF!</definedName>
    <definedName name="Page12" localSheetId="6">#REF!</definedName>
    <definedName name="Page12" localSheetId="8">#REF!</definedName>
    <definedName name="Page12" localSheetId="3">#REF!</definedName>
    <definedName name="Page12" localSheetId="4">#REF!</definedName>
    <definedName name="Page12">#REF!</definedName>
    <definedName name="Page12Sum" localSheetId="13">#REF!</definedName>
    <definedName name="Page12Sum" localSheetId="16">#REF!</definedName>
    <definedName name="Page12Sum" localSheetId="14">#REF!</definedName>
    <definedName name="Page12Sum" localSheetId="15">#REF!</definedName>
    <definedName name="Page12Sum" localSheetId="6">#REF!</definedName>
    <definedName name="Page12Sum" localSheetId="8">#REF!</definedName>
    <definedName name="Page12Sum" localSheetId="3">#REF!</definedName>
    <definedName name="Page12Sum" localSheetId="4">#REF!</definedName>
    <definedName name="Page12Sum">#REF!</definedName>
    <definedName name="Page13" localSheetId="13">#REF!</definedName>
    <definedName name="Page13" localSheetId="16">#REF!</definedName>
    <definedName name="Page13" localSheetId="14">#REF!</definedName>
    <definedName name="Page13" localSheetId="15">#REF!</definedName>
    <definedName name="Page13" localSheetId="6">#REF!</definedName>
    <definedName name="Page13" localSheetId="8">#REF!</definedName>
    <definedName name="Page13" localSheetId="3">#REF!</definedName>
    <definedName name="Page13" localSheetId="4">#REF!</definedName>
    <definedName name="Page13">#REF!</definedName>
    <definedName name="Page13Sum" localSheetId="13">#REF!</definedName>
    <definedName name="Page13Sum" localSheetId="16">#REF!</definedName>
    <definedName name="Page13Sum" localSheetId="14">#REF!</definedName>
    <definedName name="Page13Sum" localSheetId="15">#REF!</definedName>
    <definedName name="Page13Sum" localSheetId="6">#REF!</definedName>
    <definedName name="Page13Sum" localSheetId="8">#REF!</definedName>
    <definedName name="Page13Sum" localSheetId="3">#REF!</definedName>
    <definedName name="Page13Sum" localSheetId="4">#REF!</definedName>
    <definedName name="Page13Sum">#REF!</definedName>
    <definedName name="Page14" localSheetId="13">#REF!</definedName>
    <definedName name="Page14" localSheetId="16">#REF!</definedName>
    <definedName name="Page14" localSheetId="14">#REF!</definedName>
    <definedName name="Page14" localSheetId="15">#REF!</definedName>
    <definedName name="Page14" localSheetId="6">#REF!</definedName>
    <definedName name="Page14" localSheetId="8">#REF!</definedName>
    <definedName name="Page14" localSheetId="3">#REF!</definedName>
    <definedName name="Page14" localSheetId="4">#REF!</definedName>
    <definedName name="Page14">#REF!</definedName>
    <definedName name="Page14Sum" localSheetId="13">#REF!</definedName>
    <definedName name="Page14Sum" localSheetId="16">#REF!</definedName>
    <definedName name="Page14Sum" localSheetId="14">#REF!</definedName>
    <definedName name="Page14Sum" localSheetId="15">#REF!</definedName>
    <definedName name="Page14Sum" localSheetId="6">#REF!</definedName>
    <definedName name="Page14Sum" localSheetId="8">#REF!</definedName>
    <definedName name="Page14Sum" localSheetId="3">#REF!</definedName>
    <definedName name="Page14Sum" localSheetId="4">#REF!</definedName>
    <definedName name="Page14Sum">#REF!</definedName>
    <definedName name="Page15">#REF!</definedName>
    <definedName name="Page15Sum">#REF!</definedName>
    <definedName name="Page16">#REF!</definedName>
    <definedName name="Page16Sum">#REF!</definedName>
    <definedName name="Page17" localSheetId="13">#REF!</definedName>
    <definedName name="Page17" localSheetId="16">#REF!</definedName>
    <definedName name="Page17" localSheetId="14">#REF!</definedName>
    <definedName name="Page17" localSheetId="15">#REF!</definedName>
    <definedName name="Page17" localSheetId="6">#REF!</definedName>
    <definedName name="Page17" localSheetId="8">#REF!</definedName>
    <definedName name="Page17" localSheetId="3">#REF!</definedName>
    <definedName name="Page17" localSheetId="4">#REF!</definedName>
    <definedName name="Page17">#REF!</definedName>
    <definedName name="Page17Sum" localSheetId="13">#REF!</definedName>
    <definedName name="Page17Sum" localSheetId="16">#REF!</definedName>
    <definedName name="Page17Sum" localSheetId="14">#REF!</definedName>
    <definedName name="Page17Sum" localSheetId="15">#REF!</definedName>
    <definedName name="Page17Sum" localSheetId="6">#REF!</definedName>
    <definedName name="Page17Sum" localSheetId="8">#REF!</definedName>
    <definedName name="Page17Sum" localSheetId="3">#REF!</definedName>
    <definedName name="Page17Sum" localSheetId="4">#REF!</definedName>
    <definedName name="Page17Sum">#REF!</definedName>
    <definedName name="Page18" localSheetId="13">#REF!</definedName>
    <definedName name="Page18" localSheetId="16">#REF!</definedName>
    <definedName name="Page18" localSheetId="14">#REF!</definedName>
    <definedName name="Page18" localSheetId="15">#REF!</definedName>
    <definedName name="Page18" localSheetId="6">#REF!</definedName>
    <definedName name="Page18" localSheetId="8">#REF!</definedName>
    <definedName name="Page18" localSheetId="3">#REF!</definedName>
    <definedName name="Page18" localSheetId="4">#REF!</definedName>
    <definedName name="Page18">#REF!</definedName>
    <definedName name="Page18Sum" localSheetId="13">#REF!</definedName>
    <definedName name="Page18Sum" localSheetId="16">#REF!</definedName>
    <definedName name="Page18Sum" localSheetId="14">#REF!</definedName>
    <definedName name="Page18Sum" localSheetId="15">#REF!</definedName>
    <definedName name="Page18Sum" localSheetId="6">#REF!</definedName>
    <definedName name="Page18Sum" localSheetId="8">#REF!</definedName>
    <definedName name="Page18Sum" localSheetId="3">#REF!</definedName>
    <definedName name="Page18Sum" localSheetId="4">#REF!</definedName>
    <definedName name="Page18Sum">#REF!</definedName>
    <definedName name="Page19" localSheetId="13">#REF!</definedName>
    <definedName name="Page19" localSheetId="16">#REF!</definedName>
    <definedName name="Page19" localSheetId="14">#REF!</definedName>
    <definedName name="Page19" localSheetId="15">#REF!</definedName>
    <definedName name="Page19" localSheetId="6">#REF!</definedName>
    <definedName name="Page19" localSheetId="8">#REF!</definedName>
    <definedName name="Page19" localSheetId="3">#REF!</definedName>
    <definedName name="Page19" localSheetId="4">#REF!</definedName>
    <definedName name="Page19">#REF!</definedName>
    <definedName name="Page19Sum" localSheetId="13">#REF!</definedName>
    <definedName name="Page19Sum" localSheetId="16">#REF!</definedName>
    <definedName name="Page19Sum" localSheetId="14">#REF!</definedName>
    <definedName name="Page19Sum" localSheetId="15">#REF!</definedName>
    <definedName name="Page19Sum" localSheetId="6">#REF!</definedName>
    <definedName name="Page19Sum" localSheetId="8">#REF!</definedName>
    <definedName name="Page19Sum" localSheetId="3">#REF!</definedName>
    <definedName name="Page19Sum" localSheetId="4">#REF!</definedName>
    <definedName name="Page19Sum">#REF!</definedName>
    <definedName name="Page1Sum" localSheetId="13">#REF!</definedName>
    <definedName name="Page1Sum" localSheetId="16">#REF!</definedName>
    <definedName name="Page1Sum" localSheetId="14">#REF!</definedName>
    <definedName name="Page1Sum" localSheetId="15">#REF!</definedName>
    <definedName name="Page1Sum" localSheetId="6">#REF!</definedName>
    <definedName name="Page1Sum" localSheetId="8">#REF!</definedName>
    <definedName name="Page1Sum" localSheetId="3">#REF!</definedName>
    <definedName name="Page1Sum" localSheetId="4">#REF!</definedName>
    <definedName name="Page1Sum">#REF!</definedName>
    <definedName name="Page2" localSheetId="13">#REF!</definedName>
    <definedName name="Page2" localSheetId="16">#REF!</definedName>
    <definedName name="Page2" localSheetId="14">#REF!</definedName>
    <definedName name="Page2" localSheetId="15">#REF!</definedName>
    <definedName name="Page2" localSheetId="6">#REF!</definedName>
    <definedName name="Page2" localSheetId="8">#REF!</definedName>
    <definedName name="Page2" localSheetId="3">#REF!</definedName>
    <definedName name="Page2" localSheetId="4">#REF!</definedName>
    <definedName name="PAGE2">#REF!</definedName>
    <definedName name="Page20" localSheetId="13">#REF!</definedName>
    <definedName name="Page20" localSheetId="16">#REF!</definedName>
    <definedName name="Page20" localSheetId="14">#REF!</definedName>
    <definedName name="Page20" localSheetId="15">#REF!</definedName>
    <definedName name="Page20" localSheetId="6">#REF!</definedName>
    <definedName name="Page20" localSheetId="8">#REF!</definedName>
    <definedName name="Page20" localSheetId="3">#REF!</definedName>
    <definedName name="Page20" localSheetId="4">#REF!</definedName>
    <definedName name="Page20">#REF!</definedName>
    <definedName name="Page20Sum" localSheetId="13">#REF!</definedName>
    <definedName name="Page20Sum" localSheetId="16">#REF!</definedName>
    <definedName name="Page20Sum" localSheetId="14">#REF!</definedName>
    <definedName name="Page20Sum" localSheetId="15">#REF!</definedName>
    <definedName name="Page20Sum" localSheetId="6">#REF!</definedName>
    <definedName name="Page20Sum" localSheetId="8">#REF!</definedName>
    <definedName name="Page20Sum" localSheetId="3">#REF!</definedName>
    <definedName name="Page20Sum" localSheetId="4">#REF!</definedName>
    <definedName name="Page20Sum">#REF!</definedName>
    <definedName name="Page21" localSheetId="13">#REF!</definedName>
    <definedName name="Page21" localSheetId="16">#REF!</definedName>
    <definedName name="Page21" localSheetId="14">#REF!</definedName>
    <definedName name="Page21" localSheetId="15">#REF!</definedName>
    <definedName name="Page21" localSheetId="6">#REF!</definedName>
    <definedName name="Page21" localSheetId="8">#REF!</definedName>
    <definedName name="Page21" localSheetId="3">#REF!</definedName>
    <definedName name="Page21" localSheetId="4">#REF!</definedName>
    <definedName name="Page21">#REF!</definedName>
    <definedName name="Page21Sum" localSheetId="13">#REF!</definedName>
    <definedName name="Page21Sum" localSheetId="16">#REF!</definedName>
    <definedName name="Page21Sum" localSheetId="14">#REF!</definedName>
    <definedName name="Page21Sum" localSheetId="15">#REF!</definedName>
    <definedName name="Page21Sum" localSheetId="6">#REF!</definedName>
    <definedName name="Page21Sum" localSheetId="8">#REF!</definedName>
    <definedName name="Page21Sum" localSheetId="3">#REF!</definedName>
    <definedName name="Page21Sum" localSheetId="4">#REF!</definedName>
    <definedName name="Page21Sum">#REF!</definedName>
    <definedName name="Page22" localSheetId="13">#REF!</definedName>
    <definedName name="Page22" localSheetId="16">#REF!</definedName>
    <definedName name="Page22" localSheetId="14">#REF!</definedName>
    <definedName name="Page22" localSheetId="15">#REF!</definedName>
    <definedName name="Page22" localSheetId="6">#REF!</definedName>
    <definedName name="Page22" localSheetId="8">#REF!</definedName>
    <definedName name="Page22" localSheetId="3">#REF!</definedName>
    <definedName name="Page22" localSheetId="4">#REF!</definedName>
    <definedName name="Page22">#REF!</definedName>
    <definedName name="Page22Sum" localSheetId="13">#REF!</definedName>
    <definedName name="Page22Sum" localSheetId="16">#REF!</definedName>
    <definedName name="Page22Sum" localSheetId="14">#REF!</definedName>
    <definedName name="Page22Sum" localSheetId="15">#REF!</definedName>
    <definedName name="Page22Sum" localSheetId="6">#REF!</definedName>
    <definedName name="Page22Sum" localSheetId="8">#REF!</definedName>
    <definedName name="Page22Sum" localSheetId="3">#REF!</definedName>
    <definedName name="Page22Sum" localSheetId="4">#REF!</definedName>
    <definedName name="Page22Sum">#REF!</definedName>
    <definedName name="Page23" localSheetId="13">#REF!</definedName>
    <definedName name="Page23" localSheetId="16">#REF!</definedName>
    <definedName name="Page23" localSheetId="14">#REF!</definedName>
    <definedName name="Page23" localSheetId="15">#REF!</definedName>
    <definedName name="Page23" localSheetId="6">#REF!</definedName>
    <definedName name="Page23" localSheetId="8">#REF!</definedName>
    <definedName name="Page23" localSheetId="3">#REF!</definedName>
    <definedName name="Page23" localSheetId="4">#REF!</definedName>
    <definedName name="Page23">#REF!</definedName>
    <definedName name="Page23Sum" localSheetId="13">#REF!</definedName>
    <definedName name="Page23Sum" localSheetId="16">#REF!</definedName>
    <definedName name="Page23Sum" localSheetId="14">#REF!</definedName>
    <definedName name="Page23Sum" localSheetId="15">#REF!</definedName>
    <definedName name="Page23Sum" localSheetId="6">#REF!</definedName>
    <definedName name="Page23Sum" localSheetId="8">#REF!</definedName>
    <definedName name="Page23Sum" localSheetId="3">#REF!</definedName>
    <definedName name="Page23Sum" localSheetId="4">#REF!</definedName>
    <definedName name="Page23Sum">#REF!</definedName>
    <definedName name="Page24" localSheetId="13">#REF!</definedName>
    <definedName name="Page24" localSheetId="16">#REF!</definedName>
    <definedName name="Page24" localSheetId="14">#REF!</definedName>
    <definedName name="Page24" localSheetId="15">#REF!</definedName>
    <definedName name="Page24" localSheetId="6">#REF!</definedName>
    <definedName name="Page24" localSheetId="8">#REF!</definedName>
    <definedName name="Page24" localSheetId="3">#REF!</definedName>
    <definedName name="Page24" localSheetId="4">#REF!</definedName>
    <definedName name="Page24">#REF!</definedName>
    <definedName name="Page24Sum" localSheetId="13">#REF!</definedName>
    <definedName name="Page24Sum" localSheetId="16">#REF!</definedName>
    <definedName name="Page24Sum" localSheetId="14">#REF!</definedName>
    <definedName name="Page24Sum" localSheetId="15">#REF!</definedName>
    <definedName name="Page24Sum" localSheetId="6">#REF!</definedName>
    <definedName name="Page24Sum" localSheetId="8">#REF!</definedName>
    <definedName name="Page24Sum" localSheetId="3">#REF!</definedName>
    <definedName name="Page24Sum" localSheetId="4">#REF!</definedName>
    <definedName name="Page24Sum">#REF!</definedName>
    <definedName name="Page25" localSheetId="13">#REF!</definedName>
    <definedName name="Page25" localSheetId="16">#REF!</definedName>
    <definedName name="Page25" localSheetId="14">#REF!</definedName>
    <definedName name="Page25" localSheetId="15">#REF!</definedName>
    <definedName name="Page25" localSheetId="6">#REF!</definedName>
    <definedName name="Page25" localSheetId="8">#REF!</definedName>
    <definedName name="Page25" localSheetId="3">#REF!</definedName>
    <definedName name="Page25" localSheetId="4">#REF!</definedName>
    <definedName name="Page25">#REF!</definedName>
    <definedName name="Page25Sum" localSheetId="13">#REF!</definedName>
    <definedName name="Page25Sum" localSheetId="16">#REF!</definedName>
    <definedName name="Page25Sum" localSheetId="14">#REF!</definedName>
    <definedName name="Page25Sum" localSheetId="15">#REF!</definedName>
    <definedName name="Page25Sum" localSheetId="6">#REF!</definedName>
    <definedName name="Page25Sum" localSheetId="8">#REF!</definedName>
    <definedName name="Page25Sum" localSheetId="3">#REF!</definedName>
    <definedName name="Page25Sum" localSheetId="4">#REF!</definedName>
    <definedName name="Page25Sum">#REF!</definedName>
    <definedName name="Page26" localSheetId="13">#REF!</definedName>
    <definedName name="Page26" localSheetId="16">#REF!</definedName>
    <definedName name="Page26" localSheetId="14">#REF!</definedName>
    <definedName name="Page26" localSheetId="15">#REF!</definedName>
    <definedName name="Page26" localSheetId="6">#REF!</definedName>
    <definedName name="Page26" localSheetId="8">#REF!</definedName>
    <definedName name="Page26" localSheetId="3">#REF!</definedName>
    <definedName name="Page26" localSheetId="4">#REF!</definedName>
    <definedName name="Page26">#REF!</definedName>
    <definedName name="Page26Sum" localSheetId="13">#REF!</definedName>
    <definedName name="Page26Sum" localSheetId="16">#REF!</definedName>
    <definedName name="Page26Sum" localSheetId="14">#REF!</definedName>
    <definedName name="Page26Sum" localSheetId="15">#REF!</definedName>
    <definedName name="Page26Sum" localSheetId="6">#REF!</definedName>
    <definedName name="Page26Sum" localSheetId="8">#REF!</definedName>
    <definedName name="Page26Sum" localSheetId="3">#REF!</definedName>
    <definedName name="Page26Sum" localSheetId="4">#REF!</definedName>
    <definedName name="Page26Sum">#REF!</definedName>
    <definedName name="Page27" localSheetId="13">#REF!</definedName>
    <definedName name="Page27" localSheetId="16">#REF!</definedName>
    <definedName name="Page27" localSheetId="14">#REF!</definedName>
    <definedName name="Page27" localSheetId="15">#REF!</definedName>
    <definedName name="Page27" localSheetId="6">#REF!</definedName>
    <definedName name="Page27" localSheetId="8">#REF!</definedName>
    <definedName name="Page27" localSheetId="3">#REF!</definedName>
    <definedName name="Page27" localSheetId="4">#REF!</definedName>
    <definedName name="Page27">#REF!</definedName>
    <definedName name="Page27Sum" localSheetId="13">#REF!</definedName>
    <definedName name="Page27Sum" localSheetId="16">#REF!</definedName>
    <definedName name="Page27Sum" localSheetId="14">#REF!</definedName>
    <definedName name="Page27Sum" localSheetId="15">#REF!</definedName>
    <definedName name="Page27Sum" localSheetId="6">#REF!</definedName>
    <definedName name="Page27Sum" localSheetId="8">#REF!</definedName>
    <definedName name="Page27Sum" localSheetId="3">#REF!</definedName>
    <definedName name="Page27Sum" localSheetId="4">#REF!</definedName>
    <definedName name="Page27Sum">#REF!</definedName>
    <definedName name="Page28" localSheetId="13">#REF!</definedName>
    <definedName name="Page28" localSheetId="16">#REF!</definedName>
    <definedName name="Page28" localSheetId="14">#REF!</definedName>
    <definedName name="Page28" localSheetId="15">#REF!</definedName>
    <definedName name="Page28" localSheetId="6">#REF!</definedName>
    <definedName name="Page28" localSheetId="8">#REF!</definedName>
    <definedName name="Page28" localSheetId="3">#REF!</definedName>
    <definedName name="Page28" localSheetId="4">#REF!</definedName>
    <definedName name="Page28">#REF!</definedName>
    <definedName name="Page28Sum" localSheetId="13">#REF!</definedName>
    <definedName name="Page28Sum" localSheetId="16">#REF!</definedName>
    <definedName name="Page28Sum" localSheetId="14">#REF!</definedName>
    <definedName name="Page28Sum" localSheetId="15">#REF!</definedName>
    <definedName name="Page28Sum" localSheetId="6">#REF!</definedName>
    <definedName name="Page28Sum" localSheetId="8">#REF!</definedName>
    <definedName name="Page28Sum" localSheetId="3">#REF!</definedName>
    <definedName name="Page28Sum" localSheetId="4">#REF!</definedName>
    <definedName name="Page28Sum">#REF!</definedName>
    <definedName name="Page29" localSheetId="13">#REF!</definedName>
    <definedName name="Page29" localSheetId="16">#REF!</definedName>
    <definedName name="Page29" localSheetId="14">#REF!</definedName>
    <definedName name="Page29" localSheetId="15">#REF!</definedName>
    <definedName name="Page29" localSheetId="6">#REF!</definedName>
    <definedName name="Page29" localSheetId="8">#REF!</definedName>
    <definedName name="Page29" localSheetId="3">#REF!</definedName>
    <definedName name="Page29" localSheetId="4">#REF!</definedName>
    <definedName name="Page29">#REF!</definedName>
    <definedName name="Page29Sum" localSheetId="13">#REF!</definedName>
    <definedName name="Page29Sum" localSheetId="16">#REF!</definedName>
    <definedName name="Page29Sum" localSheetId="14">#REF!</definedName>
    <definedName name="Page29Sum" localSheetId="15">#REF!</definedName>
    <definedName name="Page29Sum" localSheetId="6">#REF!</definedName>
    <definedName name="Page29Sum" localSheetId="8">#REF!</definedName>
    <definedName name="Page29Sum" localSheetId="3">#REF!</definedName>
    <definedName name="Page29Sum" localSheetId="4">#REF!</definedName>
    <definedName name="Page29Sum">#REF!</definedName>
    <definedName name="Page2Sum" localSheetId="13">#REF!</definedName>
    <definedName name="Page2Sum" localSheetId="16">#REF!</definedName>
    <definedName name="Page2Sum" localSheetId="14">#REF!</definedName>
    <definedName name="Page2Sum" localSheetId="15">#REF!</definedName>
    <definedName name="Page2Sum" localSheetId="6">#REF!</definedName>
    <definedName name="Page2Sum" localSheetId="8">#REF!</definedName>
    <definedName name="Page2Sum" localSheetId="3">#REF!</definedName>
    <definedName name="Page2Sum" localSheetId="4">#REF!</definedName>
    <definedName name="Page2Sum">#REF!</definedName>
    <definedName name="Page3" localSheetId="13">#REF!</definedName>
    <definedName name="Page3" localSheetId="16">#REF!</definedName>
    <definedName name="Page3" localSheetId="14">#REF!</definedName>
    <definedName name="Page3" localSheetId="15">#REF!</definedName>
    <definedName name="Page3" localSheetId="6">#REF!</definedName>
    <definedName name="Page3" localSheetId="8">#REF!</definedName>
    <definedName name="Page3" localSheetId="3">#REF!</definedName>
    <definedName name="Page3" localSheetId="4">#REF!</definedName>
    <definedName name="PAGE3">#REF!</definedName>
    <definedName name="Page30" localSheetId="13">#REF!</definedName>
    <definedName name="Page30" localSheetId="16">#REF!</definedName>
    <definedName name="Page30" localSheetId="14">#REF!</definedName>
    <definedName name="Page30" localSheetId="15">#REF!</definedName>
    <definedName name="Page30" localSheetId="6">#REF!</definedName>
    <definedName name="Page30" localSheetId="8">#REF!</definedName>
    <definedName name="Page30" localSheetId="3">#REF!</definedName>
    <definedName name="Page30" localSheetId="4">#REF!</definedName>
    <definedName name="Page30">#REF!</definedName>
    <definedName name="Page30Sum" localSheetId="13">#REF!</definedName>
    <definedName name="Page30Sum" localSheetId="16">#REF!</definedName>
    <definedName name="Page30Sum" localSheetId="14">#REF!</definedName>
    <definedName name="Page30Sum" localSheetId="15">#REF!</definedName>
    <definedName name="Page30Sum" localSheetId="6">#REF!</definedName>
    <definedName name="Page30Sum" localSheetId="8">#REF!</definedName>
    <definedName name="Page30Sum" localSheetId="3">#REF!</definedName>
    <definedName name="Page30Sum" localSheetId="4">#REF!</definedName>
    <definedName name="Page30Sum">#REF!</definedName>
    <definedName name="Page3Sum" localSheetId="13">#REF!</definedName>
    <definedName name="Page3Sum" localSheetId="16">#REF!</definedName>
    <definedName name="Page3Sum" localSheetId="14">#REF!</definedName>
    <definedName name="Page3Sum" localSheetId="15">#REF!</definedName>
    <definedName name="Page3Sum" localSheetId="6">#REF!</definedName>
    <definedName name="Page3Sum" localSheetId="8">#REF!</definedName>
    <definedName name="Page3Sum" localSheetId="3">#REF!</definedName>
    <definedName name="Page3Sum" localSheetId="4">#REF!</definedName>
    <definedName name="Page3Sum">#REF!</definedName>
    <definedName name="Page4" localSheetId="13">#REF!</definedName>
    <definedName name="Page4" localSheetId="16">#REF!</definedName>
    <definedName name="Page4" localSheetId="14">#REF!</definedName>
    <definedName name="Page4" localSheetId="15">#REF!</definedName>
    <definedName name="Page4" localSheetId="6">#REF!</definedName>
    <definedName name="Page4" localSheetId="8">#REF!</definedName>
    <definedName name="Page4" localSheetId="3">#REF!</definedName>
    <definedName name="Page4" localSheetId="4">#REF!</definedName>
    <definedName name="PAGE4">#REF!</definedName>
    <definedName name="Page4Sum" localSheetId="13">#REF!</definedName>
    <definedName name="Page4Sum" localSheetId="16">#REF!</definedName>
    <definedName name="Page4Sum" localSheetId="14">#REF!</definedName>
    <definedName name="Page4Sum" localSheetId="15">#REF!</definedName>
    <definedName name="Page4Sum" localSheetId="6">#REF!</definedName>
    <definedName name="Page4Sum" localSheetId="8">#REF!</definedName>
    <definedName name="Page4Sum" localSheetId="3">#REF!</definedName>
    <definedName name="Page4Sum" localSheetId="4">#REF!</definedName>
    <definedName name="Page4Sum">#REF!</definedName>
    <definedName name="Page5" localSheetId="13">#REF!</definedName>
    <definedName name="Page5" localSheetId="16">#REF!</definedName>
    <definedName name="Page5" localSheetId="14">#REF!</definedName>
    <definedName name="Page5" localSheetId="15">#REF!</definedName>
    <definedName name="Page5" localSheetId="6">#REF!</definedName>
    <definedName name="Page5" localSheetId="8">#REF!</definedName>
    <definedName name="Page5" localSheetId="3">#REF!</definedName>
    <definedName name="Page5" localSheetId="4">#REF!</definedName>
    <definedName name="PAGE5">#REF!</definedName>
    <definedName name="Page5Sum" localSheetId="13">#REF!</definedName>
    <definedName name="Page5Sum" localSheetId="16">#REF!</definedName>
    <definedName name="Page5Sum" localSheetId="14">#REF!</definedName>
    <definedName name="Page5Sum" localSheetId="15">#REF!</definedName>
    <definedName name="Page5Sum" localSheetId="6">#REF!</definedName>
    <definedName name="Page5Sum" localSheetId="8">#REF!</definedName>
    <definedName name="Page5Sum" localSheetId="3">#REF!</definedName>
    <definedName name="Page5Sum" localSheetId="4">#REF!</definedName>
    <definedName name="Page5Sum">#REF!</definedName>
    <definedName name="Page6" localSheetId="13">#REF!</definedName>
    <definedName name="Page6" localSheetId="16">#REF!</definedName>
    <definedName name="Page6" localSheetId="14">#REF!</definedName>
    <definedName name="Page6" localSheetId="15">#REF!</definedName>
    <definedName name="Page6" localSheetId="6">#REF!</definedName>
    <definedName name="Page6" localSheetId="8">#REF!</definedName>
    <definedName name="Page6" localSheetId="3">#REF!</definedName>
    <definedName name="Page6" localSheetId="4">#REF!</definedName>
    <definedName name="PAGE6">#REF!</definedName>
    <definedName name="Page6Sum" localSheetId="13">#REF!</definedName>
    <definedName name="Page6Sum" localSheetId="16">#REF!</definedName>
    <definedName name="Page6Sum" localSheetId="14">#REF!</definedName>
    <definedName name="Page6Sum" localSheetId="15">#REF!</definedName>
    <definedName name="Page6Sum" localSheetId="6">#REF!</definedName>
    <definedName name="Page6Sum" localSheetId="8">#REF!</definedName>
    <definedName name="Page6Sum" localSheetId="3">#REF!</definedName>
    <definedName name="Page6Sum" localSheetId="4">#REF!</definedName>
    <definedName name="Page6Sum">#REF!</definedName>
    <definedName name="Page7" localSheetId="13">#REF!</definedName>
    <definedName name="Page7" localSheetId="16">#REF!</definedName>
    <definedName name="Page7" localSheetId="14">#REF!</definedName>
    <definedName name="Page7" localSheetId="15">#REF!</definedName>
    <definedName name="Page7" localSheetId="6">#REF!</definedName>
    <definedName name="Page7" localSheetId="8">#REF!</definedName>
    <definedName name="Page7" localSheetId="3">#REF!</definedName>
    <definedName name="Page7" localSheetId="4">#REF!</definedName>
    <definedName name="PAGE7">#REF!</definedName>
    <definedName name="Page7Sum" localSheetId="13">#REF!</definedName>
    <definedName name="Page7Sum" localSheetId="16">#REF!</definedName>
    <definedName name="Page7Sum" localSheetId="14">#REF!</definedName>
    <definedName name="Page7Sum" localSheetId="15">#REF!</definedName>
    <definedName name="Page7Sum" localSheetId="6">#REF!</definedName>
    <definedName name="Page7Sum" localSheetId="8">#REF!</definedName>
    <definedName name="Page7Sum" localSheetId="3">#REF!</definedName>
    <definedName name="Page7Sum" localSheetId="4">#REF!</definedName>
    <definedName name="Page7Sum">#REF!</definedName>
    <definedName name="Page8" localSheetId="13">#REF!</definedName>
    <definedName name="Page8" localSheetId="16">#REF!</definedName>
    <definedName name="Page8" localSheetId="14">#REF!</definedName>
    <definedName name="Page8" localSheetId="15">#REF!</definedName>
    <definedName name="Page8" localSheetId="6">#REF!</definedName>
    <definedName name="Page8" localSheetId="8">#REF!</definedName>
    <definedName name="Page8" localSheetId="3">#REF!</definedName>
    <definedName name="Page8" localSheetId="4">#REF!</definedName>
    <definedName name="PAGE8">#REF!</definedName>
    <definedName name="Page8Sum" localSheetId="13">#REF!</definedName>
    <definedName name="Page8Sum" localSheetId="16">#REF!</definedName>
    <definedName name="Page8Sum" localSheetId="14">#REF!</definedName>
    <definedName name="Page8Sum" localSheetId="15">#REF!</definedName>
    <definedName name="Page8Sum" localSheetId="6">#REF!</definedName>
    <definedName name="Page8Sum" localSheetId="8">#REF!</definedName>
    <definedName name="Page8Sum" localSheetId="3">#REF!</definedName>
    <definedName name="Page8Sum" localSheetId="4">#REF!</definedName>
    <definedName name="Page8Sum">#REF!</definedName>
    <definedName name="Page9" localSheetId="13">#REF!</definedName>
    <definedName name="Page9" localSheetId="16">#REF!</definedName>
    <definedName name="Page9" localSheetId="14">#REF!</definedName>
    <definedName name="Page9" localSheetId="15">#REF!</definedName>
    <definedName name="Page9" localSheetId="6">#REF!</definedName>
    <definedName name="Page9" localSheetId="8">#REF!</definedName>
    <definedName name="Page9" localSheetId="3">#REF!</definedName>
    <definedName name="Page9" localSheetId="4">#REF!</definedName>
    <definedName name="PAGE9">#REF!</definedName>
    <definedName name="Page9Sum" localSheetId="13">#REF!</definedName>
    <definedName name="Page9Sum" localSheetId="16">#REF!</definedName>
    <definedName name="Page9Sum" localSheetId="14">#REF!</definedName>
    <definedName name="Page9Sum" localSheetId="15">#REF!</definedName>
    <definedName name="Page9Sum" localSheetId="6">#REF!</definedName>
    <definedName name="Page9Sum" localSheetId="8">#REF!</definedName>
    <definedName name="Page9Sum" localSheetId="3">#REF!</definedName>
    <definedName name="Page9Sum" localSheetId="4">#REF!</definedName>
    <definedName name="Page9Sum">#REF!</definedName>
    <definedName name="PAGEHEADERS" localSheetId="13">#REF!</definedName>
    <definedName name="PAGEHEADERS" localSheetId="16">#REF!</definedName>
    <definedName name="PAGEHEADERS" localSheetId="14">#REF!</definedName>
    <definedName name="PAGEHEADERS" localSheetId="15">#REF!</definedName>
    <definedName name="PAGEHEADERS" localSheetId="6">#REF!</definedName>
    <definedName name="PAGEHEADERS" localSheetId="8">#REF!</definedName>
    <definedName name="PAGEHEADERS" localSheetId="3">#REF!</definedName>
    <definedName name="PAGEHEADERS" localSheetId="4">#REF!</definedName>
    <definedName name="PAGEHEADERS">#REF!</definedName>
    <definedName name="PAYXAG" localSheetId="13">#REF!</definedName>
    <definedName name="PAYXAG" localSheetId="16">#REF!</definedName>
    <definedName name="PAYXAG" localSheetId="14">#REF!</definedName>
    <definedName name="PAYXAG" localSheetId="15">#REF!</definedName>
    <definedName name="PAYXAG" localSheetId="6">#REF!</definedName>
    <definedName name="PAYXAG" localSheetId="8">#REF!</definedName>
    <definedName name="PAYXAG" localSheetId="3">#REF!</definedName>
    <definedName name="PAYXAG" localSheetId="4">#REF!</definedName>
    <definedName name="PAYXAG">#REF!</definedName>
    <definedName name="Peak_Start">#REF!</definedName>
    <definedName name="PeriodSetName3">#REF!</definedName>
    <definedName name="PGAAvg">#REF!</definedName>
    <definedName name="PLANT" localSheetId="13">#REF!</definedName>
    <definedName name="PLANT" localSheetId="16">#REF!</definedName>
    <definedName name="PLANT" localSheetId="14">#REF!</definedName>
    <definedName name="PLANT" localSheetId="15">#REF!</definedName>
    <definedName name="PLANT" localSheetId="6">#REF!</definedName>
    <definedName name="PLANT" localSheetId="8">#REF!</definedName>
    <definedName name="PLANT" localSheetId="3">#REF!</definedName>
    <definedName name="PLANT" localSheetId="4">#REF!</definedName>
    <definedName name="PLANT">#REF!</definedName>
    <definedName name="pli">#REF!,#REF!,#REF!,#REF!,#REF!,#REF!,#REF!,#REF!,#REF!,#REF!,#REF!,#REF!,#REF!,#REF!,#REF!</definedName>
    <definedName name="PLTCOMN" localSheetId="13">#REF!</definedName>
    <definedName name="PLTCOMN" localSheetId="16">#REF!</definedName>
    <definedName name="PLTCOMN" localSheetId="14">#REF!</definedName>
    <definedName name="PLTCOMN" localSheetId="15">#REF!</definedName>
    <definedName name="PLTCOMN" localSheetId="6">#REF!</definedName>
    <definedName name="PLTCOMN" localSheetId="8">#REF!</definedName>
    <definedName name="PLTCOMN" localSheetId="3">#REF!</definedName>
    <definedName name="PLTCOMN" localSheetId="4">#REF!</definedName>
    <definedName name="PLTCOMN">#REF!</definedName>
    <definedName name="PLTFAC">#REF!</definedName>
    <definedName name="POWER_FACTOR">#REF!</definedName>
    <definedName name="Power51Header">#REF!</definedName>
    <definedName name="Power52">#REF!</definedName>
    <definedName name="Power52Header">#REF!</definedName>
    <definedName name="Power53">#REF!</definedName>
    <definedName name="Power53Header">#REF!</definedName>
    <definedName name="Power54">#REF!</definedName>
    <definedName name="Power54Header">#REF!</definedName>
    <definedName name="Power55">#REF!</definedName>
    <definedName name="Power55Header">#REF!</definedName>
    <definedName name="Power56">#REF!</definedName>
    <definedName name="Power56Header">#REF!</definedName>
    <definedName name="PowerHeader">#REF!</definedName>
    <definedName name="PowerSum">#REF!</definedName>
    <definedName name="PPFAC">#REF!</definedName>
    <definedName name="Pres_rev">#REF!</definedName>
    <definedName name="Pres_T_D">#REF!</definedName>
    <definedName name="Pres_table">#REF!</definedName>
    <definedName name="pres_unbundled">#REF!</definedName>
    <definedName name="Print">#REF!</definedName>
    <definedName name="_xlnm.Print_Area" localSheetId="13">'Function Allocators'!$A$1:$Q$235</definedName>
    <definedName name="_xlnm.Print_Area" localSheetId="16">'Functionalization LARGE'!$A$1:$S$153</definedName>
    <definedName name="_xlnm.Print_Area" localSheetId="14">'Functionalization RES'!$A$1:$S$148</definedName>
    <definedName name="_xlnm.Print_Area" localSheetId="15">'Functionalization SMALL'!$A$1:$S$153</definedName>
    <definedName name="_xlnm.Print_Area" localSheetId="5">'G-3 COST OF SERVICE'!$A$1:$O$77</definedName>
    <definedName name="_xlnm.Print_Area" localSheetId="6">'G-4 COST OF SERVICE'!$A$1:$O$108</definedName>
    <definedName name="_xlnm.Print_Area" localSheetId="7">'G-5 Function Rate Base'!$A$1:$S$134</definedName>
    <definedName name="_xlnm.Print_Area" localSheetId="8">'G-6 Function Expense'!$A$1:$S$136</definedName>
    <definedName name="_xlnm.Print_Area" localSheetId="9">'G-6-1 Unit Cost'!$A$1:$G$56</definedName>
    <definedName name="_xlnm.Print_Area" localSheetId="10">'G-7 Allocations'!$A$1:$N$99</definedName>
    <definedName name="_xlnm.Print_Area" localSheetId="32">GGIRS!$L$1:$AA$56</definedName>
    <definedName name="_xlnm.Print_Area" localSheetId="56">'GGIRS Adjusted'!$A$1:$I$14</definedName>
    <definedName name="_xlnm.Print_Area" localSheetId="42">'GGIRS Billed'!$A$1:$I$14</definedName>
    <definedName name="_xlnm.Print_Area" localSheetId="34">GGLVS!$L$1:$AA$56</definedName>
    <definedName name="_xlnm.Print_Area" localSheetId="57">'GGLVS Adjusted'!$A$1:$I$24</definedName>
    <definedName name="_xlnm.Print_Area" localSheetId="45">'GGLVS Billed'!$A$1:$I$24</definedName>
    <definedName name="_xlnm.Print_Area" localSheetId="29">GGSVS!$K$1:$Z$56</definedName>
    <definedName name="_xlnm.Print_Area" localSheetId="55">'GGSVS Adjusted'!$A$1:$I$57</definedName>
    <definedName name="_xlnm.Print_Area" localSheetId="41">'GGSVS Billed'!$A$1:$I$57</definedName>
    <definedName name="_xlnm.Print_Area" localSheetId="69">'GGSVS Proposed'!$A$1:$H$57</definedName>
    <definedName name="_xlnm.Print_Area" localSheetId="35">GILVS!$K$1:$Z$56</definedName>
    <definedName name="_xlnm.Print_Area" localSheetId="59">'GILVS Adjusted'!$A$1:$I$20</definedName>
    <definedName name="_xlnm.Print_Area" localSheetId="44">'GILVS Billed'!$A$1:$I$21</definedName>
    <definedName name="_xlnm.Print_Area" localSheetId="70">'GILVS Proposed'!$A$1:$I$20</definedName>
    <definedName name="_xlnm.Print_Area" localSheetId="30">GISVS!$K$1:$AA$56</definedName>
    <definedName name="_xlnm.Print_Area" localSheetId="58">'GISVS Adjusted'!$A$1:$I$35</definedName>
    <definedName name="_xlnm.Print_Area" localSheetId="43">'GISVS Billed'!$A$1:$I$35</definedName>
    <definedName name="_xlnm.Print_Area" localSheetId="33">GPCNGSV!$L$1:$AA$56</definedName>
    <definedName name="_xlnm.Print_Area" localSheetId="36">GPLVS!$L$1:$AA$56</definedName>
    <definedName name="_xlnm.Print_Area" localSheetId="61">'GPLVS Adjusted'!$A$1:$I$20</definedName>
    <definedName name="_xlnm.Print_Area" localSheetId="47">'GPLVS Billed'!$A$1:$I$20</definedName>
    <definedName name="_xlnm.Print_Area" localSheetId="31">GPSVS!$L$1:$AA$56</definedName>
    <definedName name="_xlnm.Print_Area" localSheetId="60">'GPSVS Adjusted'!$A$1:$I$30</definedName>
    <definedName name="_xlnm.Print_Area" localSheetId="46">'GPSVS Billed'!$A$1:$I$30</definedName>
    <definedName name="_xlnm.Print_Area" localSheetId="28">GRCNG!$L$1:$AA$56</definedName>
    <definedName name="_xlnm.Print_Area" localSheetId="26">GRRES!$K$1:$Z$56</definedName>
    <definedName name="_xlnm.Print_Area" localSheetId="53">'GRRES Adjusted'!$A$1:$I$56</definedName>
    <definedName name="_xlnm.Print_Area" localSheetId="39">'GRRES Billed'!$A$1:$H$56</definedName>
    <definedName name="_xlnm.Print_Area" localSheetId="67">'GRRES Proposed'!$A$1:$I$56</definedName>
    <definedName name="_xlnm.Print_Area" localSheetId="27">GRRESC!$L$1:$AB$60</definedName>
    <definedName name="_xlnm.Print_Area" localSheetId="54">'GRRESC Adjusted'!$A$1:$I$53</definedName>
    <definedName name="_xlnm.Print_Area" localSheetId="40">'GRRESC Billed'!$A$1:$I$53</definedName>
    <definedName name="_xlnm.Print_Area" localSheetId="68">'GRRESC Proposed'!$A$1:$H$53</definedName>
    <definedName name="_xlnm.Print_Area" localSheetId="62">'GTGLVS Adjusted'!$A$1:$I$18</definedName>
    <definedName name="_xlnm.Print_Area" localSheetId="48">'GTGLVS Billed'!$A$1:$I$18</definedName>
    <definedName name="_xlnm.Print_Area" localSheetId="37">GTILVS!$K$1:$Z$56</definedName>
    <definedName name="_xlnm.Print_Area" localSheetId="64">'GTILVS Adjusted'!$A$1:$I$18</definedName>
    <definedName name="_xlnm.Print_Area" localSheetId="49">'GTILVS Billed'!$A$1:$I$18</definedName>
    <definedName name="_xlnm.Print_Area" localSheetId="71">'GTILVS Proposed'!$A$1:$I$18</definedName>
    <definedName name="_xlnm.Print_Area" localSheetId="65">'GTNGLVS Adjusted'!$A$1:$I$18</definedName>
    <definedName name="_xlnm.Print_Area" localSheetId="51">'GTNGLVS Billed'!$A$1:$I$18</definedName>
    <definedName name="_xlnm.Print_Area" localSheetId="38">GTNILVS!$K$1:$Z$56</definedName>
    <definedName name="_xlnm.Print_Area" localSheetId="66">'GTNILVS Adjusted'!$A$1:$I$18</definedName>
    <definedName name="_xlnm.Print_Area" localSheetId="52">'GTNILVS Billed'!$A$1:$I$18</definedName>
    <definedName name="_xlnm.Print_Area" localSheetId="72">'GTNILVS Proposed'!$A$1:$I$18</definedName>
    <definedName name="_xlnm.Print_Area" localSheetId="63">'GTPLVS Adjusted'!$A$1:$I$18</definedName>
    <definedName name="_xlnm.Print_Area" localSheetId="50">'GTPLVS Billed'!$A$1:$I$18</definedName>
    <definedName name="_xlnm.Print_Area" localSheetId="12">'Rate Base'!$A$1:$D$137</definedName>
    <definedName name="_xlnm.Print_Area" localSheetId="0">#REF!,#REF!,#REF!,#REF!,#REF!,#REF!,#REF!,#REF!,#REF!,#REF!,#REF!,#REF!,#REF!,#REF!,#REF!</definedName>
    <definedName name="_xlnm.Print_Area" localSheetId="11">'Rev&amp;Expense'!$A$1:$E$150</definedName>
    <definedName name="_xlnm.Print_Area" localSheetId="2">'Revenue Proof Breakout'!$M$1:$Y$119</definedName>
    <definedName name="_xlnm.Print_Area" localSheetId="3">'Schedule G-1 Present Rates'!$A$1:$H$44</definedName>
    <definedName name="_xlnm.Print_Area" localSheetId="4">'Schedule G-2 Proposed Rates'!$A$1:$G$45</definedName>
    <definedName name="_xlnm.Print_Area" localSheetId="17">'Schedule H1'!$A$1:$I$27</definedName>
    <definedName name="_xlnm.Print_Area" localSheetId="18">'Schedule H2'!$A$1:$O$29</definedName>
    <definedName name="_xlnm.Print_Area" localSheetId="19">'Schedule H2-2'!$A$1:$Q$30</definedName>
    <definedName name="_xlnm.Print_Area" localSheetId="20">'Schedule H-3'!$G$1:$N$72</definedName>
    <definedName name="_xlnm.Print_Area" localSheetId="1">Summary!$A$1:$R$35</definedName>
    <definedName name="_xlnm.Print_Area">#REF!,#REF!,#REF!,#REF!,#REF!,#REF!,#REF!,#REF!,#REF!,#REF!,#REF!,#REF!,#REF!,#REF!,#REF!</definedName>
    <definedName name="_xlnm.Print_Titles" localSheetId="13">'Function Allocators'!$A:$B,'Function Allocators'!$1:$7</definedName>
    <definedName name="_xlnm.Print_Titles" localSheetId="16">'Functionalization LARGE'!$A:$B,'Functionalization LARGE'!$1:$7</definedName>
    <definedName name="_xlnm.Print_Titles" localSheetId="14">'Functionalization RES'!$A:$B,'Functionalization RES'!$1:$7</definedName>
    <definedName name="_xlnm.Print_Titles" localSheetId="15">'Functionalization SMALL'!$A:$B,'Functionalization SMALL'!$1:$7</definedName>
    <definedName name="_xlnm.Print_Titles" localSheetId="6">'G-4 COST OF SERVICE'!$A:$D,'G-4 COST OF SERVICE'!$1:$2</definedName>
    <definedName name="_xlnm.Print_Titles" localSheetId="7">'G-5 Function Rate Base'!$A:$C,'G-5 Function Rate Base'!$1:$3</definedName>
    <definedName name="_xlnm.Print_Titles" localSheetId="8">'G-6 Function Expense'!$A:$C,'G-6 Function Expense'!$1:$3</definedName>
    <definedName name="_xlnm.Print_Titles" localSheetId="10">'G-7 Allocations'!$A:$C,'G-7 Allocations'!$1:$4</definedName>
    <definedName name="_xlnm.Print_Titles" localSheetId="32">GGIRS!$1:$1</definedName>
    <definedName name="_xlnm.Print_Titles" localSheetId="34">GGLVS!$1:$1</definedName>
    <definedName name="_xlnm.Print_Titles" localSheetId="29">GGSVS!$1:$1</definedName>
    <definedName name="_xlnm.Print_Titles" localSheetId="35">GILVS!$1:$1</definedName>
    <definedName name="_xlnm.Print_Titles" localSheetId="30">GISVS!$1:$1</definedName>
    <definedName name="_xlnm.Print_Titles" localSheetId="33">GPCNGSV!$1:$1</definedName>
    <definedName name="_xlnm.Print_Titles" localSheetId="36">GPLVS!$1:$1</definedName>
    <definedName name="_xlnm.Print_Titles" localSheetId="31">GPSVS!$1:$1</definedName>
    <definedName name="_xlnm.Print_Titles" localSheetId="28">GRCNG!$1:$1</definedName>
    <definedName name="_xlnm.Print_Titles" localSheetId="26">GRRES!$1:$1</definedName>
    <definedName name="_xlnm.Print_Titles" localSheetId="27">GRRESC!$1:$1</definedName>
    <definedName name="_xlnm.Print_Titles" localSheetId="37">GTILVS!$1:$1</definedName>
    <definedName name="_xlnm.Print_Titles" localSheetId="38">GTNILVS!$1:$1</definedName>
    <definedName name="_xlnm.Print_Titles" localSheetId="12">'Rate Base'!$1:$3</definedName>
    <definedName name="_xlnm.Print_Titles" localSheetId="0">#REF!,#REF!</definedName>
    <definedName name="_xlnm.Print_Titles" localSheetId="11">'Rev&amp;Expense'!$1:$4</definedName>
    <definedName name="_xlnm.Print_Titles">#REF!,#REF!</definedName>
    <definedName name="ProjectedRev">#REF!</definedName>
    <definedName name="ProjectedRevHeader">#REF!</definedName>
    <definedName name="ProposedRate91">#REF!</definedName>
    <definedName name="PROR1" localSheetId="13">#REF!</definedName>
    <definedName name="PROR1" localSheetId="16">#REF!</definedName>
    <definedName name="PROR1" localSheetId="14">#REF!</definedName>
    <definedName name="PROR1" localSheetId="15">#REF!</definedName>
    <definedName name="PROR1" localSheetId="6">#REF!</definedName>
    <definedName name="PROR1" localSheetId="8">#REF!</definedName>
    <definedName name="PROR1" localSheetId="3">#REF!</definedName>
    <definedName name="PROR1" localSheetId="4">#REF!</definedName>
    <definedName name="PROR1">#REF!</definedName>
    <definedName name="PSClass">#REF!</definedName>
    <definedName name="psrate">#REF!</definedName>
    <definedName name="qmat">#REF!</definedName>
    <definedName name="qqq">#REF!</definedName>
    <definedName name="QTR">#REF!</definedName>
    <definedName name="qtrinfo">#REF!</definedName>
    <definedName name="qwe">#REF!</definedName>
    <definedName name="RACC">#REF!</definedName>
    <definedName name="Rate_14">#REF!</definedName>
    <definedName name="Rate_43i">#REF!</definedName>
    <definedName name="Rate_Base">#REF!,#REF!</definedName>
    <definedName name="RATE_SCHEDULE">#REF!</definedName>
    <definedName name="RateBaseAlloc">#REF!</definedName>
    <definedName name="RateBaseAllocHeader">#REF!</definedName>
    <definedName name="RateBaseCust">#REF!</definedName>
    <definedName name="RateBaseCustHeader">#REF!</definedName>
    <definedName name="RateBaseHeader">#REF!</definedName>
    <definedName name="RateBaseInput">#REF!</definedName>
    <definedName name="RateClass">#REF!</definedName>
    <definedName name="ratios">#REF!</definedName>
    <definedName name="RBCustomer">#REF!</definedName>
    <definedName name="RCITYM">#REF!</definedName>
    <definedName name="RCITYS">#REF!</definedName>
    <definedName name="RCITYST">#REF!</definedName>
    <definedName name="RCITYT">#REF!</definedName>
    <definedName name="Recorded_Year_Hours_per_month">#REF!</definedName>
    <definedName name="Recover">#REF!</definedName>
    <definedName name="ReportTitle1">#REF!</definedName>
    <definedName name="ReportTitle3">#REF!</definedName>
    <definedName name="Res10CUScharge">#REF!</definedName>
    <definedName name="Res12CUScharge">#REF!</definedName>
    <definedName name="RESIDENTIAL_SERVICE_RATE_R_10">'GRRES Billed'!$A$6:$H$52</definedName>
    <definedName name="RESIDENTIAL_SERVICE_RATE_R_12">'GRRESC Billed'!$A$6:$H$49</definedName>
    <definedName name="RESNTPT" localSheetId="13">#REF!</definedName>
    <definedName name="RESNTPT" localSheetId="16">#REF!</definedName>
    <definedName name="RESNTPT" localSheetId="14">#REF!</definedName>
    <definedName name="RESNTPT" localSheetId="15">#REF!</definedName>
    <definedName name="RESNTPT" localSheetId="6">#REF!</definedName>
    <definedName name="RESNTPT" localSheetId="8">#REF!</definedName>
    <definedName name="RESNTPT" localSheetId="3">#REF!</definedName>
    <definedName name="RESNTPT" localSheetId="4">#REF!</definedName>
    <definedName name="RESNTPT">#REF!</definedName>
    <definedName name="ResponsibilityApplicationID3">#REF!</definedName>
    <definedName name="ResponsibilityID3">#REF!</definedName>
    <definedName name="ResponsibilityName3">#REF!</definedName>
    <definedName name="RESREV" localSheetId="13">#REF!</definedName>
    <definedName name="RESREV" localSheetId="16">#REF!</definedName>
    <definedName name="RESREV" localSheetId="14">#REF!</definedName>
    <definedName name="RESREV" localSheetId="15">#REF!</definedName>
    <definedName name="RESREV" localSheetId="6">#REF!</definedName>
    <definedName name="RESREV" localSheetId="8">#REF!</definedName>
    <definedName name="RESREV" localSheetId="3">#REF!</definedName>
    <definedName name="RESREV" localSheetId="4">#REF!</definedName>
    <definedName name="RESREV">#REF!</definedName>
    <definedName name="Rev_Calc">#REF!</definedName>
    <definedName name="Rev_to_cost">#REF!</definedName>
    <definedName name="rev_to_cost2">#REF!</definedName>
    <definedName name="REV487A" localSheetId="13">#REF!</definedName>
    <definedName name="REV487A" localSheetId="16">#REF!</definedName>
    <definedName name="REV487A" localSheetId="14">#REF!</definedName>
    <definedName name="REV487A" localSheetId="15">#REF!</definedName>
    <definedName name="REV487A" localSheetId="6">#REF!</definedName>
    <definedName name="REV487A" localSheetId="8">#REF!</definedName>
    <definedName name="REV487A" localSheetId="3">#REF!</definedName>
    <definedName name="REV487A" localSheetId="4">#REF!</definedName>
    <definedName name="REV487A">#REF!</definedName>
    <definedName name="REV487B" localSheetId="13">#REF!</definedName>
    <definedName name="REV487B" localSheetId="16">#REF!</definedName>
    <definedName name="REV487B" localSheetId="14">#REF!</definedName>
    <definedName name="REV487B" localSheetId="15">#REF!</definedName>
    <definedName name="REV487B" localSheetId="6">#REF!</definedName>
    <definedName name="REV487B" localSheetId="8">#REF!</definedName>
    <definedName name="REV487B" localSheetId="3">#REF!</definedName>
    <definedName name="REV487B" localSheetId="4">#REF!</definedName>
    <definedName name="REV487B">#REF!</definedName>
    <definedName name="REV487C" localSheetId="13">#REF!</definedName>
    <definedName name="REV487C" localSheetId="16">#REF!</definedName>
    <definedName name="REV487C" localSheetId="14">#REF!</definedName>
    <definedName name="REV487C" localSheetId="15">#REF!</definedName>
    <definedName name="REV487C" localSheetId="6">#REF!</definedName>
    <definedName name="REV487C" localSheetId="8">#REF!</definedName>
    <definedName name="REV487C" localSheetId="3">#REF!</definedName>
    <definedName name="REV487C" localSheetId="4">#REF!</definedName>
    <definedName name="REV487C">#REF!</definedName>
    <definedName name="REV487D" localSheetId="13">#REF!</definedName>
    <definedName name="REV487D" localSheetId="16">#REF!</definedName>
    <definedName name="REV487D" localSheetId="14">#REF!</definedName>
    <definedName name="REV487D" localSheetId="15">#REF!</definedName>
    <definedName name="REV487D" localSheetId="6">#REF!</definedName>
    <definedName name="REV487D" localSheetId="8">#REF!</definedName>
    <definedName name="REV487D" localSheetId="3">#REF!</definedName>
    <definedName name="REV487D" localSheetId="4">#REF!</definedName>
    <definedName name="REV487D">#REF!</definedName>
    <definedName name="REV487E" localSheetId="13">#REF!</definedName>
    <definedName name="REV487E" localSheetId="16">#REF!</definedName>
    <definedName name="REV487E" localSheetId="14">#REF!</definedName>
    <definedName name="REV487E" localSheetId="15">#REF!</definedName>
    <definedName name="REV487E" localSheetId="6">#REF!</definedName>
    <definedName name="REV487E" localSheetId="8">#REF!</definedName>
    <definedName name="REV487E" localSheetId="3">#REF!</definedName>
    <definedName name="REV487E" localSheetId="4">#REF!</definedName>
    <definedName name="REV487E">#REF!</definedName>
    <definedName name="REV487F" localSheetId="13">#REF!</definedName>
    <definedName name="REV487F" localSheetId="16">#REF!</definedName>
    <definedName name="REV487F" localSheetId="14">#REF!</definedName>
    <definedName name="REV487F" localSheetId="15">#REF!</definedName>
    <definedName name="REV487F" localSheetId="6">#REF!</definedName>
    <definedName name="REV487F" localSheetId="8">#REF!</definedName>
    <definedName name="REV487F" localSheetId="3">#REF!</definedName>
    <definedName name="REV487F" localSheetId="4">#REF!</definedName>
    <definedName name="REV487F">#REF!</definedName>
    <definedName name="REV487G" localSheetId="13">#REF!</definedName>
    <definedName name="REV487G" localSheetId="16">#REF!</definedName>
    <definedName name="REV487G" localSheetId="14">#REF!</definedName>
    <definedName name="REV487G" localSheetId="15">#REF!</definedName>
    <definedName name="REV487G" localSheetId="6">#REF!</definedName>
    <definedName name="REV487G" localSheetId="8">#REF!</definedName>
    <definedName name="REV487G" localSheetId="3">#REF!</definedName>
    <definedName name="REV487G" localSheetId="4">#REF!</definedName>
    <definedName name="REV487G">#REF!</definedName>
    <definedName name="REV487H" localSheetId="13">#REF!</definedName>
    <definedName name="REV487H" localSheetId="16">#REF!</definedName>
    <definedName name="REV487H" localSheetId="14">#REF!</definedName>
    <definedName name="REV487H" localSheetId="15">#REF!</definedName>
    <definedName name="REV487H" localSheetId="6">#REF!</definedName>
    <definedName name="REV487H" localSheetId="8">#REF!</definedName>
    <definedName name="REV487H" localSheetId="3">#REF!</definedName>
    <definedName name="REV487H" localSheetId="4">#REF!</definedName>
    <definedName name="REV487H">#REF!</definedName>
    <definedName name="REV487I" localSheetId="13">#REF!</definedName>
    <definedName name="REV487I" localSheetId="16">#REF!</definedName>
    <definedName name="REV487I" localSheetId="14">#REF!</definedName>
    <definedName name="REV487I" localSheetId="15">#REF!</definedName>
    <definedName name="REV487I" localSheetId="6">#REF!</definedName>
    <definedName name="REV487I" localSheetId="8">#REF!</definedName>
    <definedName name="REV487I" localSheetId="3">#REF!</definedName>
    <definedName name="REV487I" localSheetId="4">#REF!</definedName>
    <definedName name="REV487I">#REF!</definedName>
    <definedName name="REV487J" localSheetId="13">#REF!</definedName>
    <definedName name="REV487J" localSheetId="16">#REF!</definedName>
    <definedName name="REV487J" localSheetId="14">#REF!</definedName>
    <definedName name="REV487J" localSheetId="15">#REF!</definedName>
    <definedName name="REV487J" localSheetId="6">#REF!</definedName>
    <definedName name="REV487J" localSheetId="8">#REF!</definedName>
    <definedName name="REV487J" localSheetId="3">#REF!</definedName>
    <definedName name="REV487J" localSheetId="4">#REF!</definedName>
    <definedName name="REV487J">#REF!</definedName>
    <definedName name="REV487K" localSheetId="13">#REF!</definedName>
    <definedName name="REV487K" localSheetId="16">#REF!</definedName>
    <definedName name="REV487K" localSheetId="14">#REF!</definedName>
    <definedName name="REV487K" localSheetId="15">#REF!</definedName>
    <definedName name="REV487K" localSheetId="6">#REF!</definedName>
    <definedName name="REV487K" localSheetId="8">#REF!</definedName>
    <definedName name="REV487K" localSheetId="3">#REF!</definedName>
    <definedName name="REV487K" localSheetId="4">#REF!</definedName>
    <definedName name="REV487K">#REF!</definedName>
    <definedName name="REV487L" localSheetId="13">#REF!</definedName>
    <definedName name="REV487L" localSheetId="16">#REF!</definedName>
    <definedName name="REV487L" localSheetId="14">#REF!</definedName>
    <definedName name="REV487L" localSheetId="15">#REF!</definedName>
    <definedName name="REV487L" localSheetId="6">#REF!</definedName>
    <definedName name="REV487L" localSheetId="8">#REF!</definedName>
    <definedName name="REV487L" localSheetId="3">#REF!</definedName>
    <definedName name="REV487L" localSheetId="4">#REF!</definedName>
    <definedName name="REV487L">#REF!</definedName>
    <definedName name="REV487M" localSheetId="13">#REF!</definedName>
    <definedName name="REV487M" localSheetId="16">#REF!</definedName>
    <definedName name="REV487M" localSheetId="14">#REF!</definedName>
    <definedName name="REV487M" localSheetId="15">#REF!</definedName>
    <definedName name="REV487M" localSheetId="6">#REF!</definedName>
    <definedName name="REV487M" localSheetId="8">#REF!</definedName>
    <definedName name="REV487M" localSheetId="3">#REF!</definedName>
    <definedName name="REV487M" localSheetId="4">#REF!</definedName>
    <definedName name="REV487M">#REF!</definedName>
    <definedName name="REV487N" localSheetId="13">#REF!</definedName>
    <definedName name="REV487N" localSheetId="16">#REF!</definedName>
    <definedName name="REV487N" localSheetId="14">#REF!</definedName>
    <definedName name="REV487N" localSheetId="15">#REF!</definedName>
    <definedName name="REV487N" localSheetId="6">#REF!</definedName>
    <definedName name="REV487N" localSheetId="8">#REF!</definedName>
    <definedName name="REV487N" localSheetId="3">#REF!</definedName>
    <definedName name="REV487N" localSheetId="4">#REF!</definedName>
    <definedName name="REV487N">#REF!</definedName>
    <definedName name="REVCHGC" localSheetId="13">#REF!</definedName>
    <definedName name="REVCHGC" localSheetId="16">#REF!</definedName>
    <definedName name="REVCHGC" localSheetId="14">#REF!</definedName>
    <definedName name="REVCHGC" localSheetId="15">#REF!</definedName>
    <definedName name="REVCHGC" localSheetId="6">#REF!</definedName>
    <definedName name="REVCHGC" localSheetId="8">#REF!</definedName>
    <definedName name="REVCHGC" localSheetId="3">#REF!</definedName>
    <definedName name="REVCHGC" localSheetId="4">#REF!</definedName>
    <definedName name="REVCHGC">#REF!</definedName>
    <definedName name="REVCHGP" localSheetId="13">#REF!</definedName>
    <definedName name="REVCHGP" localSheetId="16">#REF!</definedName>
    <definedName name="REVCHGP" localSheetId="14">#REF!</definedName>
    <definedName name="REVCHGP" localSheetId="15">#REF!</definedName>
    <definedName name="REVCHGP" localSheetId="6">#REF!</definedName>
    <definedName name="REVCHGP" localSheetId="8">#REF!</definedName>
    <definedName name="REVCHGP" localSheetId="3">#REF!</definedName>
    <definedName name="REVCHGP" localSheetId="4">#REF!</definedName>
    <definedName name="REVCHGP">#REF!</definedName>
    <definedName name="REVCLAIM" localSheetId="13">#REF!</definedName>
    <definedName name="REVCLAIM" localSheetId="16">#REF!</definedName>
    <definedName name="REVCLAIM" localSheetId="14">#REF!</definedName>
    <definedName name="REVCLAIM" localSheetId="15">#REF!</definedName>
    <definedName name="REVCLAIM" localSheetId="6">#REF!</definedName>
    <definedName name="REVCLAIM" localSheetId="8">#REF!</definedName>
    <definedName name="REVCLAIM" localSheetId="3">#REF!</definedName>
    <definedName name="REVCLAIM" localSheetId="4">#REF!</definedName>
    <definedName name="REVCLAIM">#REF!</definedName>
    <definedName name="REVENUE">#REF!</definedName>
    <definedName name="REVENUE1">#REF!</definedName>
    <definedName name="REVENUE2">#REF!</definedName>
    <definedName name="REVENUE3" localSheetId="13">#REF!</definedName>
    <definedName name="REVENUE3" localSheetId="16">#REF!</definedName>
    <definedName name="REVENUE3" localSheetId="14">#REF!</definedName>
    <definedName name="REVENUE3" localSheetId="15">#REF!</definedName>
    <definedName name="REVENUE3" localSheetId="6">#REF!</definedName>
    <definedName name="REVENUE3" localSheetId="8">#REF!</definedName>
    <definedName name="REVENUE3" localSheetId="3">#REF!</definedName>
    <definedName name="REVENUE3" localSheetId="4">#REF!</definedName>
    <definedName name="REVENUE3">#REF!</definedName>
    <definedName name="REVENUE4" localSheetId="13">#REF!</definedName>
    <definedName name="REVENUE4" localSheetId="16">#REF!</definedName>
    <definedName name="REVENUE4" localSheetId="14">#REF!</definedName>
    <definedName name="REVENUE4" localSheetId="15">#REF!</definedName>
    <definedName name="REVENUE4" localSheetId="6">#REF!</definedName>
    <definedName name="REVENUE4" localSheetId="8">#REF!</definedName>
    <definedName name="REVENUE4" localSheetId="3">#REF!</definedName>
    <definedName name="REVENUE4" localSheetId="4">#REF!</definedName>
    <definedName name="REVENUE4">#REF!</definedName>
    <definedName name="RevFercCol">#REF!</definedName>
    <definedName name="RevReqCust">#REF!</definedName>
    <definedName name="RevReqFunct">#REF!</definedName>
    <definedName name="RevReqHeader">#REF!</definedName>
    <definedName name="RevReqSch3.1">#REF!</definedName>
    <definedName name="REVREQSUM" localSheetId="13">#REF!</definedName>
    <definedName name="REVREQSUM" localSheetId="16">#REF!</definedName>
    <definedName name="REVREQSUM" localSheetId="14">#REF!</definedName>
    <definedName name="REVREQSUM" localSheetId="15">#REF!</definedName>
    <definedName name="REVREQSUM" localSheetId="6">#REF!</definedName>
    <definedName name="REVREQSUM" localSheetId="8">#REF!</definedName>
    <definedName name="REVREQSUM" localSheetId="3">#REF!</definedName>
    <definedName name="REVREQSUM" localSheetId="4">#REF!</definedName>
    <definedName name="REVREQSUM">#REF!</definedName>
    <definedName name="revtaxexp" localSheetId="13">#REF!</definedName>
    <definedName name="revtaxexp" localSheetId="16">#REF!</definedName>
    <definedName name="revtaxexp" localSheetId="14">#REF!</definedName>
    <definedName name="revtaxexp" localSheetId="15">#REF!</definedName>
    <definedName name="revtaxexp" localSheetId="6">#REF!</definedName>
    <definedName name="revtaxexp" localSheetId="8">#REF!</definedName>
    <definedName name="revtaxexp" localSheetId="3">#REF!</definedName>
    <definedName name="revtaxexp" localSheetId="4">#REF!</definedName>
    <definedName name="revtaxexp">#REF!</definedName>
    <definedName name="revvar">#REF!</definedName>
    <definedName name="RFRANM">#REF!</definedName>
    <definedName name="RFRANT">#REF!</definedName>
    <definedName name="ror">#REF!,#REF!,#REF!,#REF!,#REF!,#REF!,#REF!,#REF!,#REF!,#REF!,#REF!,#REF!,#REF!,#REF!,#REF!</definedName>
    <definedName name="RowDetails1">#REF!</definedName>
    <definedName name="RowDetails3">#REF!</definedName>
    <definedName name="RRBT">#REF!</definedName>
    <definedName name="RRUCO">#REF!</definedName>
    <definedName name="RSTATE">#REF!</definedName>
    <definedName name="RT01CUS">#REF!</definedName>
    <definedName name="RT01MARGREV">#REF!</definedName>
    <definedName name="RT01UPC">#REF!</definedName>
    <definedName name="RT03CUS">#REF!</definedName>
    <definedName name="RT03MARGREV">#REF!</definedName>
    <definedName name="RT03UPC">#REF!</definedName>
    <definedName name="RT10CUS">#REF!</definedName>
    <definedName name="RT10MARGREV">#REF!</definedName>
    <definedName name="RT10TRFD3">#REF!</definedName>
    <definedName name="RT10UPC">#REF!</definedName>
    <definedName name="RT11CUS">#REF!</definedName>
    <definedName name="RT11MARGREV">#REF!</definedName>
    <definedName name="RT11UPC">#REF!</definedName>
    <definedName name="RT12CUS">#REF!</definedName>
    <definedName name="RT12MARGREV">#REF!</definedName>
    <definedName name="RT12UPC">#REF!</definedName>
    <definedName name="RT13CUS">#REF!</definedName>
    <definedName name="RT13MARGREV">#REF!</definedName>
    <definedName name="RT13UPC">#REF!</definedName>
    <definedName name="rt201cus">#REF!</definedName>
    <definedName name="rt201upc">#REF!</definedName>
    <definedName name="rt21cus">#REF!</definedName>
    <definedName name="rt21upc">#REF!</definedName>
    <definedName name="rt70cus">#REF!</definedName>
    <definedName name="rt70upc">#REF!</definedName>
    <definedName name="rt76cus">#REF!</definedName>
    <definedName name="rt76upc">#REF!</definedName>
    <definedName name="rt85cus">#REF!</definedName>
    <definedName name="rt85upc">#REF!</definedName>
    <definedName name="Rwvu.PRT_OM." localSheetId="13" hidden="1">#REF!,#REF!</definedName>
    <definedName name="Rwvu.PRT_OM." localSheetId="16" hidden="1">#REF!,#REF!</definedName>
    <definedName name="Rwvu.PRT_OM." localSheetId="14" hidden="1">#REF!,#REF!</definedName>
    <definedName name="Rwvu.PRT_OM." localSheetId="15" hidden="1">#REF!,#REF!</definedName>
    <definedName name="Rwvu.PRT_OM." localSheetId="6" hidden="1">#REF!,#REF!</definedName>
    <definedName name="Rwvu.PRT_OM." localSheetId="8" hidden="1">#REF!,#REF!</definedName>
    <definedName name="Rwvu.PRT_OM." localSheetId="32" hidden="1">#REF!,#REF!</definedName>
    <definedName name="Rwvu.PRT_OM." localSheetId="34" hidden="1">#REF!,#REF!</definedName>
    <definedName name="Rwvu.PRT_OM." localSheetId="29" hidden="1">#REF!,#REF!</definedName>
    <definedName name="Rwvu.PRT_OM." localSheetId="35" hidden="1">#REF!,#REF!</definedName>
    <definedName name="Rwvu.PRT_OM." localSheetId="30" hidden="1">#REF!,#REF!</definedName>
    <definedName name="Rwvu.PRT_OM." localSheetId="33" hidden="1">#REF!,#REF!</definedName>
    <definedName name="Rwvu.PRT_OM." localSheetId="36" hidden="1">#REF!,#REF!</definedName>
    <definedName name="Rwvu.PRT_OM." localSheetId="31" hidden="1">#REF!,#REF!</definedName>
    <definedName name="Rwvu.PRT_OM." localSheetId="28" hidden="1">#REF!,#REF!</definedName>
    <definedName name="Rwvu.PRT_OM." localSheetId="26" hidden="1">#REF!,#REF!</definedName>
    <definedName name="Rwvu.PRT_OM." localSheetId="27" hidden="1">#REF!,#REF!</definedName>
    <definedName name="Rwvu.PRT_OM." localSheetId="37" hidden="1">#REF!,#REF!</definedName>
    <definedName name="Rwvu.PRT_OM." localSheetId="38" hidden="1">#REF!,#REF!</definedName>
    <definedName name="Rwvu.PRT_OM." localSheetId="0" hidden="1">#REF!,#REF!</definedName>
    <definedName name="Rwvu.PRT_OM." localSheetId="2" hidden="1">#REF!,#REF!</definedName>
    <definedName name="Rwvu.PRT_OM." localSheetId="3" hidden="1">#REF!,#REF!</definedName>
    <definedName name="Rwvu.PRT_OM." localSheetId="4" hidden="1">#REF!,#REF!</definedName>
    <definedName name="Rwvu.PRT_OM." localSheetId="17" hidden="1">#REF!,#REF!</definedName>
    <definedName name="Rwvu.PRT_OM." localSheetId="18" hidden="1">#REF!,#REF!</definedName>
    <definedName name="Rwvu.PRT_OM." localSheetId="19" hidden="1">#REF!,#REF!</definedName>
    <definedName name="Rwvu.PRT_OM." localSheetId="20" hidden="1">#REF!,#REF!</definedName>
    <definedName name="Rwvu.PRT_OM." hidden="1">#REF!,#REF!</definedName>
    <definedName name="Rwvu.PRT_RATEBASE." localSheetId="13" hidden="1">#REF!,#REF!,#REF!</definedName>
    <definedName name="Rwvu.PRT_RATEBASE." localSheetId="16" hidden="1">#REF!,#REF!,#REF!</definedName>
    <definedName name="Rwvu.PRT_RATEBASE." localSheetId="14" hidden="1">#REF!,#REF!,#REF!</definedName>
    <definedName name="Rwvu.PRT_RATEBASE." localSheetId="15" hidden="1">#REF!,#REF!,#REF!</definedName>
    <definedName name="Rwvu.PRT_RATEBASE." localSheetId="6" hidden="1">#REF!,#REF!,#REF!</definedName>
    <definedName name="Rwvu.PRT_RATEBASE." localSheetId="8" hidden="1">#REF!,#REF!,#REF!</definedName>
    <definedName name="Rwvu.PRT_RATEBASE." localSheetId="32" hidden="1">#REF!,#REF!,#REF!</definedName>
    <definedName name="Rwvu.PRT_RATEBASE." localSheetId="34" hidden="1">#REF!,#REF!,#REF!</definedName>
    <definedName name="Rwvu.PRT_RATEBASE." localSheetId="29" hidden="1">#REF!,#REF!,#REF!</definedName>
    <definedName name="Rwvu.PRT_RATEBASE." localSheetId="35" hidden="1">#REF!,#REF!,#REF!</definedName>
    <definedName name="Rwvu.PRT_RATEBASE." localSheetId="30" hidden="1">#REF!,#REF!,#REF!</definedName>
    <definedName name="Rwvu.PRT_RATEBASE." localSheetId="33" hidden="1">#REF!,#REF!,#REF!</definedName>
    <definedName name="Rwvu.PRT_RATEBASE." localSheetId="36" hidden="1">#REF!,#REF!,#REF!</definedName>
    <definedName name="Rwvu.PRT_RATEBASE." localSheetId="31" hidden="1">#REF!,#REF!,#REF!</definedName>
    <definedName name="Rwvu.PRT_RATEBASE." localSheetId="28" hidden="1">#REF!,#REF!,#REF!</definedName>
    <definedName name="Rwvu.PRT_RATEBASE." localSheetId="26" hidden="1">#REF!,#REF!,#REF!</definedName>
    <definedName name="Rwvu.PRT_RATEBASE." localSheetId="27" hidden="1">#REF!,#REF!,#REF!</definedName>
    <definedName name="Rwvu.PRT_RATEBASE." localSheetId="37" hidden="1">#REF!,#REF!,#REF!</definedName>
    <definedName name="Rwvu.PRT_RATEBASE." localSheetId="38" hidden="1">#REF!,#REF!,#REF!</definedName>
    <definedName name="Rwvu.PRT_RATEBASE." localSheetId="0" hidden="1">#REF!,#REF!,#REF!</definedName>
    <definedName name="Rwvu.PRT_RATEBASE." localSheetId="2" hidden="1">#REF!,#REF!,#REF!</definedName>
    <definedName name="Rwvu.PRT_RATEBASE." localSheetId="3" hidden="1">#REF!,#REF!,#REF!</definedName>
    <definedName name="Rwvu.PRT_RATEBASE." localSheetId="4" hidden="1">#REF!,#REF!,#REF!</definedName>
    <definedName name="Rwvu.PRT_RATEBASE." localSheetId="17" hidden="1">#REF!,#REF!,#REF!</definedName>
    <definedName name="Rwvu.PRT_RATEBASE." localSheetId="18" hidden="1">#REF!,#REF!,#REF!</definedName>
    <definedName name="Rwvu.PRT_RATEBASE." localSheetId="19" hidden="1">#REF!,#REF!,#REF!</definedName>
    <definedName name="Rwvu.PRT_RATEBASE." localSheetId="20" hidden="1">#REF!,#REF!,#REF!</definedName>
    <definedName name="Rwvu.PRT_RATEBASE." hidden="1">#REF!,#REF!,#REF!</definedName>
    <definedName name="sadgjghf">#REF!</definedName>
    <definedName name="sadgsag">#REF!,#REF!,#REF!,#REF!,#REF!,#REF!,#REF!,#REF!,#REF!,#REF!,#REF!,#REF!,#REF!,#REF!,#REF!</definedName>
    <definedName name="same">#REF!</definedName>
    <definedName name="Schedule_G1" localSheetId="13">#REF!</definedName>
    <definedName name="Schedule_G1" localSheetId="16">#REF!</definedName>
    <definedName name="Schedule_G1" localSheetId="14">#REF!</definedName>
    <definedName name="Schedule_G1" localSheetId="15">#REF!</definedName>
    <definedName name="Schedule_G1" localSheetId="6">#REF!</definedName>
    <definedName name="Schedule_G1" localSheetId="8">#REF!</definedName>
    <definedName name="Schedule_G1" localSheetId="3">#REF!</definedName>
    <definedName name="Schedule_G1" localSheetId="4">#REF!</definedName>
    <definedName name="Schedule_G1">#REF!</definedName>
    <definedName name="Schedule_G2" localSheetId="13">#REF!</definedName>
    <definedName name="Schedule_G2" localSheetId="16">#REF!</definedName>
    <definedName name="Schedule_G2" localSheetId="14">#REF!</definedName>
    <definedName name="Schedule_G2" localSheetId="15">#REF!</definedName>
    <definedName name="Schedule_G2" localSheetId="6">#REF!</definedName>
    <definedName name="Schedule_G2" localSheetId="8">#REF!</definedName>
    <definedName name="Schedule_G2" localSheetId="3">#REF!</definedName>
    <definedName name="Schedule_G2" localSheetId="4">#REF!</definedName>
    <definedName name="Schedule_G2">#REF!</definedName>
    <definedName name="Schedule_G3" localSheetId="13">#REF!</definedName>
    <definedName name="Schedule_G3" localSheetId="16">#REF!</definedName>
    <definedName name="Schedule_G3" localSheetId="14">#REF!</definedName>
    <definedName name="Schedule_G3" localSheetId="15">#REF!</definedName>
    <definedName name="Schedule_G3" localSheetId="6">#REF!</definedName>
    <definedName name="Schedule_G3" localSheetId="8">#REF!</definedName>
    <definedName name="Schedule_G3" localSheetId="3">#REF!</definedName>
    <definedName name="Schedule_G3" localSheetId="4">#REF!</definedName>
    <definedName name="Schedule_G3">#REF!</definedName>
    <definedName name="Schedule_G4" localSheetId="13">#REF!</definedName>
    <definedName name="Schedule_G4" localSheetId="16">#REF!</definedName>
    <definedName name="Schedule_G4" localSheetId="14">#REF!</definedName>
    <definedName name="Schedule_G4" localSheetId="15">#REF!</definedName>
    <definedName name="Schedule_G4" localSheetId="6">#REF!</definedName>
    <definedName name="Schedule_G4" localSheetId="8">#REF!</definedName>
    <definedName name="Schedule_G4" localSheetId="3">#REF!</definedName>
    <definedName name="Schedule_G4" localSheetId="4">#REF!</definedName>
    <definedName name="Schedule_G4">#REF!</definedName>
    <definedName name="Schedule_G7F" localSheetId="13">#REF!</definedName>
    <definedName name="Schedule_G7F" localSheetId="16">#REF!</definedName>
    <definedName name="Schedule_G7F" localSheetId="14">#REF!</definedName>
    <definedName name="Schedule_G7F" localSheetId="15">#REF!</definedName>
    <definedName name="Schedule_G7F" localSheetId="6">#REF!</definedName>
    <definedName name="Schedule_G7F" localSheetId="8">#REF!</definedName>
    <definedName name="Schedule_G7F" localSheetId="3">#REF!</definedName>
    <definedName name="Schedule_G7F" localSheetId="4">#REF!</definedName>
    <definedName name="Schedule_G7F">#REF!</definedName>
    <definedName name="Schedule_G7L">#REF!</definedName>
    <definedName name="Schedule_G7R" localSheetId="13">#REF!</definedName>
    <definedName name="Schedule_G7R" localSheetId="16">#REF!</definedName>
    <definedName name="Schedule_G7R" localSheetId="14">#REF!</definedName>
    <definedName name="Schedule_G7R" localSheetId="15">#REF!</definedName>
    <definedName name="Schedule_G7R" localSheetId="6">#REF!</definedName>
    <definedName name="Schedule_G7R" localSheetId="8">#REF!</definedName>
    <definedName name="Schedule_G7R" localSheetId="3">#REF!</definedName>
    <definedName name="Schedule_G7R" localSheetId="4">#REF!</definedName>
    <definedName name="Schedule_G7R">#REF!</definedName>
    <definedName name="SchH2" localSheetId="13">#REF!</definedName>
    <definedName name="SchH2" localSheetId="16">#REF!</definedName>
    <definedName name="SchH2" localSheetId="14">#REF!</definedName>
    <definedName name="SchH2" localSheetId="15">#REF!</definedName>
    <definedName name="SchH2" localSheetId="6">#REF!</definedName>
    <definedName name="SchH2" localSheetId="8">#REF!</definedName>
    <definedName name="SchH2" localSheetId="3">#REF!</definedName>
    <definedName name="SchH2" localSheetId="4">#REF!</definedName>
    <definedName name="SchH2">#REF!</definedName>
    <definedName name="sdfas">#REF!</definedName>
    <definedName name="sdklflsdkgj">#REF!</definedName>
    <definedName name="sdlkfjsakdf">#REF!</definedName>
    <definedName name="Seasons">#REF!</definedName>
    <definedName name="Serial">#REF!</definedName>
    <definedName name="SetOfBooksID3">#REF!</definedName>
    <definedName name="SetOfBooksName3">#REF!</definedName>
    <definedName name="sfasfgsd">#REF!</definedName>
    <definedName name="SheetNames">'Rate Codes'!#REF!</definedName>
    <definedName name="ShowSeparator1">#REF!</definedName>
    <definedName name="ShowSeparator3">#REF!</definedName>
    <definedName name="SILVERFAC">#REF!</definedName>
    <definedName name="SILVERLF">#REF!</definedName>
    <definedName name="SILVERMW">#REF!</definedName>
    <definedName name="SILVERMWH">#REF!</definedName>
    <definedName name="sldkfj">#REF!</definedName>
    <definedName name="SMALL_VOL_COMMERCIAL_RATE_C_20">'GGSVS Billed'!#REF!</definedName>
    <definedName name="SMALL_VOL_INDUSTRIAL_RATE_I_30">'GISVS Billed'!#REF!</definedName>
    <definedName name="SMALL_VOL_PA_RATE_P_40">'GPSVS Billed'!$A$6:$H$26</definedName>
    <definedName name="SmallList">#REF!</definedName>
    <definedName name="SPOT1">#REF!</definedName>
    <definedName name="SPOT12" localSheetId="13">#REF!</definedName>
    <definedName name="SPOT12" localSheetId="16">#REF!</definedName>
    <definedName name="SPOT12" localSheetId="14">#REF!</definedName>
    <definedName name="SPOT12" localSheetId="15">#REF!</definedName>
    <definedName name="SPOT12" localSheetId="6">#REF!</definedName>
    <definedName name="SPOT12" localSheetId="8">#REF!</definedName>
    <definedName name="SPOT12" localSheetId="3">#REF!</definedName>
    <definedName name="SPOT12" localSheetId="4">#REF!</definedName>
    <definedName name="SPOT12">#REF!</definedName>
    <definedName name="spot2">#REF!</definedName>
    <definedName name="Spot8" localSheetId="13">#REF!</definedName>
    <definedName name="Spot8" localSheetId="16">#REF!</definedName>
    <definedName name="Spot8" localSheetId="14">#REF!</definedName>
    <definedName name="Spot8" localSheetId="15">#REF!</definedName>
    <definedName name="Spot8" localSheetId="6">#REF!</definedName>
    <definedName name="Spot8" localSheetId="8">#REF!</definedName>
    <definedName name="Spot8" localSheetId="3">#REF!</definedName>
    <definedName name="Spot8" localSheetId="4">#REF!</definedName>
    <definedName name="Spot8">#REF!</definedName>
    <definedName name="spotu26">#REF!</definedName>
    <definedName name="spotu27">#REF!</definedName>
    <definedName name="spotu28">#REF!</definedName>
    <definedName name="spotu29">#REF!</definedName>
    <definedName name="spotu30">#REF!</definedName>
    <definedName name="spotu31">#REF!</definedName>
    <definedName name="spotu32">#REF!</definedName>
    <definedName name="spotu33">#REF!</definedName>
    <definedName name="spotu34">#REF!</definedName>
    <definedName name="spotu35">#REF!</definedName>
    <definedName name="spotu36">#REF!</definedName>
    <definedName name="spotu37">#REF!</definedName>
    <definedName name="spotu38">#REF!</definedName>
    <definedName name="sprom" localSheetId="13">#REF!</definedName>
    <definedName name="sprom" localSheetId="16">#REF!</definedName>
    <definedName name="sprom" localSheetId="14">#REF!</definedName>
    <definedName name="sprom" localSheetId="15">#REF!</definedName>
    <definedName name="sprom" localSheetId="6">#REF!</definedName>
    <definedName name="sprom" localSheetId="8">#REF!</definedName>
    <definedName name="sprom" localSheetId="3">#REF!</definedName>
    <definedName name="sprom" localSheetId="4">#REF!</definedName>
    <definedName name="sprom">#REF!</definedName>
    <definedName name="sss">#REF!</definedName>
    <definedName name="sssw">#REF!</definedName>
    <definedName name="stat">#REF!</definedName>
    <definedName name="STATE">#REF!</definedName>
    <definedName name="Std_offer_tbl">#REF!</definedName>
    <definedName name="step1">#REF!</definedName>
    <definedName name="step2">#REF!</definedName>
    <definedName name="Steps">#REF!</definedName>
    <definedName name="SumForecast">#REF!</definedName>
    <definedName name="SumHistoric">#REF!</definedName>
    <definedName name="summary">#REF!,#REF!,#REF!,#REF!,#REF!,#REF!,#REF!,#REF!,#REF!,#REF!,#REF!,#REF!,#REF!,#REF!,#REF!</definedName>
    <definedName name="SumPower">#REF!</definedName>
    <definedName name="SumPresRate">#REF!</definedName>
    <definedName name="SumPropRate" localSheetId="13">#REF!</definedName>
    <definedName name="SumPropRate" localSheetId="16">#REF!</definedName>
    <definedName name="SumPropRate" localSheetId="14">#REF!</definedName>
    <definedName name="SumPropRate" localSheetId="15">#REF!</definedName>
    <definedName name="SumPropRate" localSheetId="6">#REF!</definedName>
    <definedName name="SumPropRate" localSheetId="8">#REF!</definedName>
    <definedName name="SumPropRate" localSheetId="3">#REF!</definedName>
    <definedName name="SumPropRate" localSheetId="4">#REF!</definedName>
    <definedName name="SumPropRate">#REF!</definedName>
    <definedName name="SumRateBase">#REF!</definedName>
    <definedName name="SumRevClass">#REF!</definedName>
    <definedName name="SumRevPresRate">#REF!</definedName>
    <definedName name="SumRevPropRate">#REF!</definedName>
    <definedName name="SumRevRate">#REF!</definedName>
    <definedName name="SumRevReq">#REF!</definedName>
    <definedName name="SUPP">#REF!</definedName>
    <definedName name="SVCPT_ST">#REF!</definedName>
    <definedName name="SVCPT_STM">#REF!</definedName>
    <definedName name="swr">#REF!</definedName>
    <definedName name="Swvu.HIST_COST." localSheetId="13" hidden="1">#REF!</definedName>
    <definedName name="Swvu.HIST_COST." localSheetId="16" hidden="1">#REF!</definedName>
    <definedName name="Swvu.HIST_COST." localSheetId="14" hidden="1">#REF!</definedName>
    <definedName name="Swvu.HIST_COST." localSheetId="15" hidden="1">#REF!</definedName>
    <definedName name="Swvu.HIST_COST." localSheetId="6" hidden="1">#REF!</definedName>
    <definedName name="Swvu.HIST_COST." localSheetId="8" hidden="1">#REF!</definedName>
    <definedName name="Swvu.HIST_COST." localSheetId="32" hidden="1">#REF!</definedName>
    <definedName name="Swvu.HIST_COST." localSheetId="34" hidden="1">#REF!</definedName>
    <definedName name="Swvu.HIST_COST." localSheetId="29" hidden="1">#REF!</definedName>
    <definedName name="Swvu.HIST_COST." localSheetId="35" hidden="1">#REF!</definedName>
    <definedName name="Swvu.HIST_COST." localSheetId="30" hidden="1">#REF!</definedName>
    <definedName name="Swvu.HIST_COST." localSheetId="33" hidden="1">#REF!</definedName>
    <definedName name="Swvu.HIST_COST." localSheetId="36" hidden="1">#REF!</definedName>
    <definedName name="Swvu.HIST_COST." localSheetId="31" hidden="1">#REF!</definedName>
    <definedName name="Swvu.HIST_COST." localSheetId="28" hidden="1">#REF!</definedName>
    <definedName name="Swvu.HIST_COST." localSheetId="26" hidden="1">#REF!</definedName>
    <definedName name="Swvu.HIST_COST." localSheetId="27" hidden="1">#REF!</definedName>
    <definedName name="Swvu.HIST_COST." localSheetId="37" hidden="1">#REF!</definedName>
    <definedName name="Swvu.HIST_COST." localSheetId="38" hidden="1">#REF!</definedName>
    <definedName name="Swvu.HIST_COST." localSheetId="0" hidden="1">#REF!</definedName>
    <definedName name="Swvu.HIST_COST." localSheetId="2" hidden="1">#REF!</definedName>
    <definedName name="Swvu.HIST_COST." localSheetId="3" hidden="1">#REF!</definedName>
    <definedName name="Swvu.HIST_COST." localSheetId="4" hidden="1">#REF!</definedName>
    <definedName name="Swvu.HIST_COST." localSheetId="17" hidden="1">#REF!</definedName>
    <definedName name="Swvu.HIST_COST." localSheetId="18" hidden="1">#REF!</definedName>
    <definedName name="Swvu.HIST_COST." localSheetId="19" hidden="1">#REF!</definedName>
    <definedName name="Swvu.HIST_COST." localSheetId="20" hidden="1">#REF!</definedName>
    <definedName name="Swvu.HIST_COST." hidden="1">#REF!</definedName>
    <definedName name="Swvu.PRT_OM." localSheetId="13" hidden="1">#REF!</definedName>
    <definedName name="Swvu.PRT_OM." localSheetId="16" hidden="1">#REF!</definedName>
    <definedName name="Swvu.PRT_OM." localSheetId="14" hidden="1">#REF!</definedName>
    <definedName name="Swvu.PRT_OM." localSheetId="15" hidden="1">#REF!</definedName>
    <definedName name="Swvu.PRT_OM." localSheetId="6" hidden="1">#REF!</definedName>
    <definedName name="Swvu.PRT_OM." localSheetId="8" hidden="1">#REF!</definedName>
    <definedName name="Swvu.PRT_OM." localSheetId="32" hidden="1">#REF!</definedName>
    <definedName name="Swvu.PRT_OM." localSheetId="34" hidden="1">#REF!</definedName>
    <definedName name="Swvu.PRT_OM." localSheetId="29" hidden="1">#REF!</definedName>
    <definedName name="Swvu.PRT_OM." localSheetId="35" hidden="1">#REF!</definedName>
    <definedName name="Swvu.PRT_OM." localSheetId="30" hidden="1">#REF!</definedName>
    <definedName name="Swvu.PRT_OM." localSheetId="33" hidden="1">#REF!</definedName>
    <definedName name="Swvu.PRT_OM." localSheetId="36" hidden="1">#REF!</definedName>
    <definedName name="Swvu.PRT_OM." localSheetId="31" hidden="1">#REF!</definedName>
    <definedName name="Swvu.PRT_OM." localSheetId="28" hidden="1">#REF!</definedName>
    <definedName name="Swvu.PRT_OM." localSheetId="26" hidden="1">#REF!</definedName>
    <definedName name="Swvu.PRT_OM." localSheetId="27" hidden="1">#REF!</definedName>
    <definedName name="Swvu.PRT_OM." localSheetId="37" hidden="1">#REF!</definedName>
    <definedName name="Swvu.PRT_OM." localSheetId="38" hidden="1">#REF!</definedName>
    <definedName name="Swvu.PRT_OM." localSheetId="2" hidden="1">#REF!</definedName>
    <definedName name="Swvu.PRT_OM." localSheetId="3" hidden="1">#REF!</definedName>
    <definedName name="Swvu.PRT_OM." localSheetId="4" hidden="1">#REF!</definedName>
    <definedName name="Swvu.PRT_OM." localSheetId="17" hidden="1">#REF!</definedName>
    <definedName name="Swvu.PRT_OM." localSheetId="18" hidden="1">#REF!</definedName>
    <definedName name="Swvu.PRT_OM." localSheetId="19" hidden="1">#REF!</definedName>
    <definedName name="Swvu.PRT_OM." localSheetId="20" hidden="1">#REF!</definedName>
    <definedName name="Swvu.PRT_OM." hidden="1">#REF!</definedName>
    <definedName name="Swvu.PRT_RATEBASE." localSheetId="13" hidden="1">#REF!</definedName>
    <definedName name="Swvu.PRT_RATEBASE." localSheetId="16" hidden="1">#REF!</definedName>
    <definedName name="Swvu.PRT_RATEBASE." localSheetId="14" hidden="1">#REF!</definedName>
    <definedName name="Swvu.PRT_RATEBASE." localSheetId="15" hidden="1">#REF!</definedName>
    <definedName name="Swvu.PRT_RATEBASE." localSheetId="6" hidden="1">#REF!</definedName>
    <definedName name="Swvu.PRT_RATEBASE." localSheetId="8" hidden="1">#REF!</definedName>
    <definedName name="Swvu.PRT_RATEBASE." localSheetId="32" hidden="1">#REF!</definedName>
    <definedName name="Swvu.PRT_RATEBASE." localSheetId="34" hidden="1">#REF!</definedName>
    <definedName name="Swvu.PRT_RATEBASE." localSheetId="29" hidden="1">#REF!</definedName>
    <definedName name="Swvu.PRT_RATEBASE." localSheetId="35" hidden="1">#REF!</definedName>
    <definedName name="Swvu.PRT_RATEBASE." localSheetId="30" hidden="1">#REF!</definedName>
    <definedName name="Swvu.PRT_RATEBASE." localSheetId="33" hidden="1">#REF!</definedName>
    <definedName name="Swvu.PRT_RATEBASE." localSheetId="36" hidden="1">#REF!</definedName>
    <definedName name="Swvu.PRT_RATEBASE." localSheetId="31" hidden="1">#REF!</definedName>
    <definedName name="Swvu.PRT_RATEBASE." localSheetId="28" hidden="1">#REF!</definedName>
    <definedName name="Swvu.PRT_RATEBASE." localSheetId="26" hidden="1">#REF!</definedName>
    <definedName name="Swvu.PRT_RATEBASE." localSheetId="27" hidden="1">#REF!</definedName>
    <definedName name="Swvu.PRT_RATEBASE." localSheetId="37" hidden="1">#REF!</definedName>
    <definedName name="Swvu.PRT_RATEBASE." localSheetId="38" hidden="1">#REF!</definedName>
    <definedName name="Swvu.PRT_RATEBASE." localSheetId="2" hidden="1">#REF!</definedName>
    <definedName name="Swvu.PRT_RATEBASE." localSheetId="3" hidden="1">#REF!</definedName>
    <definedName name="Swvu.PRT_RATEBASE." localSheetId="4" hidden="1">#REF!</definedName>
    <definedName name="Swvu.PRT_RATEBASE." localSheetId="17" hidden="1">#REF!</definedName>
    <definedName name="Swvu.PRT_RATEBASE." localSheetId="18" hidden="1">#REF!</definedName>
    <definedName name="Swvu.PRT_RATEBASE." localSheetId="19" hidden="1">#REF!</definedName>
    <definedName name="Swvu.PRT_RATEBASE." localSheetId="20" hidden="1">#REF!</definedName>
    <definedName name="Swvu.PRT_RATEBASE." hidden="1">#REF!</definedName>
    <definedName name="TableName">"Dummy"</definedName>
    <definedName name="TableOfContents">#REF!</definedName>
    <definedName name="TAXES">#REF!</definedName>
    <definedName name="TAXRATES" localSheetId="13">#REF!</definedName>
    <definedName name="TAXRATES" localSheetId="16">#REF!</definedName>
    <definedName name="TAXRATES" localSheetId="14">#REF!</definedName>
    <definedName name="TAXRATES" localSheetId="15">#REF!</definedName>
    <definedName name="TAXRATES" localSheetId="6">#REF!</definedName>
    <definedName name="TAXRATES" localSheetId="8">#REF!</definedName>
    <definedName name="TAXRATES" localSheetId="3">#REF!</definedName>
    <definedName name="TAXRATES" localSheetId="4">#REF!</definedName>
    <definedName name="TAXRATES">#REF!</definedName>
    <definedName name="TBLHeader">#REF!</definedName>
    <definedName name="testcust">#REF!</definedName>
    <definedName name="testdate">#REF!</definedName>
    <definedName name="testkwh">#REF!</definedName>
    <definedName name="ThermCOM20">#REF!</definedName>
    <definedName name="ThermCOM22">#REF!</definedName>
    <definedName name="ThermIND30">#REF!</definedName>
    <definedName name="ThermIND32">#REF!</definedName>
    <definedName name="ThermIRR60">#REF!</definedName>
    <definedName name="ThermPA40">#REF!</definedName>
    <definedName name="ThermPA42">#REF!</definedName>
    <definedName name="ThermRES10">#REF!</definedName>
    <definedName name="ThermRES12">#REF!</definedName>
    <definedName name="THERMS" localSheetId="13">#REF!</definedName>
    <definedName name="THERMS" localSheetId="16">#REF!</definedName>
    <definedName name="THERMS" localSheetId="14">#REF!</definedName>
    <definedName name="THERMS" localSheetId="15">#REF!</definedName>
    <definedName name="THERMS" localSheetId="6">#REF!</definedName>
    <definedName name="THERMS" localSheetId="8">#REF!</definedName>
    <definedName name="THERMS" localSheetId="3">#REF!</definedName>
    <definedName name="THERMS" localSheetId="4">#REF!</definedName>
    <definedName name="THERMS">#REF!</definedName>
    <definedName name="TMCFAC">#REF!</definedName>
    <definedName name="TMCLF">#REF!</definedName>
    <definedName name="TMCMW">#REF!</definedName>
    <definedName name="TMCMWH">#REF!</definedName>
    <definedName name="TOT_AMT">#REF!</definedName>
    <definedName name="Total_Deductions_From_Rate_Base">#REF!</definedName>
    <definedName name="Total_Distribution_Operation_Expense">#REF!</definedName>
    <definedName name="Total_Distribution_Plant">#REF!</definedName>
    <definedName name="Total_Distribution_Plant_Depr">#REF!</definedName>
    <definedName name="Total_Op_Exp_Before_Income_Taxes">#REF!</definedName>
    <definedName name="Total_Operations_And_Maintenance">#REF!</definedName>
    <definedName name="Total_Plant_Held_For_Future_Use">#REF!</definedName>
    <definedName name="Total_Plant_In_Service">#REF!</definedName>
    <definedName name="Total_Prod_Trans_Dist_Exp">#REF!</definedName>
    <definedName name="Total_Property_Tax">#REF!</definedName>
    <definedName name="Total_Rate_Base">#REF!</definedName>
    <definedName name="Total_Taxes_Other_Than_Inc_Taxes">#REF!</definedName>
    <definedName name="Total_Transmission_Expense">#REF!</definedName>
    <definedName name="Total_Transmission_Plant">#REF!</definedName>
    <definedName name="Total_Transmission_Plant_Depr">#REF!</definedName>
    <definedName name="Total_Transmission_Plant_RB">#REF!</definedName>
    <definedName name="TOTREV" localSheetId="13">#REF!</definedName>
    <definedName name="TOTREV" localSheetId="16">#REF!</definedName>
    <definedName name="TOTREV" localSheetId="14">#REF!</definedName>
    <definedName name="TOTREV" localSheetId="15">#REF!</definedName>
    <definedName name="TOTREV" localSheetId="6">#REF!</definedName>
    <definedName name="TOTREV" localSheetId="8">#REF!</definedName>
    <definedName name="TOTREV" localSheetId="3">#REF!</definedName>
    <definedName name="TOTREV" localSheetId="4">#REF!</definedName>
    <definedName name="TOTREV">#REF!</definedName>
    <definedName name="TrackerCust">#REF!</definedName>
    <definedName name="TrackerPrice">#REF!</definedName>
    <definedName name="TRANS" localSheetId="13">#REF!</definedName>
    <definedName name="TRANS" localSheetId="16">#REF!</definedName>
    <definedName name="TRANS" localSheetId="14">#REF!</definedName>
    <definedName name="TRANS" localSheetId="15">#REF!</definedName>
    <definedName name="TRANS" localSheetId="6">#REF!</definedName>
    <definedName name="TRANS" localSheetId="8">#REF!</definedName>
    <definedName name="TRANS" localSheetId="3">#REF!</definedName>
    <definedName name="TRANS" localSheetId="4">#REF!</definedName>
    <definedName name="TRANS">#REF!</definedName>
    <definedName name="TRAREV" localSheetId="13">#REF!</definedName>
    <definedName name="TRAREV" localSheetId="16">#REF!</definedName>
    <definedName name="TRAREV" localSheetId="14">#REF!</definedName>
    <definedName name="TRAREV" localSheetId="15">#REF!</definedName>
    <definedName name="TRAREV" localSheetId="6">#REF!</definedName>
    <definedName name="TRAREV" localSheetId="8">#REF!</definedName>
    <definedName name="TRAREV" localSheetId="3">#REF!</definedName>
    <definedName name="TRAREV" localSheetId="4">#REF!</definedName>
    <definedName name="TRAREV">#REF!</definedName>
    <definedName name="tre">#REF!</definedName>
    <definedName name="trg">#REF!</definedName>
    <definedName name="ttt">#REF!</definedName>
    <definedName name="TWO">#REF!</definedName>
    <definedName name="UACHRPFAC">#REF!</definedName>
    <definedName name="UACHRPLF">#REF!</definedName>
    <definedName name="UACHRPMW">#REF!</definedName>
    <definedName name="UACHRPMWH">#REF!</definedName>
    <definedName name="UAMAINFAC">#REF!</definedName>
    <definedName name="UAMAINLF">#REF!</definedName>
    <definedName name="UAMAINMW">#REF!</definedName>
    <definedName name="UAMAINMWH">#REF!</definedName>
    <definedName name="UAMEDFAC">#REF!</definedName>
    <definedName name="UAMEDLF">#REF!</definedName>
    <definedName name="UAMEDMW">#REF!</definedName>
    <definedName name="UAMEDMWH">#REF!</definedName>
    <definedName name="UGDIST">#REF!</definedName>
    <definedName name="unbund">#REF!</definedName>
    <definedName name="Unbund_wo_prod">#REF!</definedName>
    <definedName name="Unbundle_proof">#REF!</definedName>
    <definedName name="Unbundle_Rate_Base">#REF!</definedName>
    <definedName name="Unbundle_Rev_Req">#REF!</definedName>
    <definedName name="Unbundled_Des">#REF!</definedName>
    <definedName name="Unbundling_Unit_Cost">#REF!</definedName>
    <definedName name="Unbundling_Unit_Title">#REF!</definedName>
    <definedName name="UNIT1">#REF!</definedName>
    <definedName name="UNIT2">#REF!</definedName>
    <definedName name="UNIT3">#REF!</definedName>
    <definedName name="UNITC49">#REF!</definedName>
    <definedName name="unitcost">#REF!</definedName>
    <definedName name="UnitCost21">#REF!</definedName>
    <definedName name="UnitCost22">#REF!</definedName>
    <definedName name="UP">#REF!</definedName>
    <definedName name="utility">#REF!</definedName>
    <definedName name="utilstt">#REF!</definedName>
    <definedName name="uuu">#REF!</definedName>
    <definedName name="vfr">#REF!</definedName>
    <definedName name="WCGC" localSheetId="13">#REF!</definedName>
    <definedName name="WCGC" localSheetId="16">#REF!</definedName>
    <definedName name="WCGC" localSheetId="14">#REF!</definedName>
    <definedName name="WCGC" localSheetId="15">#REF!</definedName>
    <definedName name="WCGC" localSheetId="6">#REF!</definedName>
    <definedName name="WCGC" localSheetId="8">#REF!</definedName>
    <definedName name="WCGC" localSheetId="3">#REF!</definedName>
    <definedName name="WCGC" localSheetId="4">#REF!</definedName>
    <definedName name="WCGC">#REF!</definedName>
    <definedName name="WCOM" localSheetId="13">#REF!</definedName>
    <definedName name="WCOM" localSheetId="16">#REF!</definedName>
    <definedName name="WCOM" localSheetId="14">#REF!</definedName>
    <definedName name="WCOM" localSheetId="15">#REF!</definedName>
    <definedName name="WCOM" localSheetId="6">#REF!</definedName>
    <definedName name="WCOM" localSheetId="8">#REF!</definedName>
    <definedName name="WCOM" localSheetId="3">#REF!</definedName>
    <definedName name="WCOM" localSheetId="4">#REF!</definedName>
    <definedName name="WCOM">#REF!</definedName>
    <definedName name="WCOTH" localSheetId="13">#REF!</definedName>
    <definedName name="WCOTH" localSheetId="16">#REF!</definedName>
    <definedName name="WCOTH" localSheetId="14">#REF!</definedName>
    <definedName name="WCOTH" localSheetId="15">#REF!</definedName>
    <definedName name="WCOTH" localSheetId="6">#REF!</definedName>
    <definedName name="WCOTH" localSheetId="8">#REF!</definedName>
    <definedName name="WCOTH" localSheetId="3">#REF!</definedName>
    <definedName name="WCOTH" localSheetId="4">#REF!</definedName>
    <definedName name="WCOTH">#REF!</definedName>
    <definedName name="wer">#REF!</definedName>
    <definedName name="WETH">#REF!</definedName>
    <definedName name="wrn.BA_32." localSheetId="0" hidden="1">{"LLF Bill comparisons",#N/A,FALSE,"Typical";"HLF Bill comparisons",#N/A,FALSE,"Typical";"LLF 4 Year bill comparison",#N/A,FALSE,"Typical";"HLF 4 Year bill comparisons",#N/A,FALSE,"Typical"}</definedName>
    <definedName name="wrn.BA_32." localSheetId="1" hidden="1">{"LLF Bill comparisons",#N/A,FALSE,"Typical";"HLF Bill comparisons",#N/A,FALSE,"Typical";"LLF 4 Year bill comparison",#N/A,FALSE,"Typical";"HLF 4 Year bill comparisons",#N/A,FALSE,"Typical"}</definedName>
    <definedName name="wrn.BA_32." hidden="1">{"LLF Bill comparisons",#N/A,FALSE,"Typical";"HLF Bill comparisons",#N/A,FALSE,"Typical";"LLF 4 Year bill comparison",#N/A,FALSE,"Typical";"HLF 4 Year bill comparisons",#N/A,FALSE,"Typical"}</definedName>
    <definedName name="wrn.Exhibit._.JLH._.11." localSheetId="0" hidden="1">{"NAGD",#N/A,TRUE,"NAGD";"NAGD RD1",#N/A,TRUE,"NAGD RD";"NAGD RD2",#N/A,TRUE,"NAGD RD";"SCGD",#N/A,TRUE,"SCGD";"SCGD RD1",#N/A,TRUE,"SCGD RD";"SCGD RD2",#N/A,TRUE,"SCGD RD"}</definedName>
    <definedName name="wrn.Exhibit._.JLH._.11." localSheetId="1" hidden="1">{"NAGD",#N/A,TRUE,"NAGD";"NAGD RD1",#N/A,TRUE,"NAGD RD";"NAGD RD2",#N/A,TRUE,"NAGD RD";"SCGD",#N/A,TRUE,"SCGD";"SCGD RD1",#N/A,TRUE,"SCGD RD";"SCGD RD2",#N/A,TRUE,"SCGD RD"}</definedName>
    <definedName name="wrn.Exhibit._.JLH._.11." hidden="1">{"NAGD",#N/A,TRUE,"NAGD";"NAGD RD1",#N/A,TRUE,"NAGD RD";"NAGD RD2",#N/A,TRUE,"NAGD RD";"SCGD",#N/A,TRUE,"SCGD";"SCGD RD1",#N/A,TRUE,"SCGD RD";"SCGD RD2",#N/A,TRUE,"SCGD RD"}</definedName>
    <definedName name="wrn.Exhibit._.JLH._.6." localSheetId="0" hidden="1">{"Combined",#N/A,TRUE,"Combined";"Combined RD1",#N/A,TRUE,"Combined RD";"Combined RD2",#N/A,TRUE,"Combined RD";"CARES Disc",#N/A,TRUE,"CARES Disc";"EGC",#N/A,TRUE,"Embedded Gas Costs";"Tariff Sheet 2",#N/A,TRUE,"Tariff Sheet 2"}</definedName>
    <definedName name="wrn.Exhibit._.JLH._.6." localSheetId="1" hidden="1">{"Combined",#N/A,TRUE,"Combined";"Combined RD1",#N/A,TRUE,"Combined RD";"Combined RD2",#N/A,TRUE,"Combined RD";"CARES Disc",#N/A,TRUE,"CARES Disc";"EGC",#N/A,TRUE,"Embedded Gas Costs";"Tariff Sheet 2",#N/A,TRUE,"Tariff Sheet 2"}</definedName>
    <definedName name="wrn.Exhibit._.JLH._.6." hidden="1">{"Combined",#N/A,TRUE,"Combined";"Combined RD1",#N/A,TRUE,"Combined RD";"Combined RD2",#N/A,TRUE,"Combined RD";"CARES Disc",#N/A,TRUE,"CARES Disc";"EGC",#N/A,TRUE,"Embedded Gas Costs";"Tariff Sheet 2",#N/A,TRUE,"Tariff Sheet 2"}</definedName>
    <definedName name="wrn.Schedule._.3." localSheetId="0" hidden="1">{"Revenue Reconciliation",#N/A,FALSE,"Reconcile";"New Revenue Proof",#N/A,FALSE,"Proof"}</definedName>
    <definedName name="wrn.Schedule._.3." localSheetId="1" hidden="1">{"Revenue Reconciliation",#N/A,FALSE,"Reconcile";"New Revenue Proof",#N/A,FALSE,"Proof"}</definedName>
    <definedName name="wrn.Schedule._.3." hidden="1">{"Revenue Reconciliation",#N/A,FALSE,"Reconcile";"New Revenue Proof",#N/A,FALSE,"Proof"}</definedName>
    <definedName name="wrn.Schedule._.4." localSheetId="0" hidden="1">{"Revenue Proof",#N/A,FALSE,"Proof";"Typical Bills",#N/A,FALSE,"Proof";"Rate Comparisons",#N/A,FALSE,"Compare";"Large Customers",#N/A,FALSE,"Lg Customers";"4 Year Typical Bill",#N/A,FALSE,"Typical"}</definedName>
    <definedName name="wrn.Schedule._.4." localSheetId="1" hidden="1">{"Revenue Proof",#N/A,FALSE,"Proof";"Typical Bills",#N/A,FALSE,"Proof";"Rate Comparisons",#N/A,FALSE,"Compare";"Large Customers",#N/A,FALSE,"Lg Customers";"4 Year Typical Bill",#N/A,FALSE,"Typical"}</definedName>
    <definedName name="wrn.Schedule._.4." hidden="1">{"Revenue Proof",#N/A,FALSE,"Proof";"Typical Bills",#N/A,FALSE,"Proof";"Rate Comparisons",#N/A,FALSE,"Compare";"Large Customers",#N/A,FALSE,"Lg Customers";"4 Year Typical Bill",#N/A,FALSE,"Typical"}</definedName>
    <definedName name="wrn.Schedule._.5." localSheetId="0" hidden="1">{"Pg1",#N/A,FALSE,"Rate Design";"Equalized ROR Costs",#N/A,FALSE,"Rate Design";"Table of Std Offer Rates",#N/A,FALSE,"Rate Design";"Unbundled Rate Design",#N/A,FALSE,"Rate Design";"Unbundled Revenue Proof",#N/A,FALSE,"Rate Design";"Allocate Present Revenues",#N/A,FALSE,"Rate Design";"Revenue to Cost",#N/A,FALSE,"Rate Design";"Revenue to Cost 2",#N/A,FALSE,"Rate Design";"Present Unbundled Rates",#N/A,FALSE,"Rate Design";"Present T&amp;D Calcs",#N/A,FALSE,"Rate Design";"Unbundled w/o Production (Present)",#N/A,FALSE,"Rate Design";"Present Table (unbundled)",#N/A,FALSE,"Rate Design";"Old revenue Proof",#N/A,FALSE,"Rev6";"Allowed Book revenue",#N/A,FALSE,"Rev6";"Ad West Revenues",#N/A,FALSE,"AdWest";"PPFA",#N/A,FALSE,"Fuel";"95 Book to Bill",#N/A,FALSE,"Rev6";"FERC Transmission revenue",#N/A,FALSE,"Transmission";"CARES Actuals",#N/A,FALSE,"CARES"}</definedName>
    <definedName name="wrn.Schedule._.5." localSheetId="1" hidden="1">{"Pg1",#N/A,FALSE,"Rate Design";"Equalized ROR Costs",#N/A,FALSE,"Rate Design";"Table of Std Offer Rates",#N/A,FALSE,"Rate Design";"Unbundled Rate Design",#N/A,FALSE,"Rate Design";"Unbundled Revenue Proof",#N/A,FALSE,"Rate Design";"Allocate Present Revenues",#N/A,FALSE,"Rate Design";"Revenue to Cost",#N/A,FALSE,"Rate Design";"Revenue to Cost 2",#N/A,FALSE,"Rate Design";"Present Unbundled Rates",#N/A,FALSE,"Rate Design";"Present T&amp;D Calcs",#N/A,FALSE,"Rate Design";"Unbundled w/o Production (Present)",#N/A,FALSE,"Rate Design";"Present Table (unbundled)",#N/A,FALSE,"Rate Design";"Old revenue Proof",#N/A,FALSE,"Rev6";"Allowed Book revenue",#N/A,FALSE,"Rev6";"Ad West Revenues",#N/A,FALSE,"AdWest";"PPFA",#N/A,FALSE,"Fuel";"95 Book to Bill",#N/A,FALSE,"Rev6";"FERC Transmission revenue",#N/A,FALSE,"Transmission";"CARES Actuals",#N/A,FALSE,"CARES"}</definedName>
    <definedName name="wrn.Schedule._.5." hidden="1">{"Pg1",#N/A,FALSE,"Rate Design";"Equalized ROR Costs",#N/A,FALSE,"Rate Design";"Table of Std Offer Rates",#N/A,FALSE,"Rate Design";"Unbundled Rate Design",#N/A,FALSE,"Rate Design";"Unbundled Revenue Proof",#N/A,FALSE,"Rate Design";"Allocate Present Revenues",#N/A,FALSE,"Rate Design";"Revenue to Cost",#N/A,FALSE,"Rate Design";"Revenue to Cost 2",#N/A,FALSE,"Rate Design";"Present Unbundled Rates",#N/A,FALSE,"Rate Design";"Present T&amp;D Calcs",#N/A,FALSE,"Rate Design";"Unbundled w/o Production (Present)",#N/A,FALSE,"Rate Design";"Present Table (unbundled)",#N/A,FALSE,"Rate Design";"Old revenue Proof",#N/A,FALSE,"Rev6";"Allowed Book revenue",#N/A,FALSE,"Rev6";"Ad West Revenues",#N/A,FALSE,"AdWest";"PPFA",#N/A,FALSE,"Fuel";"95 Book to Bill",#N/A,FALSE,"Rev6";"FERC Transmission revenue",#N/A,FALSE,"Transmission";"CARES Actuals",#N/A,FALSE,"CARES"}</definedName>
    <definedName name="wvu.HIST_COST." localSheetId="0" hidden="1">{TRUE,TRUE,-1.25,-15.5,604.5,391.5,FALSE,FALSE,TRUE,TRUE,0,1,63,5,91,1.36018957345972,2.78571428571429,4,TRUE,TRUE,3,TRUE,1,FALSE,100,"Swvu.HIST_COST.","ACwvu.HIST_COST.",1,FALSE,FALSE,0,0,0.25,0.17,1,"&amp;R&amp;F&amp;D &amp;P","&amp;RPage &amp;P of &amp;N",FALSE,FALSE,TRUE,TRUE,1,100,#N/A,#N/A,"=R1C1:R764C3",FALSE,#N/A,#N/A,FALSE,FALSE}</definedName>
    <definedName name="wvu.HIST_COST." localSheetId="1" hidden="1">{TRUE,TRUE,-1.25,-15.5,604.5,391.5,FALSE,FALSE,TRUE,TRUE,0,1,63,5,91,1.36018957345972,2.78571428571429,4,TRUE,TRUE,3,TRUE,1,FALSE,100,"Swvu.HIST_COST.","ACwvu.HIST_COST.",1,FALSE,FALSE,0,0,0.25,0.17,1,"&amp;R&amp;F&amp;D &amp;P","&amp;RPage &amp;P of &amp;N",FALSE,FALSE,TRUE,TRUE,1,100,#N/A,#N/A,"=R1C1:R764C3",FALSE,#N/A,#N/A,FALSE,FALSE}</definedName>
    <definedName name="wvu.HIST_COST." hidden="1">{TRUE,TRUE,-1.25,-15.5,604.5,391.5,FALSE,FALSE,TRUE,TRUE,0,1,63,5,91,1.36018957345972,2.78571428571429,4,TRUE,TRUE,3,TRUE,1,FALSE,100,"Swvu.HIST_COST.","ACwvu.HIST_COST.",1,FALSE,FALSE,0,0,0.25,0.17,1,"&amp;R&amp;F&amp;D &amp;P","&amp;RPage &amp;P of &amp;N",FALSE,FALSE,TRUE,TRUE,1,100,#N/A,#N/A,"=R1C1:R764C3",FALSE,#N/A,#N/A,FALSE,FALSE}</definedName>
    <definedName name="wvu.Jurs_Input." localSheetId="0" hidden="1">{TRUE,FALSE,-1.25,-15.5,604.5,391.5,FALSE,FALSE,TRUE,TRUE,0,1,3,5,8,1.3574297188755,2.78571428571429,3,TRUE,TRUE,3,TRUE,1,FALSE,100,"Swvu.Jurs_Input.","ACwvu.Jurs_Input.",1,FALSE,FALSE,0,0,0.25,0.17,1,"&amp;R&amp;F&amp;D &amp;P","&amp;RPage &amp;P of &amp;N",FALSE,FALSE,TRUE,TRUE,1,100,#N/A,#N/A,"=R1C1:R764C64",FALSE,FALSE,FALSE,FALSE,FALSE}</definedName>
    <definedName name="wvu.Jurs_Input." localSheetId="1" hidden="1">{TRUE,FALSE,-1.25,-15.5,604.5,391.5,FALSE,FALSE,TRUE,TRUE,0,1,3,5,8,1.3574297188755,2.78571428571429,3,TRUE,TRUE,3,TRUE,1,FALSE,100,"Swvu.Jurs_Input.","ACwvu.Jurs_Input.",1,FALSE,FALSE,0,0,0.25,0.17,1,"&amp;R&amp;F&amp;D &amp;P","&amp;RPage &amp;P of &amp;N",FALSE,FALSE,TRUE,TRUE,1,100,#N/A,#N/A,"=R1C1:R764C64",FALSE,FALSE,FALSE,FALSE,FALSE}</definedName>
    <definedName name="wvu.Jurs_Input." hidden="1">{TRUE,FALSE,-1.25,-15.5,604.5,391.5,FALSE,FALSE,TRUE,TRUE,0,1,3,5,8,1.3574297188755,2.78571428571429,3,TRUE,TRUE,3,TRUE,1,FALSE,100,"Swvu.Jurs_Input.","ACwvu.Jurs_Input.",1,FALSE,FALSE,0,0,0.25,0.17,1,"&amp;R&amp;F&amp;D &amp;P","&amp;RPage &amp;P of &amp;N",FALSE,FALSE,TRUE,TRUE,1,100,#N/A,#N/A,"=R1C1:R764C64",FALSE,FALSE,FALSE,FALSE,FALSE}</definedName>
    <definedName name="wvu.PRT_OM." localSheetId="0" hidden="1">{TRUE,TRUE,1.75,1.75,309,369.75,FALSE,FALSE,TRUE,TRUE,0,1,55,5,563,1.36018957345972,2.78571428571429,4,TRUE,TRUE,1,TRUE,1,FALSE,100,"Swvu.PRT_OM.","ACwvu.PRT_OM.",1,FALSE,FALSE,0,0,0.62,0.17,2,"&amp;R&amp;F&amp;D &amp;P","",TRUE,FALSE,TRUE,TRUE,1,70,#N/A,#N/A,"=R303C1:R765C63","=C1:C2,R1:R7","Rwvu.PRT_OM.","Cwvu.PRT_OM.",FALSE,FALSE}</definedName>
    <definedName name="wvu.PRT_OM." localSheetId="1" hidden="1">{TRUE,TRUE,1.75,1.75,309,369.75,FALSE,FALSE,TRUE,TRUE,0,1,55,5,563,1.36018957345972,2.78571428571429,4,TRUE,TRUE,1,TRUE,1,FALSE,100,"Swvu.PRT_OM.","ACwvu.PRT_OM.",1,FALSE,FALSE,0,0,0.62,0.17,2,"&amp;R&amp;F&amp;D &amp;P","",TRUE,FALSE,TRUE,TRUE,1,70,#N/A,#N/A,"=R303C1:R765C63","=C1:C2,R1:R7","Rwvu.PRT_OM.","Cwvu.PRT_OM.",FALSE,FALSE}</definedName>
    <definedName name="wvu.PRT_OM." hidden="1">{TRUE,TRUE,1.75,1.75,309,369.75,FALSE,FALSE,TRUE,TRUE,0,1,55,5,563,1.36018957345972,2.78571428571429,4,TRUE,TRUE,1,TRUE,1,FALSE,100,"Swvu.PRT_OM.","ACwvu.PRT_OM.",1,FALSE,FALSE,0,0,0.62,0.17,2,"&amp;R&amp;F&amp;D &amp;P","",TRUE,FALSE,TRUE,TRUE,1,70,#N/A,#N/A,"=R303C1:R765C63","=C1:C2,R1:R7","Rwvu.PRT_OM.","Cwvu.PRT_OM.",FALSE,FALSE}</definedName>
    <definedName name="wvu.PRT_RATEBASE." localSheetId="0" hidden="1">{TRUE,TRUE,-1.25,-15.5,604.5,391.5,FALSE,FALSE,TRUE,TRUE,0,1,20,5,248,1.4218009478673,3,3,TRUE,TRUE,3,TRUE,1,FALSE,100,"Swvu.PRT_RATEBASE.","ACwvu.PRT_RATEBASE.",1,FALSE,FALSE,0,0,0.64,0.18,2,"&amp;R&amp;F&amp;D &amp;P","",TRUE,FALSE,TRUE,TRUE,1,100,#N/A,#N/A,"=R8C3:R300C62","=C1:C2,R1:R7","Rwvu.PRT_RATEBASE.",#N/A,FALSE,FALSE}</definedName>
    <definedName name="wvu.PRT_RATEBASE." localSheetId="1" hidden="1">{TRUE,TRUE,-1.25,-15.5,604.5,391.5,FALSE,FALSE,TRUE,TRUE,0,1,20,5,248,1.4218009478673,3,3,TRUE,TRUE,3,TRUE,1,FALSE,100,"Swvu.PRT_RATEBASE.","ACwvu.PRT_RATEBASE.",1,FALSE,FALSE,0,0,0.64,0.18,2,"&amp;R&amp;F&amp;D &amp;P","",TRUE,FALSE,TRUE,TRUE,1,100,#N/A,#N/A,"=R8C3:R300C62","=C1:C2,R1:R7","Rwvu.PRT_RATEBASE.",#N/A,FALSE,FALSE}</definedName>
    <definedName name="wvu.PRT_RATEBASE." hidden="1">{TRUE,TRUE,-1.25,-15.5,604.5,391.5,FALSE,FALSE,TRUE,TRUE,0,1,20,5,248,1.4218009478673,3,3,TRUE,TRUE,3,TRUE,1,FALSE,100,"Swvu.PRT_RATEBASE.","ACwvu.PRT_RATEBASE.",1,FALSE,FALSE,0,0,0.64,0.18,2,"&amp;R&amp;F&amp;D &amp;P","",TRUE,FALSE,TRUE,TRUE,1,100,#N/A,#N/A,"=R8C3:R300C62","=C1:C2,R1:R7","Rwvu.PRT_RATEBASE.",#N/A,FALSE,FALSE}</definedName>
    <definedName name="Xchange">#REF!</definedName>
    <definedName name="xsw">#REF!</definedName>
    <definedName name="YESMEANING1">#REF!</definedName>
    <definedName name="YESMEANING3">#REF!</definedName>
    <definedName name="YTD">#REF!</definedName>
    <definedName name="ytr">#REF!</definedName>
    <definedName name="yyy">#REF!</definedName>
    <definedName name="z">#REF!,#REF!,#REF!,#REF!,#REF!,#REF!,#REF!,#REF!,#REF!,#REF!,#REF!,#REF!,#REF!,#REF!,#REF!</definedName>
    <definedName name="zaq">#REF!</definedName>
    <definedName name="zxc">#REF!</definedName>
    <definedName name="Z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2" i="27" l="1"/>
  <c r="V11" i="27"/>
  <c r="V10" i="27"/>
  <c r="Y10" i="27" l="1"/>
  <c r="Y9" i="27"/>
  <c r="F11" i="30" l="1"/>
  <c r="G16" i="30"/>
  <c r="F9" i="30" s="1"/>
  <c r="S20" i="30"/>
  <c r="R20" i="30"/>
  <c r="C31" i="14" l="1"/>
  <c r="Q17" i="30"/>
  <c r="C40" i="61" a="1"/>
  <c r="C40" i="61" s="1"/>
  <c r="C39" i="61" a="1"/>
  <c r="C39" i="61" s="1"/>
  <c r="C43" i="61" a="1"/>
  <c r="C43" i="61" s="1"/>
  <c r="C134" i="61" a="1"/>
  <c r="C134" i="61" s="1"/>
  <c r="C113" i="61" a="1"/>
  <c r="C113" i="61" s="1"/>
  <c r="C119" i="61" a="1"/>
  <c r="C119" i="61" s="1"/>
  <c r="C114" i="61" a="1"/>
  <c r="C114" i="61" s="1"/>
  <c r="C87" i="61" a="1"/>
  <c r="C87" i="61" s="1"/>
  <c r="C69" i="61" a="1"/>
  <c r="C69" i="61" s="1"/>
  <c r="C128" i="61" a="1"/>
  <c r="C128" i="61" s="1"/>
  <c r="C56" i="61" a="1"/>
  <c r="C56" i="61" s="1"/>
  <c r="C127" i="61" a="1"/>
  <c r="C127" i="61" s="1"/>
  <c r="C70" i="61" a="1"/>
  <c r="C70" i="61" s="1"/>
  <c r="C71" i="61" a="1"/>
  <c r="C71" i="61" s="1"/>
  <c r="C55" i="61" a="1"/>
  <c r="C55" i="61" s="1"/>
  <c r="C120" i="61" a="1"/>
  <c r="C120" i="61" s="1"/>
  <c r="C42" i="61" a="1"/>
  <c r="C42" i="61" s="1"/>
  <c r="C132" i="61" a="1"/>
  <c r="C132" i="61" s="1"/>
  <c r="C115" i="61" a="1"/>
  <c r="C115" i="61" s="1"/>
  <c r="C133" i="61" a="1"/>
  <c r="C133" i="61" s="1"/>
  <c r="C126" i="61" a="1"/>
  <c r="C126" i="61" s="1"/>
  <c r="C41" i="61" a="1"/>
  <c r="C41" i="61" s="1"/>
  <c r="C21" i="61" a="1"/>
  <c r="C21" i="61" s="1"/>
  <c r="C37" i="61" a="1"/>
  <c r="C37" i="61" s="1"/>
  <c r="C36" i="61" a="1"/>
  <c r="C36" i="61" s="1"/>
  <c r="C28" i="61" a="1"/>
  <c r="C28" i="61" s="1"/>
  <c r="C29" i="61" a="1"/>
  <c r="C29" i="61" s="1"/>
  <c r="C25" i="61" a="1"/>
  <c r="C25" i="61" s="1"/>
  <c r="C15" i="61" a="1"/>
  <c r="C15" i="61" s="1"/>
  <c r="C23" i="61" a="1"/>
  <c r="C23" i="61" s="1"/>
  <c r="C38" i="61" a="1"/>
  <c r="C38" i="61" s="1"/>
  <c r="C34" i="61" a="1"/>
  <c r="C34" i="61" s="1"/>
  <c r="C27" i="61" a="1"/>
  <c r="C27" i="61" s="1"/>
  <c r="C24" i="61" a="1"/>
  <c r="C24" i="61" s="1"/>
  <c r="C26" i="61" a="1"/>
  <c r="C26" i="61" s="1"/>
  <c r="C20" i="61" a="1"/>
  <c r="C20" i="61" s="1"/>
  <c r="C14" i="61" a="1"/>
  <c r="C14" i="61" s="1"/>
  <c r="C19" i="61" a="1"/>
  <c r="C19" i="61" s="1"/>
  <c r="C12" i="61" a="1"/>
  <c r="C12" i="61" s="1"/>
  <c r="C11" i="61" a="1"/>
  <c r="C11" i="61" s="1"/>
  <c r="C6" i="61" a="1"/>
  <c r="C6" i="61" s="1"/>
  <c r="C13" i="61" a="1"/>
  <c r="C13" i="61" s="1"/>
  <c r="C35" i="61" a="1"/>
  <c r="C35" i="61" s="1"/>
  <c r="C22" i="61" a="1"/>
  <c r="C22" i="61" s="1"/>
  <c r="C30" i="61" a="1"/>
  <c r="C30" i="61" s="1"/>
  <c r="C7" i="61" a="1"/>
  <c r="C7" i="61" s="1"/>
  <c r="J134" i="61"/>
  <c r="J133" i="61"/>
  <c r="J132" i="61"/>
  <c r="J128" i="61"/>
  <c r="J127" i="61"/>
  <c r="J126" i="61"/>
  <c r="J120" i="61"/>
  <c r="J119" i="61"/>
  <c r="J115" i="61"/>
  <c r="J114" i="61"/>
  <c r="J113" i="61"/>
  <c r="G104" i="61"/>
  <c r="H104" i="61" s="1"/>
  <c r="G103" i="61"/>
  <c r="H103" i="61" s="1"/>
  <c r="H99" i="61"/>
  <c r="G99" i="61"/>
  <c r="G98" i="61"/>
  <c r="H98" i="61" s="1"/>
  <c r="J104" i="61"/>
  <c r="J103" i="61"/>
  <c r="J102" i="61"/>
  <c r="J101" i="61"/>
  <c r="J100" i="61"/>
  <c r="J99" i="61"/>
  <c r="J98" i="61"/>
  <c r="J97" i="61"/>
  <c r="J96" i="61"/>
  <c r="G91" i="61"/>
  <c r="H91" i="61" s="1"/>
  <c r="G90" i="61"/>
  <c r="H90" i="61" s="1"/>
  <c r="C94" i="61"/>
  <c r="C93" i="61"/>
  <c r="C92" i="61"/>
  <c r="C91" i="61"/>
  <c r="C90" i="61"/>
  <c r="C89" i="61"/>
  <c r="C88" i="61"/>
  <c r="C86" i="61"/>
  <c r="C85" i="61"/>
  <c r="G86" i="61"/>
  <c r="H86" i="61" s="1"/>
  <c r="H85" i="61"/>
  <c r="G85" i="61"/>
  <c r="G84" i="61"/>
  <c r="H84" i="61" s="1"/>
  <c r="C80" i="61"/>
  <c r="C79" i="61"/>
  <c r="C78" i="61"/>
  <c r="C77" i="61"/>
  <c r="C76" i="61"/>
  <c r="C75" i="61"/>
  <c r="C74" i="61"/>
  <c r="C73" i="61"/>
  <c r="C72" i="61"/>
  <c r="G73" i="61"/>
  <c r="G72" i="61"/>
  <c r="G71" i="61"/>
  <c r="G70" i="61"/>
  <c r="J80" i="61"/>
  <c r="J79" i="61"/>
  <c r="J78" i="61"/>
  <c r="J77" i="61"/>
  <c r="J76" i="61"/>
  <c r="J75" i="61"/>
  <c r="J74" i="61"/>
  <c r="J73" i="61"/>
  <c r="J72" i="61"/>
  <c r="J71" i="61"/>
  <c r="J70" i="61"/>
  <c r="J69" i="61"/>
  <c r="J65" i="61"/>
  <c r="G65" i="61"/>
  <c r="H65" i="61" s="1"/>
  <c r="J64" i="61"/>
  <c r="G64" i="61"/>
  <c r="H64" i="61" s="1"/>
  <c r="J63" i="61"/>
  <c r="G63" i="61"/>
  <c r="H63" i="61" s="1"/>
  <c r="J62" i="61"/>
  <c r="G62" i="61"/>
  <c r="H62" i="61" s="1"/>
  <c r="J61" i="61"/>
  <c r="G61" i="61"/>
  <c r="H61" i="61" s="1"/>
  <c r="C65" i="61"/>
  <c r="C64" i="61"/>
  <c r="C63" i="61"/>
  <c r="C62" i="61"/>
  <c r="C61" i="61"/>
  <c r="G57" i="61"/>
  <c r="H57" i="61" s="1"/>
  <c r="J56" i="61"/>
  <c r="G56" i="61"/>
  <c r="H56" i="61" s="1"/>
  <c r="J55" i="61"/>
  <c r="G55" i="61"/>
  <c r="H55" i="61" s="1"/>
  <c r="G54" i="61"/>
  <c r="H54" i="61" s="1"/>
  <c r="G53" i="61"/>
  <c r="H53" i="61" s="1"/>
  <c r="G52" i="61"/>
  <c r="H52" i="61" s="1"/>
  <c r="G51" i="61"/>
  <c r="H51" i="61" s="1"/>
  <c r="G46" i="61"/>
  <c r="H46" i="61" s="1"/>
  <c r="G45" i="61"/>
  <c r="H45" i="61" s="1"/>
  <c r="G44" i="61"/>
  <c r="H44" i="61" s="1"/>
  <c r="J43" i="61"/>
  <c r="G43" i="61"/>
  <c r="H43" i="61" s="1"/>
  <c r="J42" i="61"/>
  <c r="G42" i="61"/>
  <c r="H42" i="61" s="1"/>
  <c r="J41" i="61"/>
  <c r="J40" i="61"/>
  <c r="J39" i="61"/>
  <c r="J38" i="61"/>
  <c r="J37" i="61"/>
  <c r="G37" i="61"/>
  <c r="H37" i="61" s="1"/>
  <c r="J36" i="61"/>
  <c r="G36" i="61"/>
  <c r="H36" i="61" s="1"/>
  <c r="J35" i="61"/>
  <c r="J34" i="61"/>
  <c r="G32" i="61"/>
  <c r="H32" i="61" s="1"/>
  <c r="G31" i="61"/>
  <c r="H31" i="61" s="1"/>
  <c r="J30" i="61"/>
  <c r="G30" i="61"/>
  <c r="H30" i="61" s="1"/>
  <c r="J29" i="61"/>
  <c r="G29" i="61"/>
  <c r="H29" i="61" s="1"/>
  <c r="J28" i="61"/>
  <c r="G28" i="61"/>
  <c r="H28" i="61" s="1"/>
  <c r="J27" i="61"/>
  <c r="G27" i="61"/>
  <c r="H27" i="61" s="1"/>
  <c r="J26" i="61"/>
  <c r="J25" i="61"/>
  <c r="J24" i="61"/>
  <c r="J23" i="61"/>
  <c r="G23" i="61"/>
  <c r="H23" i="61" s="1"/>
  <c r="J22" i="61"/>
  <c r="G22" i="61"/>
  <c r="H22" i="61" s="1"/>
  <c r="J21" i="61"/>
  <c r="G21" i="61"/>
  <c r="H21" i="61" s="1"/>
  <c r="J20" i="61"/>
  <c r="G20" i="61"/>
  <c r="H20" i="61" s="1"/>
  <c r="J19" i="61"/>
  <c r="G19" i="61"/>
  <c r="H19" i="61" s="1"/>
  <c r="G18" i="61"/>
  <c r="H18" i="61" s="1"/>
  <c r="G16" i="61"/>
  <c r="H16" i="61" s="1"/>
  <c r="J15" i="61"/>
  <c r="J14" i="61"/>
  <c r="J13" i="61"/>
  <c r="G13" i="61"/>
  <c r="H13" i="61" s="1"/>
  <c r="J12" i="61"/>
  <c r="G12" i="61"/>
  <c r="H12" i="61" s="1"/>
  <c r="J11" i="61"/>
  <c r="G11" i="61"/>
  <c r="H11" i="61" s="1"/>
  <c r="G10" i="61"/>
  <c r="H10" i="61" s="1"/>
  <c r="G9" i="61"/>
  <c r="H9" i="61" s="1"/>
  <c r="J7" i="61"/>
  <c r="G7" i="61"/>
  <c r="H7" i="61" s="1"/>
  <c r="J6" i="61"/>
  <c r="G6" i="61"/>
  <c r="H6" i="61" s="1"/>
  <c r="D133" i="60" a="1"/>
  <c r="D133" i="60" s="1"/>
  <c r="D142" i="60" a="1"/>
  <c r="D142" i="60"/>
  <c r="D141" i="60" a="1"/>
  <c r="D141" i="60" s="1"/>
  <c r="D132" i="60" a="1"/>
  <c r="D132" i="60" s="1"/>
  <c r="D143" i="60" a="1"/>
  <c r="D143" i="60" s="1"/>
  <c r="D126" i="60" a="1"/>
  <c r="D126" i="60" s="1"/>
  <c r="D128" i="60" a="1"/>
  <c r="D128" i="60"/>
  <c r="D125" i="60" a="1"/>
  <c r="D125" i="60" s="1"/>
  <c r="D127" i="60" a="1"/>
  <c r="D127" i="60" s="1"/>
  <c r="D137" i="60" a="1"/>
  <c r="D137" i="60" s="1"/>
  <c r="D72" i="60" a="1"/>
  <c r="D72" i="60" s="1"/>
  <c r="D105" i="60" a="1"/>
  <c r="D105" i="60" s="1"/>
  <c r="D97" i="60" a="1"/>
  <c r="D97" i="60" s="1"/>
  <c r="D89" i="60" a="1"/>
  <c r="D89" i="60" s="1"/>
  <c r="D59" i="60" a="1"/>
  <c r="D59" i="60" s="1"/>
  <c r="D38" i="60" a="1"/>
  <c r="D38" i="60"/>
  <c r="D93" i="60" a="1"/>
  <c r="D93" i="60" s="1"/>
  <c r="D106" i="60" a="1"/>
  <c r="D106" i="60" s="1"/>
  <c r="D44" i="60" a="1"/>
  <c r="D44" i="60" s="1"/>
  <c r="D53" i="60" a="1"/>
  <c r="D53" i="60" s="1"/>
  <c r="D45" i="60" a="1"/>
  <c r="D45" i="60" s="1"/>
  <c r="D52" i="60" a="1"/>
  <c r="D52" i="60"/>
  <c r="D66" i="60" a="1"/>
  <c r="D66" i="60" s="1"/>
  <c r="D42" i="60" a="1"/>
  <c r="D42" i="60" s="1"/>
  <c r="D74" i="60" a="1"/>
  <c r="D74" i="60" s="1"/>
  <c r="D100" i="60" a="1"/>
  <c r="D100" i="60" s="1"/>
  <c r="D41" i="60" a="1"/>
  <c r="D41" i="60" s="1"/>
  <c r="D37" i="60" a="1"/>
  <c r="D37" i="60" s="1"/>
  <c r="D75" i="60" a="1"/>
  <c r="D75" i="60" s="1"/>
  <c r="D46" i="60" a="1"/>
  <c r="D46" i="60" s="1"/>
  <c r="D91" i="60" a="1"/>
  <c r="D91" i="60" s="1"/>
  <c r="D56" i="60" a="1"/>
  <c r="D56" i="60" s="1"/>
  <c r="D73" i="60" a="1"/>
  <c r="D73" i="60" s="1"/>
  <c r="D84" i="60" a="1"/>
  <c r="D84" i="60" s="1"/>
  <c r="D39" i="60" a="1"/>
  <c r="D39" i="60" s="1"/>
  <c r="D121" i="60" a="1"/>
  <c r="D121" i="60" s="1"/>
  <c r="D117" i="60" a="1"/>
  <c r="D117" i="60" s="1"/>
  <c r="D120" i="60" a="1"/>
  <c r="D120" i="60" s="1"/>
  <c r="D119" i="60" a="1"/>
  <c r="D119" i="60" s="1"/>
  <c r="D108" i="60" a="1"/>
  <c r="D108" i="60" s="1"/>
  <c r="D60" i="60" a="1"/>
  <c r="D60" i="60" s="1"/>
  <c r="D118" i="60" a="1"/>
  <c r="D118" i="60" s="1"/>
  <c r="D116" i="60" a="1"/>
  <c r="D116" i="60" s="1"/>
  <c r="D115" i="60" a="1"/>
  <c r="D115" i="60" s="1"/>
  <c r="D113" i="60" a="1"/>
  <c r="D113" i="60" s="1"/>
  <c r="D104" i="60" a="1"/>
  <c r="D104" i="60" s="1"/>
  <c r="D92" i="60" a="1"/>
  <c r="D92" i="60" s="1"/>
  <c r="D58" i="60" a="1"/>
  <c r="D58" i="60" s="1"/>
  <c r="D85" i="60" a="1"/>
  <c r="D85" i="60" s="1"/>
  <c r="D71" i="60" a="1"/>
  <c r="D71" i="60" s="1"/>
  <c r="D65" i="60" a="1"/>
  <c r="D65" i="60" s="1"/>
  <c r="D47" i="60" a="1"/>
  <c r="D47" i="60" s="1"/>
  <c r="D68" i="60" a="1"/>
  <c r="D68" i="60" s="1"/>
  <c r="D99" i="60" a="1"/>
  <c r="D99" i="60" s="1"/>
  <c r="D40" i="60" a="1"/>
  <c r="D40" i="60" s="1"/>
  <c r="D76" i="60" a="1"/>
  <c r="D76" i="60" s="1"/>
  <c r="D70" i="60" a="1"/>
  <c r="D70" i="60" s="1"/>
  <c r="D67" i="60" a="1"/>
  <c r="D67" i="60" s="1"/>
  <c r="D54" i="60" a="1"/>
  <c r="D54" i="60" s="1"/>
  <c r="D114" i="60" a="1"/>
  <c r="D114" i="60" s="1"/>
  <c r="D102" i="60" a="1"/>
  <c r="D102" i="60" s="1"/>
  <c r="D69" i="60" a="1"/>
  <c r="D69" i="60" s="1"/>
  <c r="D107" i="60" a="1"/>
  <c r="D107" i="60" s="1"/>
  <c r="D112" i="60" a="1"/>
  <c r="D112" i="60" s="1"/>
  <c r="D55" i="60" a="1"/>
  <c r="D55" i="60" s="1"/>
  <c r="D90" i="60" a="1"/>
  <c r="D90" i="60" s="1"/>
  <c r="D83" i="60" a="1"/>
  <c r="D83" i="60" s="1"/>
  <c r="D43" i="60" a="1"/>
  <c r="D43" i="60" s="1"/>
  <c r="D103" i="60" a="1"/>
  <c r="D103" i="60" s="1"/>
  <c r="D98" i="60" a="1"/>
  <c r="D98" i="60" s="1"/>
  <c r="D48" i="60" a="1"/>
  <c r="D48" i="60" s="1"/>
  <c r="D101" i="60" a="1"/>
  <c r="D101" i="60" s="1"/>
  <c r="D57" i="60" a="1"/>
  <c r="D57" i="60" s="1"/>
  <c r="D9" i="60" a="1"/>
  <c r="D9" i="60" s="1"/>
  <c r="D36" i="60" a="1"/>
  <c r="D36" i="60" s="1"/>
  <c r="D27" i="60" a="1"/>
  <c r="D27" i="60" s="1"/>
  <c r="D22" i="60" a="1"/>
  <c r="D22" i="60" s="1"/>
  <c r="D15" i="60" a="1"/>
  <c r="D15" i="60" s="1"/>
  <c r="D29" i="60" a="1"/>
  <c r="D29" i="60" s="1"/>
  <c r="D28" i="60" a="1"/>
  <c r="D28" i="60" s="1"/>
  <c r="D35" i="60" a="1"/>
  <c r="D35" i="60" s="1"/>
  <c r="D34" i="60" a="1"/>
  <c r="D34" i="60" s="1"/>
  <c r="D30" i="60" a="1"/>
  <c r="D30" i="60" s="1"/>
  <c r="D23" i="60" a="1"/>
  <c r="D23" i="60" s="1"/>
  <c r="D21" i="60" a="1"/>
  <c r="D21" i="60" s="1"/>
  <c r="D14" i="60" a="1"/>
  <c r="D14" i="60" s="1"/>
  <c r="D7" i="60" a="1"/>
  <c r="D7" i="60" s="1"/>
  <c r="D13" i="60" a="1"/>
  <c r="D13" i="60" s="1"/>
  <c r="D8" i="60" a="1"/>
  <c r="D8" i="60" s="1"/>
  <c r="C13" i="14"/>
  <c r="B54" i="53"/>
  <c r="D20" i="53"/>
  <c r="CW26" i="24" l="1"/>
  <c r="CW27" i="24"/>
  <c r="CW28" i="24"/>
  <c r="CW29" i="24"/>
  <c r="CW30" i="24"/>
  <c r="CW31" i="24"/>
  <c r="CW32" i="24"/>
  <c r="CW33" i="24"/>
  <c r="CW34" i="24"/>
  <c r="CW35" i="24"/>
  <c r="CW36" i="24"/>
  <c r="CW37" i="24"/>
  <c r="CW38" i="24"/>
  <c r="CW39" i="24"/>
  <c r="CW40" i="24"/>
  <c r="CW41" i="24"/>
  <c r="CW42" i="24"/>
  <c r="CW43" i="24"/>
  <c r="CW25" i="24"/>
  <c r="CW3" i="24"/>
  <c r="CW1" i="24"/>
  <c r="CX1" i="24" s="1"/>
  <c r="CY1" i="24" s="1"/>
  <c r="CZ1" i="24" s="1"/>
  <c r="DA1" i="24" s="1"/>
  <c r="DB1" i="24" s="1"/>
  <c r="DC1" i="24" s="1"/>
  <c r="DD1" i="24" s="1"/>
  <c r="DE1" i="24" s="1"/>
  <c r="DF1" i="24" s="1"/>
  <c r="B5" i="44"/>
  <c r="B5" i="36"/>
  <c r="B5" i="31"/>
  <c r="B5" i="32"/>
  <c r="B25" i="24"/>
  <c r="G14" i="30" l="1"/>
  <c r="G13" i="30"/>
  <c r="F10" i="30" s="1"/>
  <c r="L47" i="51"/>
  <c r="L46" i="51"/>
  <c r="L45" i="51"/>
  <c r="L44" i="51"/>
  <c r="L43" i="51"/>
  <c r="L29" i="51"/>
  <c r="L28" i="51"/>
  <c r="L27" i="51"/>
  <c r="L26" i="51"/>
  <c r="L25" i="51"/>
  <c r="L47" i="50"/>
  <c r="L46" i="50"/>
  <c r="L45" i="50"/>
  <c r="L44" i="50"/>
  <c r="L43" i="50"/>
  <c r="L29" i="50"/>
  <c r="L28" i="50"/>
  <c r="L27" i="50"/>
  <c r="L26" i="50"/>
  <c r="L25" i="50"/>
  <c r="A103" i="57" l="1"/>
  <c r="A104" i="57"/>
  <c r="D33" i="54" l="1"/>
  <c r="D31" i="54"/>
  <c r="F39" i="53" l="1"/>
  <c r="G39" i="53"/>
  <c r="A14" i="99" l="1"/>
  <c r="A13" i="99"/>
  <c r="A12" i="99"/>
  <c r="F11" i="99"/>
  <c r="A11" i="99"/>
  <c r="A10" i="99"/>
  <c r="F9" i="99"/>
  <c r="F10" i="99" s="1"/>
  <c r="E9" i="99"/>
  <c r="A9" i="99"/>
  <c r="E8" i="99"/>
  <c r="A8" i="99"/>
  <c r="F7" i="99"/>
  <c r="F8" i="99" s="1"/>
  <c r="E7" i="99"/>
  <c r="B3" i="99"/>
  <c r="J1" i="99"/>
  <c r="A1" i="99"/>
  <c r="A14" i="98"/>
  <c r="A13" i="98"/>
  <c r="A12" i="98"/>
  <c r="A11" i="98"/>
  <c r="A10" i="98"/>
  <c r="A9" i="98"/>
  <c r="F8" i="98"/>
  <c r="E8" i="98"/>
  <c r="A8" i="98"/>
  <c r="F7" i="98"/>
  <c r="E7" i="98"/>
  <c r="B3" i="98"/>
  <c r="J1" i="98"/>
  <c r="A1" i="98"/>
  <c r="D20" i="97"/>
  <c r="F11" i="97"/>
  <c r="F9" i="97"/>
  <c r="F10" i="97" s="1"/>
  <c r="F7" i="97"/>
  <c r="F8" i="97" s="1"/>
  <c r="E7" i="97"/>
  <c r="B3" i="97"/>
  <c r="A1" i="97"/>
  <c r="E57" i="96"/>
  <c r="E8" i="96"/>
  <c r="F7" i="96"/>
  <c r="E7" i="96"/>
  <c r="K3" i="96"/>
  <c r="B3" i="96"/>
  <c r="K2" i="96"/>
  <c r="A1" i="96"/>
  <c r="F9" i="95"/>
  <c r="F8" i="95"/>
  <c r="E8" i="95"/>
  <c r="F7" i="95"/>
  <c r="E7" i="95"/>
  <c r="B3" i="95"/>
  <c r="D53" i="95" s="1"/>
  <c r="A1" i="95"/>
  <c r="E9" i="94"/>
  <c r="F8" i="94"/>
  <c r="E8" i="94"/>
  <c r="F7" i="94"/>
  <c r="E7" i="94"/>
  <c r="B3" i="94"/>
  <c r="E56" i="94" s="1"/>
  <c r="A1" i="94"/>
  <c r="A14" i="93"/>
  <c r="A13" i="93"/>
  <c r="A12" i="93"/>
  <c r="A11" i="93"/>
  <c r="A10" i="93"/>
  <c r="A9" i="93"/>
  <c r="F8" i="93"/>
  <c r="F9" i="93" s="1"/>
  <c r="A8" i="93"/>
  <c r="F7" i="93"/>
  <c r="E7" i="93"/>
  <c r="B3" i="93"/>
  <c r="J1" i="93"/>
  <c r="A1" i="93"/>
  <c r="A14" i="92"/>
  <c r="A13" i="92"/>
  <c r="A12" i="92"/>
  <c r="A11" i="92"/>
  <c r="A10" i="92"/>
  <c r="A9" i="92"/>
  <c r="F8" i="92"/>
  <c r="F9" i="92" s="1"/>
  <c r="A8" i="92"/>
  <c r="F7" i="92"/>
  <c r="E7" i="92"/>
  <c r="E8" i="92" s="1"/>
  <c r="E9" i="92" s="1"/>
  <c r="B3" i="92"/>
  <c r="J1" i="92"/>
  <c r="A1" i="92"/>
  <c r="A14" i="91"/>
  <c r="A13" i="91"/>
  <c r="A12" i="91"/>
  <c r="A11" i="91"/>
  <c r="A10" i="91"/>
  <c r="A9" i="91"/>
  <c r="A8" i="91"/>
  <c r="F7" i="91"/>
  <c r="E7" i="91"/>
  <c r="E8" i="91" s="1"/>
  <c r="E9" i="91" s="1"/>
  <c r="B3" i="91"/>
  <c r="J1" i="91"/>
  <c r="A1" i="91"/>
  <c r="A14" i="90"/>
  <c r="A13" i="90"/>
  <c r="A12" i="90"/>
  <c r="A11" i="90"/>
  <c r="A10" i="90"/>
  <c r="E9" i="90"/>
  <c r="E10" i="90" s="1"/>
  <c r="A9" i="90"/>
  <c r="A8" i="90"/>
  <c r="F7" i="90"/>
  <c r="F8" i="90" s="1"/>
  <c r="F9" i="90" s="1"/>
  <c r="E7" i="90"/>
  <c r="E8" i="90" s="1"/>
  <c r="B3" i="90"/>
  <c r="J1" i="90"/>
  <c r="A1" i="90"/>
  <c r="A14" i="89"/>
  <c r="A13" i="89"/>
  <c r="A12" i="89"/>
  <c r="A11" i="89"/>
  <c r="A10" i="89"/>
  <c r="A9" i="89"/>
  <c r="A8" i="89"/>
  <c r="F7" i="89"/>
  <c r="F8" i="89" s="1"/>
  <c r="F9" i="89" s="1"/>
  <c r="E7" i="89"/>
  <c r="B3" i="89"/>
  <c r="J1" i="89"/>
  <c r="A1" i="89"/>
  <c r="F10" i="88"/>
  <c r="F8" i="88"/>
  <c r="F9" i="88" s="1"/>
  <c r="E8" i="88"/>
  <c r="F7" i="88"/>
  <c r="E7" i="88"/>
  <c r="B3" i="88"/>
  <c r="D20" i="88" s="1"/>
  <c r="A1" i="88"/>
  <c r="D30" i="87"/>
  <c r="E9" i="87"/>
  <c r="F7" i="87"/>
  <c r="E7" i="87"/>
  <c r="E8" i="87" s="1"/>
  <c r="B3" i="87"/>
  <c r="A1" i="87"/>
  <c r="E8" i="86"/>
  <c r="F7" i="86"/>
  <c r="E7" i="86"/>
  <c r="B3" i="86"/>
  <c r="D20" i="86" s="1"/>
  <c r="A1" i="86"/>
  <c r="F7" i="85"/>
  <c r="E7" i="85"/>
  <c r="B3" i="85"/>
  <c r="D35" i="85" s="1"/>
  <c r="A1" i="85"/>
  <c r="F8" i="84"/>
  <c r="E8" i="84"/>
  <c r="F7" i="84"/>
  <c r="E7" i="84"/>
  <c r="B3" i="84"/>
  <c r="D24" i="84" s="1"/>
  <c r="A1" i="84"/>
  <c r="D14" i="83"/>
  <c r="E9" i="83"/>
  <c r="F8" i="83"/>
  <c r="F9" i="83" s="1"/>
  <c r="F7" i="83"/>
  <c r="E7" i="83"/>
  <c r="E8" i="83" s="1"/>
  <c r="B3" i="83"/>
  <c r="A1" i="83"/>
  <c r="F10" i="82"/>
  <c r="F11" i="82" s="1"/>
  <c r="F12" i="82" s="1"/>
  <c r="F13" i="82" s="1"/>
  <c r="F14" i="82" s="1"/>
  <c r="F15" i="82" s="1"/>
  <c r="F16" i="82" s="1"/>
  <c r="F17" i="82" s="1"/>
  <c r="F18" i="82" s="1"/>
  <c r="F19" i="82" s="1"/>
  <c r="F20" i="82" s="1"/>
  <c r="F21" i="82" s="1"/>
  <c r="F22" i="82" s="1"/>
  <c r="F23" i="82" s="1"/>
  <c r="F24" i="82" s="1"/>
  <c r="F25" i="82" s="1"/>
  <c r="F26" i="82" s="1"/>
  <c r="F27" i="82" s="1"/>
  <c r="F28" i="82" s="1"/>
  <c r="F29" i="82" s="1"/>
  <c r="F30" i="82" s="1"/>
  <c r="F31" i="82" s="1"/>
  <c r="F32" i="82" s="1"/>
  <c r="F33" i="82" s="1"/>
  <c r="F34" i="82" s="1"/>
  <c r="F35" i="82" s="1"/>
  <c r="F36" i="82" s="1"/>
  <c r="F37" i="82" s="1"/>
  <c r="F38" i="82" s="1"/>
  <c r="F39" i="82" s="1"/>
  <c r="F40" i="82" s="1"/>
  <c r="F41" i="82" s="1"/>
  <c r="F42" i="82" s="1"/>
  <c r="F43" i="82" s="1"/>
  <c r="F44" i="82" s="1"/>
  <c r="F45" i="82" s="1"/>
  <c r="F46" i="82" s="1"/>
  <c r="F47" i="82" s="1"/>
  <c r="F48" i="82" s="1"/>
  <c r="F49" i="82" s="1"/>
  <c r="F50" i="82" s="1"/>
  <c r="F51" i="82" s="1"/>
  <c r="F52" i="82" s="1"/>
  <c r="F53" i="82" s="1"/>
  <c r="K3" i="82" s="1"/>
  <c r="D10" i="82"/>
  <c r="F8" i="82"/>
  <c r="F9" i="82" s="1"/>
  <c r="E8" i="82"/>
  <c r="D8" i="82"/>
  <c r="D9" i="82" s="1"/>
  <c r="F7" i="82"/>
  <c r="E7" i="82"/>
  <c r="D7" i="82"/>
  <c r="B3" i="82"/>
  <c r="D57" i="82" s="1"/>
  <c r="K2" i="82"/>
  <c r="A1" i="82"/>
  <c r="E9" i="81"/>
  <c r="F7" i="81"/>
  <c r="E7" i="81"/>
  <c r="E8" i="81" s="1"/>
  <c r="B3" i="81"/>
  <c r="D53" i="81" s="1"/>
  <c r="A1" i="81"/>
  <c r="E8" i="80"/>
  <c r="F7" i="80"/>
  <c r="E7" i="80"/>
  <c r="B3" i="80"/>
  <c r="E56" i="80" s="1"/>
  <c r="A1" i="80"/>
  <c r="A14" i="79"/>
  <c r="A13" i="79"/>
  <c r="A12" i="79"/>
  <c r="A11" i="79"/>
  <c r="A10" i="79"/>
  <c r="A9" i="79"/>
  <c r="F8" i="79"/>
  <c r="E8" i="79"/>
  <c r="A8" i="79"/>
  <c r="F7" i="79"/>
  <c r="E7" i="79"/>
  <c r="B3" i="79"/>
  <c r="J1" i="79"/>
  <c r="A1" i="79"/>
  <c r="A14" i="78"/>
  <c r="A13" i="78"/>
  <c r="A12" i="78"/>
  <c r="A11" i="78"/>
  <c r="A10" i="78"/>
  <c r="A9" i="78"/>
  <c r="F8" i="78"/>
  <c r="E8" i="78"/>
  <c r="A8" i="78"/>
  <c r="F7" i="78"/>
  <c r="E7" i="78"/>
  <c r="B3" i="78"/>
  <c r="J1" i="78"/>
  <c r="A1" i="78"/>
  <c r="A14" i="77"/>
  <c r="A13" i="77"/>
  <c r="F12" i="77"/>
  <c r="E12" i="77"/>
  <c r="A12" i="77"/>
  <c r="A11" i="77"/>
  <c r="F10" i="77"/>
  <c r="F11" i="77" s="1"/>
  <c r="E10" i="77"/>
  <c r="E11" i="77" s="1"/>
  <c r="A10" i="77"/>
  <c r="A9" i="77"/>
  <c r="F8" i="77"/>
  <c r="F9" i="77" s="1"/>
  <c r="A8" i="77"/>
  <c r="F7" i="77"/>
  <c r="E7" i="77"/>
  <c r="E8" i="77" s="1"/>
  <c r="E9" i="77" s="1"/>
  <c r="B3" i="77"/>
  <c r="J1" i="77"/>
  <c r="A1" i="77"/>
  <c r="A14" i="76"/>
  <c r="A13" i="76"/>
  <c r="A12" i="76"/>
  <c r="A11" i="76"/>
  <c r="A10" i="76"/>
  <c r="A9" i="76"/>
  <c r="A8" i="76"/>
  <c r="F7" i="76"/>
  <c r="E7" i="76"/>
  <c r="B3" i="76"/>
  <c r="J1" i="76"/>
  <c r="A1" i="76"/>
  <c r="A14" i="75"/>
  <c r="A13" i="75"/>
  <c r="A12" i="75"/>
  <c r="F11" i="75"/>
  <c r="A11" i="75"/>
  <c r="A10" i="75"/>
  <c r="F9" i="75"/>
  <c r="F10" i="75" s="1"/>
  <c r="E9" i="75"/>
  <c r="E10" i="75" s="1"/>
  <c r="A9" i="75"/>
  <c r="F8" i="75"/>
  <c r="E8" i="75"/>
  <c r="A8" i="75"/>
  <c r="F7" i="75"/>
  <c r="E7" i="75"/>
  <c r="B3" i="75"/>
  <c r="J1" i="75"/>
  <c r="A1" i="75"/>
  <c r="D20" i="74"/>
  <c r="F7" i="74"/>
  <c r="E7" i="74"/>
  <c r="D7" i="74"/>
  <c r="B3" i="74"/>
  <c r="A1" i="74"/>
  <c r="F8" i="73"/>
  <c r="F7" i="73"/>
  <c r="E7" i="73"/>
  <c r="D7" i="73"/>
  <c r="B3" i="73"/>
  <c r="D30" i="73" s="1"/>
  <c r="A1" i="73"/>
  <c r="F7" i="72"/>
  <c r="E7" i="72"/>
  <c r="B3" i="72"/>
  <c r="D24" i="72" s="1"/>
  <c r="A1" i="72"/>
  <c r="D21" i="71"/>
  <c r="F7" i="71"/>
  <c r="D7" i="71"/>
  <c r="E7" i="71" s="1"/>
  <c r="B3" i="71"/>
  <c r="A1" i="71"/>
  <c r="F7" i="70"/>
  <c r="E7" i="70"/>
  <c r="D7" i="70"/>
  <c r="B3" i="70"/>
  <c r="D35" i="70" s="1"/>
  <c r="A1" i="70"/>
  <c r="F8" i="69"/>
  <c r="E8" i="69"/>
  <c r="D7" i="69"/>
  <c r="E7" i="69" s="1"/>
  <c r="C7" i="69"/>
  <c r="F7" i="69" s="1"/>
  <c r="B3" i="69"/>
  <c r="D14" i="69" s="1"/>
  <c r="A1" i="69"/>
  <c r="D57" i="68"/>
  <c r="F8" i="68"/>
  <c r="F7" i="68"/>
  <c r="D7" i="68"/>
  <c r="E7" i="68" s="1"/>
  <c r="B3" i="68"/>
  <c r="A1" i="68"/>
  <c r="D53" i="67"/>
  <c r="F8" i="67"/>
  <c r="E8" i="67"/>
  <c r="F7" i="67"/>
  <c r="E7" i="67"/>
  <c r="D7" i="67"/>
  <c r="B3" i="67"/>
  <c r="A1" i="67"/>
  <c r="E56" i="66"/>
  <c r="D7" i="66"/>
  <c r="E7" i="66" s="1"/>
  <c r="E8" i="66" s="1"/>
  <c r="C7" i="66"/>
  <c r="F7" i="66" s="1"/>
  <c r="F8" i="66" s="1"/>
  <c r="B3" i="66"/>
  <c r="A1" i="66"/>
  <c r="E9" i="66" l="1"/>
  <c r="F9" i="66"/>
  <c r="F9" i="67"/>
  <c r="E9" i="69"/>
  <c r="E8" i="70"/>
  <c r="F10" i="95"/>
  <c r="E9" i="78"/>
  <c r="D11" i="82"/>
  <c r="D12" i="82" s="1"/>
  <c r="D13" i="82" s="1"/>
  <c r="D14" i="82" s="1"/>
  <c r="D15" i="82" s="1"/>
  <c r="D16" i="82" s="1"/>
  <c r="D17" i="82" s="1"/>
  <c r="D18" i="82" s="1"/>
  <c r="D19" i="82" s="1"/>
  <c r="D20" i="82" s="1"/>
  <c r="D21" i="82" s="1"/>
  <c r="D22" i="82" s="1"/>
  <c r="D23" i="82" s="1"/>
  <c r="D24" i="82" s="1"/>
  <c r="D25" i="82" s="1"/>
  <c r="D26" i="82" s="1"/>
  <c r="D27" i="82" s="1"/>
  <c r="D28" i="82" s="1"/>
  <c r="D29" i="82" s="1"/>
  <c r="D30" i="82" s="1"/>
  <c r="D31" i="82" s="1"/>
  <c r="D32" i="82" s="1"/>
  <c r="D33" i="82" s="1"/>
  <c r="D34" i="82" s="1"/>
  <c r="D35" i="82" s="1"/>
  <c r="D36" i="82" s="1"/>
  <c r="D37" i="82" s="1"/>
  <c r="D38" i="82" s="1"/>
  <c r="D39" i="82" s="1"/>
  <c r="D40" i="82" s="1"/>
  <c r="D41" i="82" s="1"/>
  <c r="D42" i="82" s="1"/>
  <c r="D43" i="82" s="1"/>
  <c r="D44" i="82" s="1"/>
  <c r="D45" i="82" s="1"/>
  <c r="D46" i="82" s="1"/>
  <c r="D47" i="82" s="1"/>
  <c r="D48" i="82" s="1"/>
  <c r="D49" i="82" s="1"/>
  <c r="D50" i="82" s="1"/>
  <c r="D51" i="82" s="1"/>
  <c r="D52" i="82" s="1"/>
  <c r="D53" i="82" s="1"/>
  <c r="F8" i="72"/>
  <c r="E8" i="68"/>
  <c r="E8" i="71"/>
  <c r="F12" i="75"/>
  <c r="F8" i="70"/>
  <c r="E8" i="74"/>
  <c r="F8" i="71"/>
  <c r="E8" i="76"/>
  <c r="F9" i="79"/>
  <c r="F9" i="69"/>
  <c r="E9" i="67"/>
  <c r="E13" i="77"/>
  <c r="E8" i="72"/>
  <c r="E9" i="79"/>
  <c r="F8" i="80"/>
  <c r="E10" i="83"/>
  <c r="G9" i="83"/>
  <c r="G8" i="83"/>
  <c r="G7" i="83"/>
  <c r="E8" i="73"/>
  <c r="F8" i="74"/>
  <c r="F8" i="76"/>
  <c r="F8" i="86"/>
  <c r="E11" i="75"/>
  <c r="E10" i="81"/>
  <c r="D12" i="83"/>
  <c r="F13" i="77"/>
  <c r="F9" i="84"/>
  <c r="F9" i="68"/>
  <c r="E10" i="87"/>
  <c r="F10" i="92"/>
  <c r="F9" i="78"/>
  <c r="E8" i="85"/>
  <c r="F12" i="97"/>
  <c r="F9" i="73"/>
  <c r="E9" i="80"/>
  <c r="E9" i="82"/>
  <c r="F10" i="83"/>
  <c r="F8" i="85"/>
  <c r="E8" i="89"/>
  <c r="F10" i="93"/>
  <c r="F8" i="81"/>
  <c r="E9" i="84"/>
  <c r="F11" i="88"/>
  <c r="F10" i="89"/>
  <c r="F10" i="90"/>
  <c r="E9" i="96"/>
  <c r="E8" i="97"/>
  <c r="E9" i="98"/>
  <c r="E9" i="88"/>
  <c r="E11" i="90"/>
  <c r="F9" i="98"/>
  <c r="F12" i="99"/>
  <c r="F8" i="87"/>
  <c r="E10" i="91"/>
  <c r="E10" i="92"/>
  <c r="E9" i="86"/>
  <c r="F8" i="91"/>
  <c r="E8" i="93"/>
  <c r="E10" i="94"/>
  <c r="E10" i="99"/>
  <c r="E9" i="95"/>
  <c r="F8" i="96"/>
  <c r="F9" i="94"/>
  <c r="K11" i="65"/>
  <c r="L11" i="65"/>
  <c r="K14" i="65"/>
  <c r="L14" i="65"/>
  <c r="M14" i="65"/>
  <c r="N14" i="65"/>
  <c r="O14" i="65"/>
  <c r="P14" i="65"/>
  <c r="Q14" i="65"/>
  <c r="R14" i="65"/>
  <c r="A15" i="65"/>
  <c r="A16" i="65" s="1"/>
  <c r="K15" i="65"/>
  <c r="L15" i="65"/>
  <c r="M15" i="65"/>
  <c r="N15" i="65"/>
  <c r="O15" i="65"/>
  <c r="P15" i="65"/>
  <c r="Q15" i="65"/>
  <c r="R15" i="65"/>
  <c r="K16" i="65"/>
  <c r="L16" i="65"/>
  <c r="K17" i="65"/>
  <c r="L17" i="65"/>
  <c r="M17" i="65"/>
  <c r="N17" i="65"/>
  <c r="O17" i="65"/>
  <c r="P17" i="65"/>
  <c r="Q17" i="65"/>
  <c r="R17" i="65"/>
  <c r="A18" i="65"/>
  <c r="K18" i="65"/>
  <c r="L18" i="65"/>
  <c r="M18" i="65"/>
  <c r="N18" i="65"/>
  <c r="O18" i="65"/>
  <c r="P18" i="65"/>
  <c r="Q18" i="65"/>
  <c r="R18" i="65"/>
  <c r="A19" i="65"/>
  <c r="G19" i="65"/>
  <c r="H19" i="65"/>
  <c r="I19" i="65"/>
  <c r="J19" i="65"/>
  <c r="K19" i="65"/>
  <c r="L19" i="65"/>
  <c r="A20" i="65"/>
  <c r="A21" i="65" s="1"/>
  <c r="A22" i="65" s="1"/>
  <c r="A23" i="65" s="1"/>
  <c r="G20" i="65"/>
  <c r="H20" i="65"/>
  <c r="I20" i="65"/>
  <c r="J20" i="65"/>
  <c r="K20" i="65"/>
  <c r="L20" i="65"/>
  <c r="G21" i="65"/>
  <c r="H21" i="65"/>
  <c r="I21" i="65"/>
  <c r="J21" i="65"/>
  <c r="K21" i="65"/>
  <c r="L21" i="65"/>
  <c r="G22" i="65"/>
  <c r="H22" i="65"/>
  <c r="I22" i="65"/>
  <c r="J22" i="65"/>
  <c r="K22" i="65"/>
  <c r="L22" i="65"/>
  <c r="G23" i="65"/>
  <c r="H23" i="65"/>
  <c r="I23" i="65"/>
  <c r="J23" i="65"/>
  <c r="K23" i="65"/>
  <c r="L23" i="65"/>
  <c r="G24" i="65"/>
  <c r="H24" i="65"/>
  <c r="I24" i="65"/>
  <c r="J24" i="65"/>
  <c r="K24" i="65"/>
  <c r="L24" i="65"/>
  <c r="K25" i="65"/>
  <c r="L25" i="65"/>
  <c r="M25" i="65"/>
  <c r="N25" i="65"/>
  <c r="O25" i="65"/>
  <c r="P25" i="65"/>
  <c r="Q25" i="65"/>
  <c r="R25" i="65"/>
  <c r="U32" i="65"/>
  <c r="K34" i="65"/>
  <c r="L34" i="65"/>
  <c r="M34" i="65"/>
  <c r="N34" i="65"/>
  <c r="O34" i="65"/>
  <c r="P34" i="65"/>
  <c r="Q34" i="65"/>
  <c r="R34" i="65"/>
  <c r="U35" i="65"/>
  <c r="U36" i="65"/>
  <c r="K37" i="65"/>
  <c r="L37" i="65"/>
  <c r="M37" i="65"/>
  <c r="N37" i="65"/>
  <c r="O37" i="65"/>
  <c r="P37" i="65"/>
  <c r="Q37" i="65"/>
  <c r="R37" i="65"/>
  <c r="A38" i="65"/>
  <c r="A39" i="65" s="1"/>
  <c r="K38" i="65"/>
  <c r="L38" i="65"/>
  <c r="M38" i="65"/>
  <c r="N38" i="65"/>
  <c r="O38" i="65"/>
  <c r="P38" i="65"/>
  <c r="Q38" i="65"/>
  <c r="R38" i="65"/>
  <c r="K39" i="65"/>
  <c r="L39" i="65"/>
  <c r="K40" i="65"/>
  <c r="L40" i="65"/>
  <c r="M40" i="65"/>
  <c r="N40" i="65"/>
  <c r="O40" i="65"/>
  <c r="P40" i="65"/>
  <c r="Q40" i="65"/>
  <c r="R40" i="65"/>
  <c r="A41" i="65"/>
  <c r="A42" i="65" s="1"/>
  <c r="A43" i="65" s="1"/>
  <c r="A44" i="65" s="1"/>
  <c r="K41" i="65"/>
  <c r="L41" i="65"/>
  <c r="M41" i="65"/>
  <c r="N41" i="65"/>
  <c r="O41" i="65"/>
  <c r="P41" i="65"/>
  <c r="Q41" i="65"/>
  <c r="R41" i="65"/>
  <c r="G42" i="65"/>
  <c r="H42" i="65"/>
  <c r="I42" i="65"/>
  <c r="J42" i="65"/>
  <c r="K42" i="65"/>
  <c r="L42" i="65"/>
  <c r="G43" i="65"/>
  <c r="H43" i="65"/>
  <c r="I43" i="65"/>
  <c r="J43" i="65"/>
  <c r="K43" i="65"/>
  <c r="L43" i="65"/>
  <c r="G44" i="65"/>
  <c r="H44" i="65"/>
  <c r="I44" i="65"/>
  <c r="J44" i="65"/>
  <c r="K44" i="65"/>
  <c r="L44" i="65"/>
  <c r="A45" i="65"/>
  <c r="A46" i="65" s="1"/>
  <c r="G45" i="65"/>
  <c r="H45" i="65"/>
  <c r="I45" i="65"/>
  <c r="J45" i="65"/>
  <c r="K45" i="65"/>
  <c r="L45" i="65"/>
  <c r="G46" i="65"/>
  <c r="H46" i="65"/>
  <c r="I46" i="65"/>
  <c r="J46" i="65"/>
  <c r="K46" i="65"/>
  <c r="L46" i="65"/>
  <c r="G47" i="65"/>
  <c r="G51" i="65" s="1"/>
  <c r="H47" i="65"/>
  <c r="I47" i="65"/>
  <c r="I51" i="65" s="1"/>
  <c r="J47" i="65"/>
  <c r="J51" i="65" s="1"/>
  <c r="K47" i="65"/>
  <c r="K51" i="65" s="1"/>
  <c r="L47" i="65"/>
  <c r="L51" i="65" s="1"/>
  <c r="K48" i="65"/>
  <c r="L48" i="65"/>
  <c r="M48" i="65"/>
  <c r="N48" i="65"/>
  <c r="O48" i="65"/>
  <c r="P48" i="65"/>
  <c r="Q48" i="65"/>
  <c r="R48" i="65"/>
  <c r="U50" i="65"/>
  <c r="G64" i="65"/>
  <c r="H64" i="65"/>
  <c r="I64" i="65"/>
  <c r="J64" i="65"/>
  <c r="K64" i="65"/>
  <c r="L64" i="65"/>
  <c r="G65" i="65"/>
  <c r="H65" i="65"/>
  <c r="I65" i="65"/>
  <c r="J65" i="65"/>
  <c r="K65" i="65"/>
  <c r="L65" i="65"/>
  <c r="G77" i="65"/>
  <c r="H77" i="65"/>
  <c r="I77" i="65"/>
  <c r="J77" i="65"/>
  <c r="M77" i="65"/>
  <c r="N77" i="65"/>
  <c r="O77" i="65"/>
  <c r="P77" i="65"/>
  <c r="Q77" i="65"/>
  <c r="R77" i="65"/>
  <c r="K78" i="65"/>
  <c r="L78" i="65"/>
  <c r="M78" i="65"/>
  <c r="N78" i="65"/>
  <c r="O78" i="65"/>
  <c r="P78" i="65"/>
  <c r="Q78" i="65"/>
  <c r="R78" i="65"/>
  <c r="K81" i="65"/>
  <c r="L81" i="65"/>
  <c r="M81" i="65"/>
  <c r="N81" i="65"/>
  <c r="O81" i="65"/>
  <c r="P81" i="65"/>
  <c r="Q81" i="65"/>
  <c r="R81" i="65"/>
  <c r="K83" i="65"/>
  <c r="L83" i="65"/>
  <c r="M83" i="65"/>
  <c r="N83" i="65"/>
  <c r="O83" i="65"/>
  <c r="P83" i="65"/>
  <c r="Q83" i="65"/>
  <c r="R83" i="65"/>
  <c r="K84" i="65"/>
  <c r="L84" i="65"/>
  <c r="M84" i="65"/>
  <c r="N84" i="65"/>
  <c r="O84" i="65"/>
  <c r="P84" i="65"/>
  <c r="Q84" i="65"/>
  <c r="R84" i="65"/>
  <c r="K85" i="65"/>
  <c r="L85" i="65"/>
  <c r="M85" i="65"/>
  <c r="N85" i="65"/>
  <c r="O85" i="65"/>
  <c r="P85" i="65"/>
  <c r="Q85" i="65"/>
  <c r="R85" i="65"/>
  <c r="G86" i="65"/>
  <c r="H86" i="65"/>
  <c r="I86" i="65"/>
  <c r="J86" i="65"/>
  <c r="K86" i="65"/>
  <c r="L86" i="65"/>
  <c r="G87" i="65"/>
  <c r="H87" i="65"/>
  <c r="I87" i="65"/>
  <c r="J87" i="65"/>
  <c r="K87" i="65"/>
  <c r="L87" i="65"/>
  <c r="K89" i="65"/>
  <c r="L89" i="65"/>
  <c r="M89" i="65"/>
  <c r="N89" i="65"/>
  <c r="O89" i="65"/>
  <c r="P89" i="65"/>
  <c r="Q89" i="65"/>
  <c r="R89" i="65"/>
  <c r="K92" i="65"/>
  <c r="L92" i="65"/>
  <c r="M92" i="65"/>
  <c r="N92" i="65"/>
  <c r="O92" i="65"/>
  <c r="P92" i="65"/>
  <c r="Q92" i="65"/>
  <c r="R92" i="65"/>
  <c r="G93" i="65"/>
  <c r="H93" i="65"/>
  <c r="I93" i="65"/>
  <c r="J93" i="65"/>
  <c r="K93" i="65"/>
  <c r="L93" i="65"/>
  <c r="G94" i="65"/>
  <c r="H94" i="65"/>
  <c r="I94" i="65"/>
  <c r="J94" i="65"/>
  <c r="K94" i="65"/>
  <c r="L94" i="65"/>
  <c r="K95" i="65"/>
  <c r="L95" i="65"/>
  <c r="M95" i="65"/>
  <c r="N95" i="65"/>
  <c r="O95" i="65"/>
  <c r="P95" i="65"/>
  <c r="Q95" i="65"/>
  <c r="R95" i="65"/>
  <c r="G99" i="65"/>
  <c r="H99" i="65"/>
  <c r="I99" i="65"/>
  <c r="J99" i="65"/>
  <c r="K99" i="65"/>
  <c r="L99" i="65"/>
  <c r="G100" i="65"/>
  <c r="H100" i="65"/>
  <c r="I100" i="65"/>
  <c r="J100" i="65"/>
  <c r="K100" i="65"/>
  <c r="L100" i="65"/>
  <c r="G101" i="65"/>
  <c r="H101" i="65"/>
  <c r="I101" i="65"/>
  <c r="J101" i="65"/>
  <c r="K101" i="65"/>
  <c r="L101" i="65"/>
  <c r="G102" i="65"/>
  <c r="H102" i="65"/>
  <c r="I102" i="65"/>
  <c r="J102" i="65"/>
  <c r="K102" i="65"/>
  <c r="L102" i="65"/>
  <c r="G103" i="65"/>
  <c r="H103" i="65"/>
  <c r="I103" i="65"/>
  <c r="J103" i="65"/>
  <c r="K103" i="65"/>
  <c r="L103" i="65"/>
  <c r="G104" i="65"/>
  <c r="H104" i="65"/>
  <c r="I104" i="65"/>
  <c r="J104" i="65"/>
  <c r="K104" i="65"/>
  <c r="L104" i="65"/>
  <c r="G105" i="65"/>
  <c r="H105" i="65"/>
  <c r="I105" i="65"/>
  <c r="J105" i="65"/>
  <c r="K105" i="65"/>
  <c r="L105" i="65"/>
  <c r="G106" i="65"/>
  <c r="H106" i="65"/>
  <c r="I106" i="65"/>
  <c r="J106" i="65"/>
  <c r="K106" i="65"/>
  <c r="L106" i="65"/>
  <c r="G107" i="65"/>
  <c r="H107" i="65"/>
  <c r="I107" i="65"/>
  <c r="J107" i="65"/>
  <c r="K107" i="65"/>
  <c r="L107" i="65"/>
  <c r="K114" i="65"/>
  <c r="L114" i="65"/>
  <c r="M114" i="65"/>
  <c r="N114" i="65"/>
  <c r="O114" i="65"/>
  <c r="P114" i="65"/>
  <c r="Q114" i="65"/>
  <c r="R114" i="65"/>
  <c r="K117" i="65"/>
  <c r="L117" i="65"/>
  <c r="M117" i="65"/>
  <c r="N117" i="65"/>
  <c r="O117" i="65"/>
  <c r="P117" i="65"/>
  <c r="Q117" i="65"/>
  <c r="R117" i="65"/>
  <c r="K118" i="65"/>
  <c r="L118" i="65"/>
  <c r="M118" i="65"/>
  <c r="N118" i="65"/>
  <c r="O118" i="65"/>
  <c r="P118" i="65"/>
  <c r="Q118" i="65"/>
  <c r="R118" i="65"/>
  <c r="K119" i="65"/>
  <c r="L119" i="65"/>
  <c r="K120" i="65"/>
  <c r="L120" i="65"/>
  <c r="M120" i="65"/>
  <c r="N120" i="65"/>
  <c r="O120" i="65"/>
  <c r="P120" i="65"/>
  <c r="Q120" i="65"/>
  <c r="R120" i="65"/>
  <c r="K121" i="65"/>
  <c r="L121" i="65"/>
  <c r="M121" i="65"/>
  <c r="N121" i="65"/>
  <c r="O121" i="65"/>
  <c r="P121" i="65"/>
  <c r="Q121" i="65"/>
  <c r="R121" i="65"/>
  <c r="G122" i="65"/>
  <c r="H122" i="65"/>
  <c r="I122" i="65"/>
  <c r="J122" i="65"/>
  <c r="K122" i="65"/>
  <c r="L122" i="65"/>
  <c r="G123" i="65"/>
  <c r="H123" i="65"/>
  <c r="I123" i="65"/>
  <c r="J123" i="65"/>
  <c r="K123" i="65"/>
  <c r="L123" i="65"/>
  <c r="G124" i="65"/>
  <c r="H124" i="65"/>
  <c r="I124" i="65"/>
  <c r="J124" i="65"/>
  <c r="K124" i="65"/>
  <c r="L124" i="65"/>
  <c r="G125" i="65"/>
  <c r="H125" i="65"/>
  <c r="I125" i="65"/>
  <c r="J125" i="65"/>
  <c r="K125" i="65"/>
  <c r="L125" i="65"/>
  <c r="G126" i="65"/>
  <c r="H126" i="65"/>
  <c r="I126" i="65"/>
  <c r="J126" i="65"/>
  <c r="K126" i="65"/>
  <c r="L126" i="65"/>
  <c r="G127" i="65"/>
  <c r="H127" i="65"/>
  <c r="I127" i="65"/>
  <c r="J127" i="65"/>
  <c r="K127" i="65"/>
  <c r="L127" i="65"/>
  <c r="K128" i="65"/>
  <c r="L128" i="65"/>
  <c r="M128" i="65"/>
  <c r="N128" i="65"/>
  <c r="O128" i="65"/>
  <c r="P128" i="65"/>
  <c r="Q128" i="65"/>
  <c r="R128" i="65"/>
  <c r="G134" i="65"/>
  <c r="H134" i="65"/>
  <c r="I134" i="65"/>
  <c r="J134" i="65"/>
  <c r="K134" i="65"/>
  <c r="L134" i="65"/>
  <c r="K11" i="64"/>
  <c r="L11" i="64"/>
  <c r="K14" i="64"/>
  <c r="L14" i="64"/>
  <c r="M14" i="64"/>
  <c r="N14" i="64"/>
  <c r="O14" i="64"/>
  <c r="P14" i="64"/>
  <c r="Q14" i="64"/>
  <c r="R14" i="64"/>
  <c r="A15" i="64"/>
  <c r="A16" i="64" s="1"/>
  <c r="K15" i="64"/>
  <c r="L15" i="64"/>
  <c r="M15" i="64"/>
  <c r="N15" i="64"/>
  <c r="O15" i="64"/>
  <c r="P15" i="64"/>
  <c r="Q15" i="64"/>
  <c r="R15" i="64"/>
  <c r="K16" i="64"/>
  <c r="L16" i="64"/>
  <c r="K17" i="64"/>
  <c r="L17" i="64"/>
  <c r="M17" i="64"/>
  <c r="N17" i="64"/>
  <c r="O17" i="64"/>
  <c r="P17" i="64"/>
  <c r="Q17" i="64"/>
  <c r="R17" i="64"/>
  <c r="A18" i="64"/>
  <c r="A19" i="64" s="1"/>
  <c r="A20" i="64" s="1"/>
  <c r="A21" i="64" s="1"/>
  <c r="A22" i="64" s="1"/>
  <c r="A23" i="64" s="1"/>
  <c r="K18" i="64"/>
  <c r="L18" i="64"/>
  <c r="M18" i="64"/>
  <c r="N18" i="64"/>
  <c r="O18" i="64"/>
  <c r="P18" i="64"/>
  <c r="Q18" i="64"/>
  <c r="R18" i="64"/>
  <c r="G19" i="64"/>
  <c r="H19" i="64"/>
  <c r="I19" i="64"/>
  <c r="J19" i="64"/>
  <c r="K19" i="64"/>
  <c r="L19" i="64"/>
  <c r="G20" i="64"/>
  <c r="H20" i="64"/>
  <c r="I20" i="64"/>
  <c r="J20" i="64"/>
  <c r="K20" i="64"/>
  <c r="L20" i="64"/>
  <c r="G21" i="64"/>
  <c r="H21" i="64"/>
  <c r="I21" i="64"/>
  <c r="J21" i="64"/>
  <c r="K21" i="64"/>
  <c r="L21" i="64"/>
  <c r="G22" i="64"/>
  <c r="H22" i="64"/>
  <c r="I22" i="64"/>
  <c r="J22" i="64"/>
  <c r="K22" i="64"/>
  <c r="L22" i="64"/>
  <c r="G23" i="64"/>
  <c r="H23" i="64"/>
  <c r="I23" i="64"/>
  <c r="J23" i="64"/>
  <c r="K23" i="64"/>
  <c r="L23" i="64"/>
  <c r="G24" i="64"/>
  <c r="H24" i="64"/>
  <c r="I24" i="64"/>
  <c r="J24" i="64"/>
  <c r="K24" i="64"/>
  <c r="L24" i="64"/>
  <c r="K25" i="64"/>
  <c r="L25" i="64"/>
  <c r="M25" i="64"/>
  <c r="N25" i="64"/>
  <c r="O25" i="64"/>
  <c r="P25" i="64"/>
  <c r="Q25" i="64"/>
  <c r="R25" i="64"/>
  <c r="K36" i="64"/>
  <c r="L36" i="64"/>
  <c r="M36" i="64"/>
  <c r="N36" i="64"/>
  <c r="O36" i="64"/>
  <c r="P36" i="64"/>
  <c r="Q36" i="64"/>
  <c r="R36" i="64"/>
  <c r="K39" i="64"/>
  <c r="L39" i="64"/>
  <c r="M39" i="64"/>
  <c r="N39" i="64"/>
  <c r="O39" i="64"/>
  <c r="P39" i="64"/>
  <c r="Q39" i="64"/>
  <c r="R39" i="64"/>
  <c r="A40" i="64"/>
  <c r="A41" i="64" s="1"/>
  <c r="K40" i="64"/>
  <c r="L40" i="64"/>
  <c r="M40" i="64"/>
  <c r="N40" i="64"/>
  <c r="O40" i="64"/>
  <c r="P40" i="64"/>
  <c r="Q40" i="64"/>
  <c r="R40" i="64"/>
  <c r="K41" i="64"/>
  <c r="L41" i="64"/>
  <c r="K42" i="64"/>
  <c r="L42" i="64"/>
  <c r="M42" i="64"/>
  <c r="N42" i="64"/>
  <c r="O42" i="64"/>
  <c r="P42" i="64"/>
  <c r="Q42" i="64"/>
  <c r="R42" i="64"/>
  <c r="A43" i="64"/>
  <c r="K43" i="64"/>
  <c r="L43" i="64"/>
  <c r="M43" i="64"/>
  <c r="N43" i="64"/>
  <c r="O43" i="64"/>
  <c r="P43" i="64"/>
  <c r="Q43" i="64"/>
  <c r="R43" i="64"/>
  <c r="A44" i="64"/>
  <c r="A45" i="64" s="1"/>
  <c r="A46" i="64" s="1"/>
  <c r="A47" i="64" s="1"/>
  <c r="A48" i="64" s="1"/>
  <c r="G44" i="64"/>
  <c r="H44" i="64"/>
  <c r="I44" i="64"/>
  <c r="J44" i="64"/>
  <c r="K44" i="64"/>
  <c r="L44" i="64"/>
  <c r="G45" i="64"/>
  <c r="H45" i="64"/>
  <c r="I45" i="64"/>
  <c r="J45" i="64"/>
  <c r="K45" i="64"/>
  <c r="L45" i="64"/>
  <c r="G46" i="64"/>
  <c r="H46" i="64"/>
  <c r="I46" i="64"/>
  <c r="J46" i="64"/>
  <c r="K46" i="64"/>
  <c r="L46" i="64"/>
  <c r="G47" i="64"/>
  <c r="H47" i="64"/>
  <c r="I47" i="64"/>
  <c r="J47" i="64"/>
  <c r="K47" i="64"/>
  <c r="L47" i="64"/>
  <c r="G48" i="64"/>
  <c r="H48" i="64"/>
  <c r="I48" i="64"/>
  <c r="J48" i="64"/>
  <c r="K48" i="64"/>
  <c r="L48" i="64"/>
  <c r="G49" i="64"/>
  <c r="H49" i="64"/>
  <c r="I49" i="64"/>
  <c r="J49" i="64"/>
  <c r="K49" i="64"/>
  <c r="L49" i="64"/>
  <c r="K50" i="64"/>
  <c r="L50" i="64"/>
  <c r="M50" i="64"/>
  <c r="N50" i="64"/>
  <c r="O50" i="64"/>
  <c r="P50" i="64"/>
  <c r="Q50" i="64"/>
  <c r="R50" i="64"/>
  <c r="G64" i="64"/>
  <c r="H64" i="64"/>
  <c r="I64" i="64"/>
  <c r="J64" i="64"/>
  <c r="K64" i="64"/>
  <c r="L64" i="64"/>
  <c r="G65" i="64"/>
  <c r="H65" i="64"/>
  <c r="I65" i="64"/>
  <c r="J65" i="64"/>
  <c r="K65" i="64"/>
  <c r="L65" i="64"/>
  <c r="G77" i="64"/>
  <c r="H77" i="64"/>
  <c r="I77" i="64"/>
  <c r="J77" i="64"/>
  <c r="M77" i="64"/>
  <c r="N77" i="64"/>
  <c r="O77" i="64"/>
  <c r="P77" i="64"/>
  <c r="Q77" i="64"/>
  <c r="R77" i="64"/>
  <c r="K78" i="64"/>
  <c r="L78" i="64"/>
  <c r="M78" i="64"/>
  <c r="N78" i="64"/>
  <c r="O78" i="64"/>
  <c r="P78" i="64"/>
  <c r="Q78" i="64"/>
  <c r="R78" i="64"/>
  <c r="K81" i="64"/>
  <c r="L81" i="64"/>
  <c r="M81" i="64"/>
  <c r="N81" i="64"/>
  <c r="O81" i="64"/>
  <c r="P81" i="64"/>
  <c r="Q81" i="64"/>
  <c r="R81" i="64"/>
  <c r="K83" i="64"/>
  <c r="L83" i="64"/>
  <c r="M83" i="64"/>
  <c r="N83" i="64"/>
  <c r="O83" i="64"/>
  <c r="P83" i="64"/>
  <c r="Q83" i="64"/>
  <c r="R83" i="64"/>
  <c r="K84" i="64"/>
  <c r="L84" i="64"/>
  <c r="M84" i="64"/>
  <c r="N84" i="64"/>
  <c r="O84" i="64"/>
  <c r="P84" i="64"/>
  <c r="Q84" i="64"/>
  <c r="R84" i="64"/>
  <c r="K85" i="64"/>
  <c r="L85" i="64"/>
  <c r="M85" i="64"/>
  <c r="N85" i="64"/>
  <c r="O85" i="64"/>
  <c r="P85" i="64"/>
  <c r="Q85" i="64"/>
  <c r="R85" i="64"/>
  <c r="G86" i="64"/>
  <c r="H86" i="64"/>
  <c r="I86" i="64"/>
  <c r="J86" i="64"/>
  <c r="K86" i="64"/>
  <c r="L86" i="64"/>
  <c r="G87" i="64"/>
  <c r="H87" i="64"/>
  <c r="I87" i="64"/>
  <c r="J87" i="64"/>
  <c r="K87" i="64"/>
  <c r="L87" i="64"/>
  <c r="K89" i="64"/>
  <c r="L89" i="64"/>
  <c r="M89" i="64"/>
  <c r="N89" i="64"/>
  <c r="O89" i="64"/>
  <c r="P89" i="64"/>
  <c r="Q89" i="64"/>
  <c r="R89" i="64"/>
  <c r="K92" i="64"/>
  <c r="L92" i="64"/>
  <c r="M92" i="64"/>
  <c r="N92" i="64"/>
  <c r="O92" i="64"/>
  <c r="P92" i="64"/>
  <c r="Q92" i="64"/>
  <c r="R92" i="64"/>
  <c r="G93" i="64"/>
  <c r="H93" i="64"/>
  <c r="I93" i="64"/>
  <c r="J93" i="64"/>
  <c r="K93" i="64"/>
  <c r="L93" i="64"/>
  <c r="G94" i="64"/>
  <c r="H94" i="64"/>
  <c r="I94" i="64"/>
  <c r="J94" i="64"/>
  <c r="K94" i="64"/>
  <c r="L94" i="64"/>
  <c r="K95" i="64"/>
  <c r="L95" i="64"/>
  <c r="M95" i="64"/>
  <c r="N95" i="64"/>
  <c r="O95" i="64"/>
  <c r="P95" i="64"/>
  <c r="Q95" i="64"/>
  <c r="R95" i="64"/>
  <c r="G99" i="64"/>
  <c r="H99" i="64"/>
  <c r="I99" i="64"/>
  <c r="J99" i="64"/>
  <c r="K99" i="64"/>
  <c r="L99" i="64"/>
  <c r="G100" i="64"/>
  <c r="H100" i="64"/>
  <c r="I100" i="64"/>
  <c r="J100" i="64"/>
  <c r="K100" i="64"/>
  <c r="L100" i="64"/>
  <c r="G101" i="64"/>
  <c r="H101" i="64"/>
  <c r="I101" i="64"/>
  <c r="J101" i="64"/>
  <c r="K101" i="64"/>
  <c r="L101" i="64"/>
  <c r="G102" i="64"/>
  <c r="H102" i="64"/>
  <c r="I102" i="64"/>
  <c r="J102" i="64"/>
  <c r="K102" i="64"/>
  <c r="L102" i="64"/>
  <c r="G103" i="64"/>
  <c r="H103" i="64"/>
  <c r="I103" i="64"/>
  <c r="J103" i="64"/>
  <c r="K103" i="64"/>
  <c r="L103" i="64"/>
  <c r="G104" i="64"/>
  <c r="H104" i="64"/>
  <c r="I104" i="64"/>
  <c r="J104" i="64"/>
  <c r="K104" i="64"/>
  <c r="L104" i="64"/>
  <c r="G105" i="64"/>
  <c r="H105" i="64"/>
  <c r="I105" i="64"/>
  <c r="J105" i="64"/>
  <c r="K105" i="64"/>
  <c r="L105" i="64"/>
  <c r="G106" i="64"/>
  <c r="H106" i="64"/>
  <c r="I106" i="64"/>
  <c r="J106" i="64"/>
  <c r="K106" i="64"/>
  <c r="L106" i="64"/>
  <c r="G107" i="64"/>
  <c r="H107" i="64"/>
  <c r="I107" i="64"/>
  <c r="J107" i="64"/>
  <c r="K107" i="64"/>
  <c r="L107" i="64"/>
  <c r="K114" i="64"/>
  <c r="L114" i="64"/>
  <c r="M114" i="64"/>
  <c r="N114" i="64"/>
  <c r="O114" i="64"/>
  <c r="P114" i="64"/>
  <c r="Q114" i="64"/>
  <c r="R114" i="64"/>
  <c r="K117" i="64"/>
  <c r="L117" i="64"/>
  <c r="M117" i="64"/>
  <c r="N117" i="64"/>
  <c r="O117" i="64"/>
  <c r="P117" i="64"/>
  <c r="Q117" i="64"/>
  <c r="R117" i="64"/>
  <c r="K118" i="64"/>
  <c r="L118" i="64"/>
  <c r="M118" i="64"/>
  <c r="N118" i="64"/>
  <c r="O118" i="64"/>
  <c r="P118" i="64"/>
  <c r="Q118" i="64"/>
  <c r="R118" i="64"/>
  <c r="K119" i="64"/>
  <c r="L119" i="64"/>
  <c r="K120" i="64"/>
  <c r="L120" i="64"/>
  <c r="M120" i="64"/>
  <c r="N120" i="64"/>
  <c r="O120" i="64"/>
  <c r="P120" i="64"/>
  <c r="Q120" i="64"/>
  <c r="R120" i="64"/>
  <c r="K121" i="64"/>
  <c r="L121" i="64"/>
  <c r="M121" i="64"/>
  <c r="N121" i="64"/>
  <c r="O121" i="64"/>
  <c r="P121" i="64"/>
  <c r="Q121" i="64"/>
  <c r="R121" i="64"/>
  <c r="G122" i="64"/>
  <c r="H122" i="64"/>
  <c r="I122" i="64"/>
  <c r="J122" i="64"/>
  <c r="K122" i="64"/>
  <c r="L122" i="64"/>
  <c r="G123" i="64"/>
  <c r="H123" i="64"/>
  <c r="I123" i="64"/>
  <c r="J123" i="64"/>
  <c r="K123" i="64"/>
  <c r="L123" i="64"/>
  <c r="G124" i="64"/>
  <c r="H124" i="64"/>
  <c r="I124" i="64"/>
  <c r="J124" i="64"/>
  <c r="K124" i="64"/>
  <c r="L124" i="64"/>
  <c r="G125" i="64"/>
  <c r="H125" i="64"/>
  <c r="I125" i="64"/>
  <c r="J125" i="64"/>
  <c r="K125" i="64"/>
  <c r="L125" i="64"/>
  <c r="G126" i="64"/>
  <c r="H126" i="64"/>
  <c r="I126" i="64"/>
  <c r="J126" i="64"/>
  <c r="K126" i="64"/>
  <c r="L126" i="64"/>
  <c r="G127" i="64"/>
  <c r="H127" i="64"/>
  <c r="I127" i="64"/>
  <c r="J127" i="64"/>
  <c r="K127" i="64"/>
  <c r="L127" i="64"/>
  <c r="K128" i="64"/>
  <c r="L128" i="64"/>
  <c r="M128" i="64"/>
  <c r="N128" i="64"/>
  <c r="O128" i="64"/>
  <c r="P128" i="64"/>
  <c r="Q128" i="64"/>
  <c r="R128" i="64"/>
  <c r="G134" i="64"/>
  <c r="H134" i="64"/>
  <c r="I134" i="64"/>
  <c r="J134" i="64"/>
  <c r="K134" i="64"/>
  <c r="L134" i="64"/>
  <c r="K11" i="63"/>
  <c r="L11" i="63"/>
  <c r="K14" i="63"/>
  <c r="L14" i="63"/>
  <c r="M14" i="63"/>
  <c r="N14" i="63"/>
  <c r="O14" i="63"/>
  <c r="P14" i="63"/>
  <c r="Q14" i="63"/>
  <c r="R14" i="63"/>
  <c r="A15" i="63"/>
  <c r="K15" i="63"/>
  <c r="L15" i="63"/>
  <c r="M15" i="63"/>
  <c r="N15" i="63"/>
  <c r="O15" i="63"/>
  <c r="P15" i="63"/>
  <c r="Q15" i="63"/>
  <c r="R15" i="63"/>
  <c r="A16" i="63"/>
  <c r="K16" i="63"/>
  <c r="L16" i="63"/>
  <c r="K17" i="63"/>
  <c r="L17" i="63"/>
  <c r="M17" i="63"/>
  <c r="N17" i="63"/>
  <c r="O17" i="63"/>
  <c r="P17" i="63"/>
  <c r="Q17" i="63"/>
  <c r="R17" i="63"/>
  <c r="A18" i="63"/>
  <c r="K18" i="63"/>
  <c r="L18" i="63"/>
  <c r="M18" i="63"/>
  <c r="N18" i="63"/>
  <c r="O18" i="63"/>
  <c r="P18" i="63"/>
  <c r="Q18" i="63"/>
  <c r="R18" i="63"/>
  <c r="A19" i="63"/>
  <c r="A20" i="63" s="1"/>
  <c r="A21" i="63" s="1"/>
  <c r="A22" i="63" s="1"/>
  <c r="A23" i="63" s="1"/>
  <c r="G19" i="63"/>
  <c r="H19" i="63"/>
  <c r="I19" i="63"/>
  <c r="J19" i="63"/>
  <c r="K19" i="63"/>
  <c r="L19" i="63"/>
  <c r="G20" i="63"/>
  <c r="H20" i="63"/>
  <c r="I20" i="63"/>
  <c r="J20" i="63"/>
  <c r="K20" i="63"/>
  <c r="L20" i="63"/>
  <c r="G21" i="63"/>
  <c r="H21" i="63"/>
  <c r="I21" i="63"/>
  <c r="J21" i="63"/>
  <c r="K21" i="63"/>
  <c r="L21" i="63"/>
  <c r="G22" i="63"/>
  <c r="H22" i="63"/>
  <c r="I22" i="63"/>
  <c r="J22" i="63"/>
  <c r="K22" i="63"/>
  <c r="L22" i="63"/>
  <c r="G23" i="63"/>
  <c r="H23" i="63"/>
  <c r="I23" i="63"/>
  <c r="J23" i="63"/>
  <c r="K23" i="63"/>
  <c r="L23" i="63"/>
  <c r="G24" i="63"/>
  <c r="H24" i="63"/>
  <c r="I24" i="63"/>
  <c r="J24" i="63"/>
  <c r="K24" i="63"/>
  <c r="L24" i="63"/>
  <c r="K25" i="63"/>
  <c r="L25" i="63"/>
  <c r="M25" i="63"/>
  <c r="N25" i="63"/>
  <c r="O25" i="63"/>
  <c r="P25" i="63"/>
  <c r="Q25" i="63"/>
  <c r="R25" i="63"/>
  <c r="K36" i="63"/>
  <c r="L36" i="63"/>
  <c r="M36" i="63"/>
  <c r="N36" i="63"/>
  <c r="O36" i="63"/>
  <c r="P36" i="63"/>
  <c r="Q36" i="63"/>
  <c r="R36" i="63"/>
  <c r="K39" i="63"/>
  <c r="L39" i="63"/>
  <c r="M39" i="63"/>
  <c r="N39" i="63"/>
  <c r="O39" i="63"/>
  <c r="P39" i="63"/>
  <c r="Q39" i="63"/>
  <c r="R39" i="63"/>
  <c r="A40" i="63"/>
  <c r="A41" i="63" s="1"/>
  <c r="K40" i="63"/>
  <c r="L40" i="63"/>
  <c r="M40" i="63"/>
  <c r="N40" i="63"/>
  <c r="O40" i="63"/>
  <c r="P40" i="63"/>
  <c r="Q40" i="63"/>
  <c r="R40" i="63"/>
  <c r="K41" i="63"/>
  <c r="L41" i="63"/>
  <c r="K42" i="63"/>
  <c r="L42" i="63"/>
  <c r="M42" i="63"/>
  <c r="N42" i="63"/>
  <c r="O42" i="63"/>
  <c r="P42" i="63"/>
  <c r="Q42" i="63"/>
  <c r="R42" i="63"/>
  <c r="A43" i="63"/>
  <c r="K43" i="63"/>
  <c r="L43" i="63"/>
  <c r="M43" i="63"/>
  <c r="N43" i="63"/>
  <c r="O43" i="63"/>
  <c r="P43" i="63"/>
  <c r="Q43" i="63"/>
  <c r="R43" i="63"/>
  <c r="A44" i="63"/>
  <c r="A45" i="63" s="1"/>
  <c r="A46" i="63" s="1"/>
  <c r="A47" i="63" s="1"/>
  <c r="A48" i="63" s="1"/>
  <c r="G44" i="63"/>
  <c r="H44" i="63"/>
  <c r="I44" i="63"/>
  <c r="J44" i="63"/>
  <c r="K44" i="63"/>
  <c r="L44" i="63"/>
  <c r="G45" i="63"/>
  <c r="H45" i="63"/>
  <c r="I45" i="63"/>
  <c r="J45" i="63"/>
  <c r="K45" i="63"/>
  <c r="L45" i="63"/>
  <c r="G46" i="63"/>
  <c r="H46" i="63"/>
  <c r="I46" i="63"/>
  <c r="J46" i="63"/>
  <c r="K46" i="63"/>
  <c r="L46" i="63"/>
  <c r="G47" i="63"/>
  <c r="H47" i="63"/>
  <c r="I47" i="63"/>
  <c r="J47" i="63"/>
  <c r="K47" i="63"/>
  <c r="L47" i="63"/>
  <c r="G48" i="63"/>
  <c r="H48" i="63"/>
  <c r="I48" i="63"/>
  <c r="J48" i="63"/>
  <c r="K48" i="63"/>
  <c r="L48" i="63"/>
  <c r="G49" i="63"/>
  <c r="H49" i="63"/>
  <c r="I49" i="63"/>
  <c r="J49" i="63"/>
  <c r="K49" i="63"/>
  <c r="L49" i="63"/>
  <c r="K50" i="63"/>
  <c r="L50" i="63"/>
  <c r="M50" i="63"/>
  <c r="N50" i="63"/>
  <c r="O50" i="63"/>
  <c r="P50" i="63"/>
  <c r="Q50" i="63"/>
  <c r="R50" i="63"/>
  <c r="G64" i="63"/>
  <c r="H64" i="63"/>
  <c r="I64" i="63"/>
  <c r="J64" i="63"/>
  <c r="K64" i="63"/>
  <c r="L64" i="63"/>
  <c r="G65" i="63"/>
  <c r="H65" i="63"/>
  <c r="I65" i="63"/>
  <c r="J65" i="63"/>
  <c r="K65" i="63"/>
  <c r="L65" i="63"/>
  <c r="G77" i="63"/>
  <c r="H77" i="63"/>
  <c r="I77" i="63"/>
  <c r="J77" i="63"/>
  <c r="M77" i="63"/>
  <c r="N77" i="63"/>
  <c r="O77" i="63"/>
  <c r="P77" i="63"/>
  <c r="Q77" i="63"/>
  <c r="R77" i="63"/>
  <c r="K78" i="63"/>
  <c r="L78" i="63"/>
  <c r="M78" i="63"/>
  <c r="N78" i="63"/>
  <c r="O78" i="63"/>
  <c r="P78" i="63"/>
  <c r="Q78" i="63"/>
  <c r="R78" i="63"/>
  <c r="K81" i="63"/>
  <c r="L81" i="63"/>
  <c r="M81" i="63"/>
  <c r="N81" i="63"/>
  <c r="O81" i="63"/>
  <c r="P81" i="63"/>
  <c r="Q81" i="63"/>
  <c r="R81" i="63"/>
  <c r="K83" i="63"/>
  <c r="L83" i="63"/>
  <c r="M83" i="63"/>
  <c r="N83" i="63"/>
  <c r="O83" i="63"/>
  <c r="P83" i="63"/>
  <c r="Q83" i="63"/>
  <c r="R83" i="63"/>
  <c r="K84" i="63"/>
  <c r="L84" i="63"/>
  <c r="M84" i="63"/>
  <c r="N84" i="63"/>
  <c r="O84" i="63"/>
  <c r="P84" i="63"/>
  <c r="Q84" i="63"/>
  <c r="R84" i="63"/>
  <c r="K85" i="63"/>
  <c r="L85" i="63"/>
  <c r="M85" i="63"/>
  <c r="N85" i="63"/>
  <c r="O85" i="63"/>
  <c r="P85" i="63"/>
  <c r="Q85" i="63"/>
  <c r="R85" i="63"/>
  <c r="G86" i="63"/>
  <c r="H86" i="63"/>
  <c r="I86" i="63"/>
  <c r="J86" i="63"/>
  <c r="K86" i="63"/>
  <c r="L86" i="63"/>
  <c r="G87" i="63"/>
  <c r="H87" i="63"/>
  <c r="I87" i="63"/>
  <c r="J87" i="63"/>
  <c r="K87" i="63"/>
  <c r="L87" i="63"/>
  <c r="K89" i="63"/>
  <c r="L89" i="63"/>
  <c r="M89" i="63"/>
  <c r="N89" i="63"/>
  <c r="O89" i="63"/>
  <c r="P89" i="63"/>
  <c r="Q89" i="63"/>
  <c r="R89" i="63"/>
  <c r="K92" i="63"/>
  <c r="L92" i="63"/>
  <c r="M92" i="63"/>
  <c r="N92" i="63"/>
  <c r="O92" i="63"/>
  <c r="P92" i="63"/>
  <c r="Q92" i="63"/>
  <c r="R92" i="63"/>
  <c r="G93" i="63"/>
  <c r="H93" i="63"/>
  <c r="I93" i="63"/>
  <c r="J93" i="63"/>
  <c r="K93" i="63"/>
  <c r="L93" i="63"/>
  <c r="G94" i="63"/>
  <c r="H94" i="63"/>
  <c r="I94" i="63"/>
  <c r="J94" i="63"/>
  <c r="K94" i="63"/>
  <c r="L94" i="63"/>
  <c r="K95" i="63"/>
  <c r="L95" i="63"/>
  <c r="M95" i="63"/>
  <c r="N95" i="63"/>
  <c r="O95" i="63"/>
  <c r="P95" i="63"/>
  <c r="Q95" i="63"/>
  <c r="R95" i="63"/>
  <c r="G99" i="63"/>
  <c r="H99" i="63"/>
  <c r="I99" i="63"/>
  <c r="J99" i="63"/>
  <c r="K99" i="63"/>
  <c r="L99" i="63"/>
  <c r="G100" i="63"/>
  <c r="H100" i="63"/>
  <c r="I100" i="63"/>
  <c r="J100" i="63"/>
  <c r="K100" i="63"/>
  <c r="L100" i="63"/>
  <c r="G101" i="63"/>
  <c r="H101" i="63"/>
  <c r="I101" i="63"/>
  <c r="J101" i="63"/>
  <c r="K101" i="63"/>
  <c r="L101" i="63"/>
  <c r="G102" i="63"/>
  <c r="H102" i="63"/>
  <c r="I102" i="63"/>
  <c r="J102" i="63"/>
  <c r="K102" i="63"/>
  <c r="L102" i="63"/>
  <c r="G103" i="63"/>
  <c r="H103" i="63"/>
  <c r="I103" i="63"/>
  <c r="J103" i="63"/>
  <c r="K103" i="63"/>
  <c r="L103" i="63"/>
  <c r="G104" i="63"/>
  <c r="H104" i="63"/>
  <c r="I104" i="63"/>
  <c r="J104" i="63"/>
  <c r="K104" i="63"/>
  <c r="L104" i="63"/>
  <c r="G105" i="63"/>
  <c r="H105" i="63"/>
  <c r="I105" i="63"/>
  <c r="J105" i="63"/>
  <c r="K105" i="63"/>
  <c r="L105" i="63"/>
  <c r="G106" i="63"/>
  <c r="H106" i="63"/>
  <c r="I106" i="63"/>
  <c r="J106" i="63"/>
  <c r="K106" i="63"/>
  <c r="L106" i="63"/>
  <c r="G107" i="63"/>
  <c r="H107" i="63"/>
  <c r="I107" i="63"/>
  <c r="J107" i="63"/>
  <c r="K107" i="63"/>
  <c r="L107" i="63"/>
  <c r="K114" i="63"/>
  <c r="L114" i="63"/>
  <c r="M114" i="63"/>
  <c r="N114" i="63"/>
  <c r="O114" i="63"/>
  <c r="P114" i="63"/>
  <c r="Q114" i="63"/>
  <c r="R114" i="63"/>
  <c r="K117" i="63"/>
  <c r="L117" i="63"/>
  <c r="M117" i="63"/>
  <c r="N117" i="63"/>
  <c r="O117" i="63"/>
  <c r="P117" i="63"/>
  <c r="Q117" i="63"/>
  <c r="R117" i="63"/>
  <c r="K118" i="63"/>
  <c r="L118" i="63"/>
  <c r="M118" i="63"/>
  <c r="N118" i="63"/>
  <c r="O118" i="63"/>
  <c r="P118" i="63"/>
  <c r="Q118" i="63"/>
  <c r="R118" i="63"/>
  <c r="K119" i="63"/>
  <c r="L119" i="63"/>
  <c r="K120" i="63"/>
  <c r="L120" i="63"/>
  <c r="M120" i="63"/>
  <c r="N120" i="63"/>
  <c r="O120" i="63"/>
  <c r="P120" i="63"/>
  <c r="Q120" i="63"/>
  <c r="R120" i="63"/>
  <c r="K121" i="63"/>
  <c r="L121" i="63"/>
  <c r="M121" i="63"/>
  <c r="N121" i="63"/>
  <c r="O121" i="63"/>
  <c r="P121" i="63"/>
  <c r="Q121" i="63"/>
  <c r="R121" i="63"/>
  <c r="G122" i="63"/>
  <c r="H122" i="63"/>
  <c r="I122" i="63"/>
  <c r="J122" i="63"/>
  <c r="K122" i="63"/>
  <c r="L122" i="63"/>
  <c r="G123" i="63"/>
  <c r="H123" i="63"/>
  <c r="I123" i="63"/>
  <c r="J123" i="63"/>
  <c r="K123" i="63"/>
  <c r="L123" i="63"/>
  <c r="G124" i="63"/>
  <c r="H124" i="63"/>
  <c r="I124" i="63"/>
  <c r="J124" i="63"/>
  <c r="K124" i="63"/>
  <c r="L124" i="63"/>
  <c r="G125" i="63"/>
  <c r="H125" i="63"/>
  <c r="I125" i="63"/>
  <c r="J125" i="63"/>
  <c r="K125" i="63"/>
  <c r="L125" i="63"/>
  <c r="G126" i="63"/>
  <c r="H126" i="63"/>
  <c r="I126" i="63"/>
  <c r="J126" i="63"/>
  <c r="K126" i="63"/>
  <c r="L126" i="63"/>
  <c r="G127" i="63"/>
  <c r="H127" i="63"/>
  <c r="I127" i="63"/>
  <c r="J127" i="63"/>
  <c r="K127" i="63"/>
  <c r="L127" i="63"/>
  <c r="K128" i="63"/>
  <c r="L128" i="63"/>
  <c r="M128" i="63"/>
  <c r="N128" i="63"/>
  <c r="O128" i="63"/>
  <c r="P128" i="63"/>
  <c r="Q128" i="63"/>
  <c r="R128" i="63"/>
  <c r="G134" i="63"/>
  <c r="H134" i="63"/>
  <c r="I134" i="63"/>
  <c r="J134" i="63"/>
  <c r="K134" i="63"/>
  <c r="L134" i="63"/>
  <c r="C24" i="62"/>
  <c r="A25" i="62"/>
  <c r="A26" i="62" s="1"/>
  <c r="C25" i="62"/>
  <c r="J26" i="62"/>
  <c r="C27" i="62"/>
  <c r="A28" i="62"/>
  <c r="C28" i="62"/>
  <c r="A29" i="62"/>
  <c r="A30" i="62" s="1"/>
  <c r="A31" i="62" s="1"/>
  <c r="A32" i="62" s="1"/>
  <c r="A33" i="62" s="1"/>
  <c r="C29" i="62"/>
  <c r="C30" i="62"/>
  <c r="C31" i="62"/>
  <c r="C32" i="62"/>
  <c r="C33" i="62"/>
  <c r="C34" i="62"/>
  <c r="C35" i="62"/>
  <c r="C59" i="62"/>
  <c r="C60" i="62"/>
  <c r="C61" i="62"/>
  <c r="C62" i="62"/>
  <c r="C63" i="62"/>
  <c r="C67" i="62"/>
  <c r="A68" i="62"/>
  <c r="C68" i="62"/>
  <c r="A69" i="62"/>
  <c r="J69" i="62"/>
  <c r="E69" i="62" s="1"/>
  <c r="C70" i="62"/>
  <c r="A71" i="62"/>
  <c r="A72" i="62" s="1"/>
  <c r="A73" i="62" s="1"/>
  <c r="A74" i="62" s="1"/>
  <c r="A75" i="62" s="1"/>
  <c r="A76" i="62" s="1"/>
  <c r="C71" i="62"/>
  <c r="C72" i="62"/>
  <c r="C73" i="62"/>
  <c r="C74" i="62"/>
  <c r="C75" i="62"/>
  <c r="C76" i="62"/>
  <c r="C77" i="62"/>
  <c r="C78" i="62"/>
  <c r="C101" i="62"/>
  <c r="C102" i="62"/>
  <c r="D106" i="62"/>
  <c r="E106" i="62"/>
  <c r="F106" i="62"/>
  <c r="G106" i="62"/>
  <c r="H106" i="62"/>
  <c r="I106" i="62"/>
  <c r="J106" i="62"/>
  <c r="N122" i="56" s="1"/>
  <c r="K106" i="62"/>
  <c r="L106" i="62"/>
  <c r="M106" i="62"/>
  <c r="N106" i="62"/>
  <c r="O106" i="62"/>
  <c r="D107" i="62"/>
  <c r="E107" i="62"/>
  <c r="F107" i="62"/>
  <c r="G107" i="62"/>
  <c r="H107" i="62"/>
  <c r="I107" i="62"/>
  <c r="J107" i="62"/>
  <c r="K107" i="62"/>
  <c r="L107" i="62"/>
  <c r="M107" i="62"/>
  <c r="N107" i="62"/>
  <c r="O107" i="62"/>
  <c r="C121" i="62"/>
  <c r="C122" i="62"/>
  <c r="C123" i="62"/>
  <c r="C127" i="62"/>
  <c r="C128" i="62"/>
  <c r="C129" i="62"/>
  <c r="C130" i="62"/>
  <c r="D143" i="62"/>
  <c r="E143" i="62"/>
  <c r="F143" i="62"/>
  <c r="G143" i="62"/>
  <c r="K28" i="57" s="1"/>
  <c r="H143" i="62"/>
  <c r="I143" i="62"/>
  <c r="J143" i="62"/>
  <c r="K143" i="62"/>
  <c r="L143" i="62"/>
  <c r="M143" i="62"/>
  <c r="N143" i="62"/>
  <c r="O143" i="62"/>
  <c r="D144" i="62"/>
  <c r="F144" i="62"/>
  <c r="G144" i="62"/>
  <c r="H144" i="62"/>
  <c r="I144" i="62"/>
  <c r="K144" i="62"/>
  <c r="L144" i="62"/>
  <c r="M144" i="62"/>
  <c r="N144" i="62"/>
  <c r="O144" i="62"/>
  <c r="C155" i="62"/>
  <c r="C156" i="62"/>
  <c r="C157" i="62"/>
  <c r="C158" i="62"/>
  <c r="C159" i="62"/>
  <c r="C160" i="62"/>
  <c r="D164" i="62"/>
  <c r="E164" i="62"/>
  <c r="E170" i="62" s="1"/>
  <c r="F164" i="62"/>
  <c r="F170" i="62" s="1"/>
  <c r="G164" i="62"/>
  <c r="G170" i="62" s="1"/>
  <c r="H164" i="62"/>
  <c r="H170" i="62" s="1"/>
  <c r="I164" i="62"/>
  <c r="I170" i="62" s="1"/>
  <c r="J164" i="62"/>
  <c r="J170" i="62" s="1"/>
  <c r="K164" i="62"/>
  <c r="K170" i="62" s="1"/>
  <c r="L164" i="62"/>
  <c r="M164" i="62"/>
  <c r="M170" i="62" s="1"/>
  <c r="N164" i="62"/>
  <c r="N170" i="62" s="1"/>
  <c r="O164" i="62"/>
  <c r="O170" i="62" s="1"/>
  <c r="C186" i="62"/>
  <c r="C187" i="62"/>
  <c r="C188" i="62"/>
  <c r="C189" i="62"/>
  <c r="C190" i="62"/>
  <c r="C194" i="62"/>
  <c r="C195" i="62"/>
  <c r="J196" i="62"/>
  <c r="C197" i="62"/>
  <c r="C198" i="62"/>
  <c r="C199" i="62"/>
  <c r="C200" i="62"/>
  <c r="C201" i="62"/>
  <c r="C202" i="62"/>
  <c r="C203" i="62"/>
  <c r="C204" i="62"/>
  <c r="C205" i="62"/>
  <c r="C222" i="62"/>
  <c r="K20" i="56"/>
  <c r="A20" i="61"/>
  <c r="I23" i="56"/>
  <c r="A23" i="61"/>
  <c r="A24" i="61" s="1"/>
  <c r="I25" i="56"/>
  <c r="A25" i="61"/>
  <c r="H64" i="56"/>
  <c r="H65" i="56"/>
  <c r="I66" i="56"/>
  <c r="I67" i="56"/>
  <c r="A70" i="61"/>
  <c r="J72" i="56"/>
  <c r="A71" i="61"/>
  <c r="M73" i="56"/>
  <c r="N74" i="56"/>
  <c r="A73" i="61"/>
  <c r="I75" i="56"/>
  <c r="A74" i="61"/>
  <c r="A75" i="61" s="1"/>
  <c r="O76" i="56"/>
  <c r="I77" i="56"/>
  <c r="K78" i="56"/>
  <c r="L79" i="56"/>
  <c r="J80" i="56"/>
  <c r="L81" i="56"/>
  <c r="R82" i="56"/>
  <c r="P115" i="56"/>
  <c r="H116" i="56"/>
  <c r="L7" i="57"/>
  <c r="H8" i="57"/>
  <c r="Q14" i="57"/>
  <c r="P19" i="57"/>
  <c r="M21" i="57"/>
  <c r="O24" i="57"/>
  <c r="I25" i="57"/>
  <c r="Q27" i="57"/>
  <c r="M30" i="57"/>
  <c r="Q32" i="57"/>
  <c r="I33" i="57"/>
  <c r="M37" i="57"/>
  <c r="I38" i="57"/>
  <c r="R39" i="57"/>
  <c r="K40" i="57"/>
  <c r="J41" i="57"/>
  <c r="M44" i="57"/>
  <c r="R45" i="57"/>
  <c r="Q75" i="57"/>
  <c r="L76" i="57"/>
  <c r="J78" i="57"/>
  <c r="K83" i="57"/>
  <c r="K85" i="57"/>
  <c r="O86" i="57"/>
  <c r="I87" i="57"/>
  <c r="H88" i="57"/>
  <c r="J89" i="57"/>
  <c r="N90" i="57"/>
  <c r="J92" i="57"/>
  <c r="F17" i="59"/>
  <c r="I17" i="59"/>
  <c r="L17" i="59"/>
  <c r="L13" i="59" s="1"/>
  <c r="A25" i="59"/>
  <c r="A26" i="59" s="1"/>
  <c r="A27" i="59" s="1"/>
  <c r="A28" i="59" s="1"/>
  <c r="A29" i="59" s="1"/>
  <c r="H25" i="59"/>
  <c r="K25" i="59"/>
  <c r="N25" i="59"/>
  <c r="H26" i="59"/>
  <c r="K26" i="59"/>
  <c r="N26" i="59"/>
  <c r="H27" i="59"/>
  <c r="K27" i="59"/>
  <c r="N27" i="59"/>
  <c r="H28" i="59"/>
  <c r="K28" i="59"/>
  <c r="N28" i="59"/>
  <c r="H29" i="59"/>
  <c r="K29" i="59"/>
  <c r="N29" i="59"/>
  <c r="A30" i="59"/>
  <c r="A31" i="59" s="1"/>
  <c r="A32" i="59" s="1"/>
  <c r="A33" i="59" s="1"/>
  <c r="A34" i="59" s="1"/>
  <c r="A35" i="59" s="1"/>
  <c r="A36" i="59" s="1"/>
  <c r="A37" i="59" s="1"/>
  <c r="H30" i="59"/>
  <c r="K30" i="59"/>
  <c r="N30" i="59"/>
  <c r="H31" i="59"/>
  <c r="K31" i="59"/>
  <c r="N31" i="59"/>
  <c r="H32" i="59"/>
  <c r="K32" i="59"/>
  <c r="N32" i="59"/>
  <c r="H33" i="59"/>
  <c r="K33" i="59"/>
  <c r="N33" i="59"/>
  <c r="H34" i="59"/>
  <c r="K34" i="59"/>
  <c r="N34" i="59"/>
  <c r="H36" i="59"/>
  <c r="K36" i="59"/>
  <c r="N36" i="59"/>
  <c r="H37" i="59"/>
  <c r="K37" i="59"/>
  <c r="N37" i="59"/>
  <c r="A41" i="59"/>
  <c r="A42" i="59"/>
  <c r="A43" i="59"/>
  <c r="A44" i="59"/>
  <c r="A45" i="59" s="1"/>
  <c r="A46" i="59" s="1"/>
  <c r="G46" i="59"/>
  <c r="J46" i="59"/>
  <c r="M46" i="59"/>
  <c r="A47" i="59"/>
  <c r="A48" i="59"/>
  <c r="A49" i="59" s="1"/>
  <c r="A52" i="59"/>
  <c r="E52" i="59"/>
  <c r="A53" i="59"/>
  <c r="A54" i="59"/>
  <c r="A55" i="59" s="1"/>
  <c r="A56" i="59" s="1"/>
  <c r="A57" i="59" s="1"/>
  <c r="A58" i="59" s="1"/>
  <c r="A59" i="59" s="1"/>
  <c r="A60" i="59" s="1"/>
  <c r="G55" i="59"/>
  <c r="H55" i="59"/>
  <c r="J55" i="59"/>
  <c r="K55" i="59"/>
  <c r="M55" i="59"/>
  <c r="N55" i="59"/>
  <c r="F60" i="59"/>
  <c r="I60" i="59"/>
  <c r="L60" i="59"/>
  <c r="G26" i="52" s="1"/>
  <c r="B66" i="59"/>
  <c r="C66" i="59"/>
  <c r="A67" i="59"/>
  <c r="B67" i="59"/>
  <c r="C67" i="59"/>
  <c r="A68" i="59"/>
  <c r="B68" i="59"/>
  <c r="C68" i="59"/>
  <c r="A69" i="59"/>
  <c r="A70" i="59" s="1"/>
  <c r="A71" i="59" s="1"/>
  <c r="A72" i="59" s="1"/>
  <c r="A73" i="59" s="1"/>
  <c r="A74" i="59" s="1"/>
  <c r="A75" i="59" s="1"/>
  <c r="A76" i="59" s="1"/>
  <c r="A77" i="59" s="1"/>
  <c r="A78" i="59" s="1"/>
  <c r="A79" i="59" s="1"/>
  <c r="A81" i="59" s="1"/>
  <c r="A82" i="59" s="1"/>
  <c r="A83" i="59" s="1"/>
  <c r="A84" i="59" s="1"/>
  <c r="A85" i="59" s="1"/>
  <c r="A86" i="59" s="1"/>
  <c r="A87" i="59" s="1"/>
  <c r="A88" i="59" s="1"/>
  <c r="A89" i="59" s="1"/>
  <c r="A91" i="59" s="1"/>
  <c r="A92" i="59" s="1"/>
  <c r="A93" i="59" s="1"/>
  <c r="A94" i="59" s="1"/>
  <c r="A95" i="59" s="1"/>
  <c r="A96" i="59" s="1"/>
  <c r="A97" i="59" s="1"/>
  <c r="A98" i="59" s="1"/>
  <c r="A99" i="59" s="1"/>
  <c r="B69" i="59"/>
  <c r="C69" i="59"/>
  <c r="B70" i="59"/>
  <c r="C70" i="59"/>
  <c r="B71" i="59"/>
  <c r="C71" i="59"/>
  <c r="B72" i="59"/>
  <c r="C72" i="59"/>
  <c r="B73" i="59"/>
  <c r="C73" i="59"/>
  <c r="B74" i="59"/>
  <c r="C74" i="59"/>
  <c r="B75" i="59"/>
  <c r="C75" i="59"/>
  <c r="B76" i="59"/>
  <c r="C76" i="59"/>
  <c r="B77" i="59"/>
  <c r="C77" i="59"/>
  <c r="B79" i="59"/>
  <c r="C79" i="59"/>
  <c r="B81" i="59"/>
  <c r="C81" i="59"/>
  <c r="D81" i="59"/>
  <c r="D82" i="59" s="1"/>
  <c r="D83" i="59" s="1"/>
  <c r="B82" i="59"/>
  <c r="C82" i="59"/>
  <c r="B83" i="59"/>
  <c r="C83" i="59"/>
  <c r="B84" i="59"/>
  <c r="C84" i="59"/>
  <c r="D84" i="59"/>
  <c r="D85" i="59" s="1"/>
  <c r="D86" i="59" s="1"/>
  <c r="D87" i="59" s="1"/>
  <c r="D88" i="59" s="1"/>
  <c r="D89" i="59" s="1"/>
  <c r="D91" i="59" s="1"/>
  <c r="D92" i="59" s="1"/>
  <c r="D93" i="59" s="1"/>
  <c r="D94" i="59" s="1"/>
  <c r="D95" i="59" s="1"/>
  <c r="D96" i="59" s="1"/>
  <c r="D97" i="59" s="1"/>
  <c r="D98" i="59" s="1"/>
  <c r="D99" i="59" s="1"/>
  <c r="B85" i="59"/>
  <c r="C85" i="59"/>
  <c r="B86" i="59"/>
  <c r="C86" i="59"/>
  <c r="B87" i="59"/>
  <c r="C87" i="59"/>
  <c r="B88" i="59"/>
  <c r="C88" i="59"/>
  <c r="B91" i="59"/>
  <c r="B92" i="59"/>
  <c r="E92" i="59"/>
  <c r="B93" i="59"/>
  <c r="B94" i="59"/>
  <c r="B95" i="59"/>
  <c r="B96" i="59"/>
  <c r="A7" i="58"/>
  <c r="A8" i="58"/>
  <c r="A9" i="58"/>
  <c r="A10" i="58"/>
  <c r="A11" i="58" s="1"/>
  <c r="A12" i="58" s="1"/>
  <c r="A13" i="58"/>
  <c r="A14" i="58" s="1"/>
  <c r="A15" i="58" s="1"/>
  <c r="A16" i="58" s="1"/>
  <c r="A17" i="58" s="1"/>
  <c r="A18" i="58" s="1"/>
  <c r="A19" i="58" s="1"/>
  <c r="A20" i="58" s="1"/>
  <c r="A21" i="58" s="1"/>
  <c r="A22" i="58" s="1"/>
  <c r="A23" i="58" s="1"/>
  <c r="A24" i="58" s="1"/>
  <c r="A25" i="58" s="1"/>
  <c r="A26" i="58" s="1"/>
  <c r="A27" i="58" s="1"/>
  <c r="A28" i="58" s="1"/>
  <c r="A29" i="58" s="1"/>
  <c r="A30" i="58" s="1"/>
  <c r="A31" i="58" s="1"/>
  <c r="A32" i="58" s="1"/>
  <c r="A33" i="58" s="1"/>
  <c r="A34" i="58" s="1"/>
  <c r="A35" i="58" s="1"/>
  <c r="A36" i="58" s="1"/>
  <c r="A37" i="58" s="1"/>
  <c r="A38" i="58" s="1"/>
  <c r="A39" i="58" s="1"/>
  <c r="A40" i="58" s="1"/>
  <c r="A41" i="58" s="1"/>
  <c r="A42" i="58" s="1"/>
  <c r="A43" i="58" s="1"/>
  <c r="A44" i="58" s="1"/>
  <c r="A45" i="58" s="1"/>
  <c r="A46" i="58" s="1"/>
  <c r="A47" i="58" s="1"/>
  <c r="A48" i="58" s="1"/>
  <c r="A49" i="58" s="1"/>
  <c r="A50" i="58" s="1"/>
  <c r="A51" i="58" s="1"/>
  <c r="A52" i="58" s="1"/>
  <c r="A53" i="58" s="1"/>
  <c r="A54" i="58" s="1"/>
  <c r="A55" i="58" s="1"/>
  <c r="A56" i="58" s="1"/>
  <c r="A7" i="57"/>
  <c r="A8" i="57"/>
  <c r="A9" i="57" s="1"/>
  <c r="A10" i="57"/>
  <c r="A11" i="57"/>
  <c r="A12" i="57" s="1"/>
  <c r="A13" i="57" s="1"/>
  <c r="A14" i="57" s="1"/>
  <c r="A15" i="57" s="1"/>
  <c r="A16" i="57" s="1"/>
  <c r="A17" i="57" s="1"/>
  <c r="A18" i="57" s="1"/>
  <c r="A19" i="57" s="1"/>
  <c r="A20" i="57" s="1"/>
  <c r="A21" i="57" s="1"/>
  <c r="A22" i="57" s="1"/>
  <c r="A23" i="57" s="1"/>
  <c r="A24" i="57" s="1"/>
  <c r="A25" i="57" s="1"/>
  <c r="A26" i="57" s="1"/>
  <c r="A27" i="57" s="1"/>
  <c r="A28" i="57" s="1"/>
  <c r="A29" i="57" s="1"/>
  <c r="A30" i="57" s="1"/>
  <c r="A31" i="57" s="1"/>
  <c r="A32" i="57" s="1"/>
  <c r="A33" i="57" s="1"/>
  <c r="A34" i="57" s="1"/>
  <c r="A35" i="57" s="1"/>
  <c r="A36" i="57" s="1"/>
  <c r="A37" i="57" s="1"/>
  <c r="A38" i="57" s="1"/>
  <c r="A39" i="57" s="1"/>
  <c r="A40" i="57" s="1"/>
  <c r="A41" i="57" s="1"/>
  <c r="A42" i="57" s="1"/>
  <c r="A43" i="57" s="1"/>
  <c r="A44" i="57" s="1"/>
  <c r="A45" i="57" s="1"/>
  <c r="A46" i="57" s="1"/>
  <c r="A47" i="57" s="1"/>
  <c r="A48" i="57" s="1"/>
  <c r="A49" i="57" s="1"/>
  <c r="H24" i="57"/>
  <c r="I24" i="57"/>
  <c r="J24" i="57"/>
  <c r="K24" i="57"/>
  <c r="L24" i="57"/>
  <c r="M24" i="57"/>
  <c r="N24" i="57"/>
  <c r="P24" i="57"/>
  <c r="Q24" i="57"/>
  <c r="R24" i="57"/>
  <c r="S24" i="57"/>
  <c r="A52" i="57"/>
  <c r="A53" i="57"/>
  <c r="A54" i="57"/>
  <c r="A55" i="57" s="1"/>
  <c r="A56" i="57" s="1"/>
  <c r="A58" i="57" s="1"/>
  <c r="A57" i="57"/>
  <c r="A59" i="57" s="1"/>
  <c r="A60" i="57" s="1"/>
  <c r="A61" i="57"/>
  <c r="A62" i="57" s="1"/>
  <c r="A63" i="57" s="1"/>
  <c r="A64" i="57" s="1"/>
  <c r="A65" i="57" s="1"/>
  <c r="A66" i="57" s="1"/>
  <c r="A67" i="57" s="1"/>
  <c r="A68" i="57" s="1"/>
  <c r="A69" i="57" s="1"/>
  <c r="A70" i="57" s="1"/>
  <c r="A71" i="57" s="1"/>
  <c r="A72" i="57" s="1"/>
  <c r="A73" i="57" s="1"/>
  <c r="A74" i="57" s="1"/>
  <c r="A75" i="57" s="1"/>
  <c r="A76" i="57" s="1"/>
  <c r="A77" i="57" s="1"/>
  <c r="A78" i="57" s="1"/>
  <c r="A79" i="57" s="1"/>
  <c r="A80" i="57"/>
  <c r="A81" i="57" s="1"/>
  <c r="A82" i="57" s="1"/>
  <c r="A83" i="57" s="1"/>
  <c r="A84" i="57" s="1"/>
  <c r="A85" i="57" s="1"/>
  <c r="A86" i="57" s="1"/>
  <c r="A87" i="57" s="1"/>
  <c r="A88" i="57" s="1"/>
  <c r="A89" i="57" s="1"/>
  <c r="A90" i="57" s="1"/>
  <c r="A91" i="57" s="1"/>
  <c r="A92" i="57" s="1"/>
  <c r="A93" i="57" s="1"/>
  <c r="A94" i="57" s="1"/>
  <c r="A95" i="57" s="1"/>
  <c r="A96" i="57" s="1"/>
  <c r="A97" i="57" s="1"/>
  <c r="U96" i="57"/>
  <c r="A101" i="57"/>
  <c r="A102" i="57" s="1"/>
  <c r="A105" i="57" s="1"/>
  <c r="A106" i="57" s="1"/>
  <c r="A107" i="57" s="1"/>
  <c r="A108" i="57" s="1"/>
  <c r="A109" i="57" s="1"/>
  <c r="A110" i="57" s="1"/>
  <c r="A111" i="57" s="1"/>
  <c r="A112" i="57" s="1"/>
  <c r="A113" i="57" s="1"/>
  <c r="A114" i="57" s="1"/>
  <c r="A115" i="57" s="1"/>
  <c r="A116" i="57" s="1"/>
  <c r="A117" i="57" s="1"/>
  <c r="A118" i="57" s="1"/>
  <c r="A119" i="57" s="1"/>
  <c r="A120" i="57" s="1"/>
  <c r="A121" i="57" s="1"/>
  <c r="A122" i="57" s="1"/>
  <c r="A123" i="57" s="1"/>
  <c r="A124" i="57" s="1"/>
  <c r="A125" i="57" s="1"/>
  <c r="A126" i="57" s="1"/>
  <c r="A127" i="57" s="1"/>
  <c r="A128" i="57" s="1"/>
  <c r="A129" i="57" s="1"/>
  <c r="A130" i="57" s="1"/>
  <c r="A131" i="57" s="1"/>
  <c r="A132" i="57" s="1"/>
  <c r="A133" i="57" s="1"/>
  <c r="A134" i="57" s="1"/>
  <c r="A135" i="57" s="1"/>
  <c r="A136" i="57" s="1"/>
  <c r="A8" i="56"/>
  <c r="A9" i="56"/>
  <c r="A10" i="56"/>
  <c r="A11" i="56"/>
  <c r="A12" i="56" s="1"/>
  <c r="A13" i="56" s="1"/>
  <c r="A14" i="56" s="1"/>
  <c r="A15" i="56" s="1"/>
  <c r="A16" i="56" s="1"/>
  <c r="A17" i="56" s="1"/>
  <c r="A18" i="56" s="1"/>
  <c r="A19" i="56" s="1"/>
  <c r="A20" i="56" s="1"/>
  <c r="A21" i="56" s="1"/>
  <c r="A22" i="56" s="1"/>
  <c r="A23" i="56" s="1"/>
  <c r="A24" i="56" s="1"/>
  <c r="A25" i="56" s="1"/>
  <c r="A26" i="56" s="1"/>
  <c r="A27" i="56" s="1"/>
  <c r="A28" i="56" s="1"/>
  <c r="A29" i="56" s="1"/>
  <c r="A30" i="56" s="1"/>
  <c r="A31" i="56" s="1"/>
  <c r="A32" i="56" s="1"/>
  <c r="A33" i="56" s="1"/>
  <c r="A34" i="56" s="1"/>
  <c r="A35" i="56" s="1"/>
  <c r="A36" i="56" s="1"/>
  <c r="A37" i="56" s="1"/>
  <c r="A38" i="56" s="1"/>
  <c r="A39" i="56" s="1"/>
  <c r="A40" i="56" s="1"/>
  <c r="A41" i="56" s="1"/>
  <c r="A42" i="56" s="1"/>
  <c r="A43" i="56" s="1"/>
  <c r="A44" i="56" s="1"/>
  <c r="A45" i="56" s="1"/>
  <c r="A46" i="56" s="1"/>
  <c r="A47" i="56" s="1"/>
  <c r="A48" i="56" s="1"/>
  <c r="A49" i="56" s="1"/>
  <c r="A50" i="56" s="1"/>
  <c r="A51" i="56" s="1"/>
  <c r="A52" i="56" s="1"/>
  <c r="A53" i="56" s="1"/>
  <c r="A54" i="56" s="1"/>
  <c r="F12" i="56"/>
  <c r="F13" i="56"/>
  <c r="F14" i="56"/>
  <c r="F15" i="56"/>
  <c r="F16" i="56"/>
  <c r="J17" i="56"/>
  <c r="J51" i="56" s="1"/>
  <c r="K17" i="56"/>
  <c r="L17" i="56"/>
  <c r="M17" i="56"/>
  <c r="M51" i="56" s="1"/>
  <c r="M34" i="56" s="1"/>
  <c r="O17" i="56"/>
  <c r="P17" i="56"/>
  <c r="P51" i="56" s="1"/>
  <c r="Q17" i="56"/>
  <c r="R17" i="56"/>
  <c r="R51" i="56" s="1"/>
  <c r="R34" i="56" s="1"/>
  <c r="S17" i="56"/>
  <c r="F20" i="56"/>
  <c r="G20" i="56"/>
  <c r="F21" i="56"/>
  <c r="G21" i="56"/>
  <c r="F22" i="56"/>
  <c r="F23" i="56"/>
  <c r="G23" i="56"/>
  <c r="F24" i="56"/>
  <c r="G24" i="56"/>
  <c r="F25" i="56"/>
  <c r="F26" i="56"/>
  <c r="F27" i="56"/>
  <c r="F28" i="56"/>
  <c r="F29" i="56"/>
  <c r="F30" i="56"/>
  <c r="F31" i="56"/>
  <c r="G31" i="56"/>
  <c r="F32" i="56"/>
  <c r="T21" i="54" s="1"/>
  <c r="H32" i="56"/>
  <c r="L32" i="56"/>
  <c r="M32" i="56"/>
  <c r="Q32" i="56"/>
  <c r="R32" i="56"/>
  <c r="S32" i="56"/>
  <c r="K51" i="56"/>
  <c r="L51" i="56"/>
  <c r="O51" i="56"/>
  <c r="Q51" i="56"/>
  <c r="Q34" i="56" s="1"/>
  <c r="S51" i="56"/>
  <c r="S34" i="56" s="1"/>
  <c r="F52" i="56"/>
  <c r="H52" i="56"/>
  <c r="M52" i="56"/>
  <c r="Q52" i="56"/>
  <c r="R52" i="56"/>
  <c r="S52" i="56"/>
  <c r="A59" i="56"/>
  <c r="A60" i="56" s="1"/>
  <c r="A61" i="56" s="1"/>
  <c r="A62" i="56"/>
  <c r="A63" i="56" s="1"/>
  <c r="A64" i="56" s="1"/>
  <c r="A65" i="56" s="1"/>
  <c r="A66" i="56" s="1"/>
  <c r="A67" i="56" s="1"/>
  <c r="A68" i="56" s="1"/>
  <c r="A69" i="56" s="1"/>
  <c r="A70" i="56" s="1"/>
  <c r="A71" i="56" s="1"/>
  <c r="A72" i="56" s="1"/>
  <c r="A73" i="56" s="1"/>
  <c r="A74" i="56" s="1"/>
  <c r="A75" i="56" s="1"/>
  <c r="A76" i="56" s="1"/>
  <c r="A77" i="56" s="1"/>
  <c r="A78" i="56" s="1"/>
  <c r="A79" i="56" s="1"/>
  <c r="A80" i="56" s="1"/>
  <c r="A81" i="56" s="1"/>
  <c r="A82" i="56" s="1"/>
  <c r="A83" i="56" s="1"/>
  <c r="A84" i="56" s="1"/>
  <c r="A85" i="56" s="1"/>
  <c r="A86" i="56" s="1"/>
  <c r="A87" i="56" s="1"/>
  <c r="A88" i="56" s="1"/>
  <c r="A89" i="56" s="1"/>
  <c r="A90" i="56" s="1"/>
  <c r="A91" i="56" s="1"/>
  <c r="A92" i="56" s="1"/>
  <c r="A93" i="56" s="1"/>
  <c r="A94" i="56" s="1"/>
  <c r="A95" i="56" s="1"/>
  <c r="A96" i="56" s="1"/>
  <c r="A97" i="56" s="1"/>
  <c r="A98" i="56" s="1"/>
  <c r="A99" i="56" s="1"/>
  <c r="A100" i="56" s="1"/>
  <c r="A101" i="56" s="1"/>
  <c r="A102" i="56" s="1"/>
  <c r="A103" i="56" s="1"/>
  <c r="A104" i="56" s="1"/>
  <c r="A105" i="56" s="1"/>
  <c r="A106" i="56" s="1"/>
  <c r="A107" i="56" s="1"/>
  <c r="A108" i="56" s="1"/>
  <c r="A109" i="56" s="1"/>
  <c r="A110" i="56" s="1"/>
  <c r="A111" i="56" s="1"/>
  <c r="A112" i="56" s="1"/>
  <c r="A113" i="56" s="1"/>
  <c r="A114" i="56" s="1"/>
  <c r="A115" i="56" s="1"/>
  <c r="A116" i="56" s="1"/>
  <c r="A117" i="56" s="1"/>
  <c r="A118" i="56" s="1"/>
  <c r="A119" i="56" s="1"/>
  <c r="A120" i="56" s="1"/>
  <c r="A121" i="56" s="1"/>
  <c r="A122" i="56" s="1"/>
  <c r="A123" i="56" s="1"/>
  <c r="A125" i="56" s="1"/>
  <c r="A126" i="56" s="1"/>
  <c r="A127" i="56" s="1"/>
  <c r="A128" i="56" s="1"/>
  <c r="A129" i="56" s="1"/>
  <c r="A130" i="56" s="1"/>
  <c r="A131" i="56" s="1"/>
  <c r="A132" i="56" s="1"/>
  <c r="A133" i="56" s="1"/>
  <c r="F63" i="56"/>
  <c r="G63" i="56"/>
  <c r="F64" i="56"/>
  <c r="G64" i="56"/>
  <c r="F65" i="56"/>
  <c r="G65" i="56"/>
  <c r="F66" i="56"/>
  <c r="G66" i="56"/>
  <c r="H66" i="56"/>
  <c r="F67" i="56"/>
  <c r="G67" i="56"/>
  <c r="G68" i="56"/>
  <c r="J68" i="56"/>
  <c r="J100" i="56" s="1"/>
  <c r="K68" i="56"/>
  <c r="L68" i="56"/>
  <c r="L100" i="56" s="1"/>
  <c r="M68" i="56"/>
  <c r="N68" i="56"/>
  <c r="N100" i="56" s="1"/>
  <c r="O68" i="56"/>
  <c r="P68" i="56"/>
  <c r="Q68" i="56"/>
  <c r="R68" i="56"/>
  <c r="R100" i="56" s="1"/>
  <c r="S68" i="56"/>
  <c r="L73" i="56"/>
  <c r="O73" i="56"/>
  <c r="P73" i="56"/>
  <c r="I79" i="56"/>
  <c r="J79" i="56"/>
  <c r="K79" i="56"/>
  <c r="Q79" i="56"/>
  <c r="R79" i="56"/>
  <c r="S79" i="56"/>
  <c r="G100" i="56"/>
  <c r="K100" i="56"/>
  <c r="M100" i="56"/>
  <c r="O100" i="56"/>
  <c r="P100" i="56"/>
  <c r="Q100" i="56"/>
  <c r="S100" i="56"/>
  <c r="L116" i="56"/>
  <c r="Q116" i="56"/>
  <c r="R116" i="56"/>
  <c r="S116" i="56"/>
  <c r="E5" i="55"/>
  <c r="A6" i="55"/>
  <c r="A7" i="55" s="1"/>
  <c r="A8" i="55" s="1"/>
  <c r="A9" i="55" s="1"/>
  <c r="A10" i="55" s="1"/>
  <c r="A11" i="55" s="1"/>
  <c r="A12" i="55" s="1"/>
  <c r="A13" i="55" s="1"/>
  <c r="A14" i="55" s="1"/>
  <c r="A15" i="55" s="1"/>
  <c r="A16" i="55" s="1"/>
  <c r="A17" i="55" s="1"/>
  <c r="A18" i="55" s="1"/>
  <c r="A19" i="55" s="1"/>
  <c r="A20" i="55" s="1"/>
  <c r="A21" i="55" s="1"/>
  <c r="A22" i="55" s="1"/>
  <c r="A23" i="55" s="1"/>
  <c r="A24" i="55" s="1"/>
  <c r="A25" i="55" s="1"/>
  <c r="A26" i="55" s="1"/>
  <c r="A27" i="55" s="1"/>
  <c r="A28" i="55" s="1"/>
  <c r="A29" i="55" s="1"/>
  <c r="A30" i="55" s="1"/>
  <c r="A31" i="55" s="1"/>
  <c r="A32" i="55" s="1"/>
  <c r="A33" i="55" s="1"/>
  <c r="A34" i="55" s="1"/>
  <c r="A35" i="55" s="1"/>
  <c r="A36" i="55" s="1"/>
  <c r="A37" i="55" s="1"/>
  <c r="A38" i="55" s="1"/>
  <c r="A39" i="55" s="1"/>
  <c r="A40" i="55" s="1"/>
  <c r="E6" i="55"/>
  <c r="E7" i="55"/>
  <c r="E10" i="55"/>
  <c r="E13" i="55"/>
  <c r="E14" i="55"/>
  <c r="E15" i="55"/>
  <c r="E16" i="55"/>
  <c r="E17" i="55"/>
  <c r="E18" i="55"/>
  <c r="E19" i="55"/>
  <c r="E20" i="55"/>
  <c r="E21" i="55"/>
  <c r="E22" i="55"/>
  <c r="E23" i="55"/>
  <c r="E24" i="55"/>
  <c r="E25" i="55"/>
  <c r="E26" i="55"/>
  <c r="E27" i="55"/>
  <c r="E31" i="55"/>
  <c r="E32" i="55"/>
  <c r="E33" i="55"/>
  <c r="E34" i="55"/>
  <c r="E35" i="55"/>
  <c r="E36" i="55"/>
  <c r="E37" i="55"/>
  <c r="E38" i="55"/>
  <c r="E39" i="55"/>
  <c r="A41" i="55"/>
  <c r="A42" i="55" s="1"/>
  <c r="A43" i="55" s="1"/>
  <c r="A44" i="55" s="1"/>
  <c r="A45" i="55" s="1"/>
  <c r="A46" i="55" s="1"/>
  <c r="A47" i="55" s="1"/>
  <c r="E43" i="55"/>
  <c r="E44" i="55"/>
  <c r="E45" i="55"/>
  <c r="E46" i="55"/>
  <c r="E47" i="55"/>
  <c r="E48" i="55"/>
  <c r="E49" i="55"/>
  <c r="E50" i="55"/>
  <c r="E51" i="55"/>
  <c r="E52" i="55"/>
  <c r="E53" i="55"/>
  <c r="E54" i="55"/>
  <c r="E61" i="55"/>
  <c r="A62" i="55"/>
  <c r="E62" i="55"/>
  <c r="A63" i="55"/>
  <c r="E63" i="55"/>
  <c r="A64" i="55"/>
  <c r="A65" i="55"/>
  <c r="A66" i="55"/>
  <c r="A67" i="55" s="1"/>
  <c r="A68" i="55" s="1"/>
  <c r="A69" i="55" s="1"/>
  <c r="A70" i="55" s="1"/>
  <c r="A71" i="55" s="1"/>
  <c r="A72" i="55" s="1"/>
  <c r="A73" i="55" s="1"/>
  <c r="A74" i="55" s="1"/>
  <c r="A75" i="55" s="1"/>
  <c r="A76" i="55" s="1"/>
  <c r="A77" i="55" s="1"/>
  <c r="A78" i="55" s="1"/>
  <c r="A79" i="55" s="1"/>
  <c r="A80" i="55" s="1"/>
  <c r="A81" i="55" s="1"/>
  <c r="A82" i="55" s="1"/>
  <c r="A83" i="55" s="1"/>
  <c r="A84" i="55" s="1"/>
  <c r="A85" i="55" s="1"/>
  <c r="A86" i="55" s="1"/>
  <c r="A87" i="55" s="1"/>
  <c r="A88" i="55" s="1"/>
  <c r="A89" i="55" s="1"/>
  <c r="A90" i="55" s="1"/>
  <c r="A91" i="55" s="1"/>
  <c r="A92" i="55" s="1"/>
  <c r="A93" i="55" s="1"/>
  <c r="A94" i="55" s="1"/>
  <c r="A95" i="55" s="1"/>
  <c r="A96" i="55" s="1"/>
  <c r="A97" i="55" s="1"/>
  <c r="A98" i="55" s="1"/>
  <c r="A99" i="55" s="1"/>
  <c r="A100" i="55" s="1"/>
  <c r="A101" i="55" s="1"/>
  <c r="A102" i="55" s="1"/>
  <c r="A103" i="55" s="1"/>
  <c r="A104" i="55" s="1"/>
  <c r="A105" i="55" s="1"/>
  <c r="A106" i="55" s="1"/>
  <c r="A107" i="55" s="1"/>
  <c r="E66" i="55"/>
  <c r="E69" i="55"/>
  <c r="E70" i="55"/>
  <c r="E71" i="55"/>
  <c r="E72" i="55"/>
  <c r="E73" i="55"/>
  <c r="E74" i="55"/>
  <c r="E75" i="55"/>
  <c r="E76" i="55"/>
  <c r="E77" i="55"/>
  <c r="E78" i="55"/>
  <c r="E79" i="55"/>
  <c r="E80" i="55"/>
  <c r="E83" i="55"/>
  <c r="E92" i="55"/>
  <c r="E95" i="55"/>
  <c r="E96" i="55"/>
  <c r="E100" i="55"/>
  <c r="E101" i="55"/>
  <c r="E102" i="55"/>
  <c r="E4" i="54"/>
  <c r="A5" i="54"/>
  <c r="A6" i="54"/>
  <c r="E6" i="54"/>
  <c r="A7" i="54"/>
  <c r="A8" i="54" s="1"/>
  <c r="A9" i="54" s="1"/>
  <c r="A10" i="54" s="1"/>
  <c r="A11" i="54" s="1"/>
  <c r="A12" i="54" s="1"/>
  <c r="A13" i="54" s="1"/>
  <c r="A14" i="54" s="1"/>
  <c r="A15" i="54" s="1"/>
  <c r="A16" i="54" s="1"/>
  <c r="A17" i="54" s="1"/>
  <c r="A18" i="54" s="1"/>
  <c r="A19" i="54" s="1"/>
  <c r="A20" i="54" s="1"/>
  <c r="A21" i="54" s="1"/>
  <c r="A22" i="54" s="1"/>
  <c r="A23" i="54" s="1"/>
  <c r="A24" i="54" s="1"/>
  <c r="A25" i="54" s="1"/>
  <c r="A26" i="54" s="1"/>
  <c r="A27" i="54" s="1"/>
  <c r="A28" i="54" s="1"/>
  <c r="A29" i="54" s="1"/>
  <c r="A30" i="54" s="1"/>
  <c r="A31" i="54" s="1"/>
  <c r="A32" i="54" s="1"/>
  <c r="A33" i="54" s="1"/>
  <c r="A34" i="54" s="1"/>
  <c r="A35" i="54" s="1"/>
  <c r="A36" i="54" s="1"/>
  <c r="A37" i="54" s="1"/>
  <c r="A38" i="54" s="1"/>
  <c r="A39" i="54" s="1"/>
  <c r="A40" i="54" s="1"/>
  <c r="A41" i="54" s="1"/>
  <c r="A42" i="54" s="1"/>
  <c r="A43" i="54" s="1"/>
  <c r="A44" i="54" s="1"/>
  <c r="A45" i="54" s="1"/>
  <c r="A46" i="54" s="1"/>
  <c r="A47" i="54" s="1"/>
  <c r="A48" i="54" s="1"/>
  <c r="A49" i="54" s="1"/>
  <c r="A50" i="54" s="1"/>
  <c r="A51" i="54" s="1"/>
  <c r="A52" i="54" s="1"/>
  <c r="A53" i="54" s="1"/>
  <c r="A54" i="54" s="1"/>
  <c r="D9" i="54"/>
  <c r="E9" i="54"/>
  <c r="D10" i="54"/>
  <c r="E10" i="54"/>
  <c r="D11" i="54"/>
  <c r="E11" i="54" s="1"/>
  <c r="D12" i="54"/>
  <c r="E12" i="54" s="1"/>
  <c r="D13" i="54"/>
  <c r="E13" i="54"/>
  <c r="E14" i="54"/>
  <c r="E15" i="54"/>
  <c r="E16" i="54"/>
  <c r="E17" i="54"/>
  <c r="E18" i="54"/>
  <c r="E19" i="54"/>
  <c r="E20" i="54"/>
  <c r="E23" i="54"/>
  <c r="E31" i="54"/>
  <c r="E33" i="54"/>
  <c r="D36" i="54"/>
  <c r="E36" i="54"/>
  <c r="B37" i="54"/>
  <c r="B38" i="54" s="1"/>
  <c r="D37" i="54"/>
  <c r="E37" i="54"/>
  <c r="D38" i="54"/>
  <c r="E38" i="54"/>
  <c r="D39" i="54"/>
  <c r="E39" i="54"/>
  <c r="B40" i="54"/>
  <c r="B41" i="54" s="1"/>
  <c r="D40" i="54"/>
  <c r="E40" i="54" s="1"/>
  <c r="E41" i="54"/>
  <c r="B42" i="54"/>
  <c r="B43" i="54" s="1"/>
  <c r="B44" i="54" s="1"/>
  <c r="B45" i="54" s="1"/>
  <c r="E42" i="54"/>
  <c r="E43" i="54"/>
  <c r="E44" i="54"/>
  <c r="E45" i="54"/>
  <c r="E46" i="54"/>
  <c r="D47" i="54"/>
  <c r="E47" i="54"/>
  <c r="E50" i="54"/>
  <c r="E57" i="54"/>
  <c r="A58" i="54"/>
  <c r="E58" i="54"/>
  <c r="A59" i="54"/>
  <c r="E59" i="54"/>
  <c r="A60" i="54"/>
  <c r="A61" i="54" s="1"/>
  <c r="A62" i="54" s="1"/>
  <c r="A63" i="54" s="1"/>
  <c r="A64" i="54" s="1"/>
  <c r="A65" i="54" s="1"/>
  <c r="A66" i="54" s="1"/>
  <c r="A67" i="54" s="1"/>
  <c r="A69" i="54" s="1"/>
  <c r="A70" i="54" s="1"/>
  <c r="A71" i="54" s="1"/>
  <c r="A72" i="54" s="1"/>
  <c r="A73" i="54" s="1"/>
  <c r="A74" i="54" s="1"/>
  <c r="A75" i="54" s="1"/>
  <c r="E63" i="54"/>
  <c r="E64" i="54"/>
  <c r="E68" i="54"/>
  <c r="E69" i="54"/>
  <c r="E70" i="54"/>
  <c r="E73" i="54"/>
  <c r="A5" i="53"/>
  <c r="A6" i="53"/>
  <c r="A7" i="53"/>
  <c r="A8" i="53"/>
  <c r="A9" i="53" s="1"/>
  <c r="A10" i="53" s="1"/>
  <c r="A11" i="53" s="1"/>
  <c r="A12" i="53" s="1"/>
  <c r="A13" i="53" s="1"/>
  <c r="A14" i="53"/>
  <c r="A15" i="53" s="1"/>
  <c r="A16" i="53" s="1"/>
  <c r="A17" i="53" s="1"/>
  <c r="A18" i="53" s="1"/>
  <c r="A19" i="53" s="1"/>
  <c r="A20" i="53" s="1"/>
  <c r="A21" i="53" s="1"/>
  <c r="A22" i="53" s="1"/>
  <c r="A23" i="53" s="1"/>
  <c r="A24" i="53" s="1"/>
  <c r="A25" i="53" s="1"/>
  <c r="A26" i="53" s="1"/>
  <c r="A27" i="53" s="1"/>
  <c r="A28" i="53" s="1"/>
  <c r="A29" i="53" s="1"/>
  <c r="A30" i="53" s="1"/>
  <c r="A31" i="53" s="1"/>
  <c r="A32" i="53" s="1"/>
  <c r="A33" i="53" s="1"/>
  <c r="A34" i="53" s="1"/>
  <c r="A35" i="53" s="1"/>
  <c r="A36" i="53" s="1"/>
  <c r="A37" i="53" s="1"/>
  <c r="A38" i="53" s="1"/>
  <c r="A39" i="53" s="1"/>
  <c r="A40" i="53" s="1"/>
  <c r="A41" i="53" s="1"/>
  <c r="A42" i="53" s="1"/>
  <c r="A43" i="53" s="1"/>
  <c r="A44" i="53" s="1"/>
  <c r="A45" i="53" s="1"/>
  <c r="G20" i="53"/>
  <c r="H42" i="53"/>
  <c r="A5" i="52"/>
  <c r="A6" i="52"/>
  <c r="A7" i="52"/>
  <c r="A8" i="52"/>
  <c r="A9" i="52" s="1"/>
  <c r="A10" i="52"/>
  <c r="A11" i="52" s="1"/>
  <c r="A12" i="52" s="1"/>
  <c r="A13" i="52" s="1"/>
  <c r="A14" i="52" s="1"/>
  <c r="A15" i="52" s="1"/>
  <c r="A16" i="52" s="1"/>
  <c r="A17" i="52" s="1"/>
  <c r="A18" i="52" s="1"/>
  <c r="A19" i="52" s="1"/>
  <c r="A20" i="52" s="1"/>
  <c r="A21" i="52" s="1"/>
  <c r="A22" i="52" s="1"/>
  <c r="A23" i="52" s="1"/>
  <c r="A24" i="52" s="1"/>
  <c r="A25" i="52" s="1"/>
  <c r="A26" i="52" s="1"/>
  <c r="A27" i="52" s="1"/>
  <c r="A28" i="52" s="1"/>
  <c r="A29" i="52" s="1"/>
  <c r="A30" i="52" s="1"/>
  <c r="A31" i="52" s="1"/>
  <c r="A32" i="52" s="1"/>
  <c r="A33" i="52" s="1"/>
  <c r="A34" i="52" s="1"/>
  <c r="A35" i="52" s="1"/>
  <c r="A36" i="52" s="1"/>
  <c r="A37" i="52" s="1"/>
  <c r="A38" i="52" s="1"/>
  <c r="A39" i="52" s="1"/>
  <c r="A40" i="52" s="1"/>
  <c r="A41" i="52" s="1"/>
  <c r="A42" i="52" s="1"/>
  <c r="A43" i="52" s="1"/>
  <c r="A44" i="52" s="1"/>
  <c r="A45" i="52" s="1"/>
  <c r="G27" i="53" l="1"/>
  <c r="O51" i="57"/>
  <c r="K73" i="56"/>
  <c r="J73" i="56"/>
  <c r="H73" i="56"/>
  <c r="S73" i="56"/>
  <c r="Q86" i="57"/>
  <c r="S86" i="57"/>
  <c r="R73" i="56"/>
  <c r="N86" i="57"/>
  <c r="J115" i="56"/>
  <c r="J81" i="56"/>
  <c r="N79" i="56"/>
  <c r="M40" i="57"/>
  <c r="S8" i="57"/>
  <c r="J122" i="56"/>
  <c r="P79" i="56"/>
  <c r="L51" i="57"/>
  <c r="I81" i="56"/>
  <c r="M79" i="56"/>
  <c r="F79" i="56" s="1"/>
  <c r="J40" i="57"/>
  <c r="K57" i="57"/>
  <c r="E26" i="62"/>
  <c r="N14" i="56"/>
  <c r="G14" i="56" s="1"/>
  <c r="N13" i="56"/>
  <c r="G13" i="56" s="1"/>
  <c r="N15" i="56"/>
  <c r="G15" i="56" s="1"/>
  <c r="N16" i="56"/>
  <c r="G16" i="56" s="1"/>
  <c r="N12" i="56"/>
  <c r="H79" i="56"/>
  <c r="E79" i="56" s="1"/>
  <c r="O79" i="56"/>
  <c r="H81" i="56"/>
  <c r="I40" i="57"/>
  <c r="O28" i="57"/>
  <c r="R74" i="56"/>
  <c r="J85" i="57"/>
  <c r="O82" i="56"/>
  <c r="I73" i="56"/>
  <c r="S74" i="56"/>
  <c r="J25" i="56"/>
  <c r="R87" i="57"/>
  <c r="H85" i="57"/>
  <c r="S87" i="57"/>
  <c r="Q87" i="57"/>
  <c r="S7" i="57"/>
  <c r="M87" i="57"/>
  <c r="R85" i="57"/>
  <c r="L87" i="57"/>
  <c r="P85" i="57"/>
  <c r="R19" i="57"/>
  <c r="P74" i="56"/>
  <c r="O80" i="56"/>
  <c r="L74" i="56"/>
  <c r="S57" i="57"/>
  <c r="K74" i="56"/>
  <c r="K87" i="57"/>
  <c r="M85" i="57"/>
  <c r="L57" i="57"/>
  <c r="Q19" i="57"/>
  <c r="J74" i="56"/>
  <c r="J87" i="57"/>
  <c r="L85" i="57"/>
  <c r="Q28" i="57"/>
  <c r="H74" i="56"/>
  <c r="H87" i="57"/>
  <c r="P28" i="57"/>
  <c r="M80" i="56"/>
  <c r="I74" i="56"/>
  <c r="K80" i="56"/>
  <c r="S80" i="56"/>
  <c r="I80" i="56"/>
  <c r="R80" i="56"/>
  <c r="H80" i="56"/>
  <c r="I65" i="56"/>
  <c r="E65" i="56" s="1"/>
  <c r="D65" i="56" s="1"/>
  <c r="U65" i="56" s="1"/>
  <c r="L80" i="56"/>
  <c r="Q80" i="56"/>
  <c r="K38" i="57"/>
  <c r="P80" i="56"/>
  <c r="N73" i="56"/>
  <c r="M76" i="56"/>
  <c r="L82" i="56"/>
  <c r="K76" i="56"/>
  <c r="S90" i="57"/>
  <c r="K82" i="56"/>
  <c r="S81" i="56"/>
  <c r="K90" i="57"/>
  <c r="O32" i="57"/>
  <c r="H27" i="57"/>
  <c r="Q82" i="56"/>
  <c r="P81" i="56"/>
  <c r="H16" i="56"/>
  <c r="L89" i="57"/>
  <c r="N32" i="57"/>
  <c r="P82" i="56"/>
  <c r="K81" i="56"/>
  <c r="L32" i="57"/>
  <c r="H15" i="56"/>
  <c r="N7" i="57"/>
  <c r="Q90" i="57"/>
  <c r="M78" i="57"/>
  <c r="L27" i="57"/>
  <c r="M82" i="56"/>
  <c r="E20" i="53"/>
  <c r="J82" i="56"/>
  <c r="O90" i="57"/>
  <c r="L78" i="57"/>
  <c r="P32" i="57"/>
  <c r="K27" i="57"/>
  <c r="J6" i="57"/>
  <c r="L6" i="57"/>
  <c r="H6" i="57"/>
  <c r="K6" i="57"/>
  <c r="N6" i="57"/>
  <c r="P6" i="57"/>
  <c r="I6" i="57"/>
  <c r="S6" i="57"/>
  <c r="I115" i="56"/>
  <c r="Q45" i="57"/>
  <c r="N82" i="56"/>
  <c r="R78" i="56"/>
  <c r="M90" i="57"/>
  <c r="Q44" i="57"/>
  <c r="M28" i="57"/>
  <c r="S78" i="56"/>
  <c r="I78" i="57"/>
  <c r="H45" i="57"/>
  <c r="S21" i="57"/>
  <c r="P78" i="56"/>
  <c r="J83" i="57"/>
  <c r="H115" i="56"/>
  <c r="R115" i="56"/>
  <c r="R117" i="56" s="1"/>
  <c r="I83" i="57"/>
  <c r="L44" i="57"/>
  <c r="F44" i="57" s="1"/>
  <c r="R14" i="57"/>
  <c r="L83" i="57"/>
  <c r="I78" i="56"/>
  <c r="P87" i="57"/>
  <c r="P78" i="57"/>
  <c r="O27" i="57"/>
  <c r="Q78" i="56"/>
  <c r="N44" i="57"/>
  <c r="L28" i="57"/>
  <c r="S115" i="56"/>
  <c r="S117" i="56" s="1"/>
  <c r="I64" i="56"/>
  <c r="E64" i="56" s="1"/>
  <c r="D64" i="56" s="1"/>
  <c r="U64" i="56" s="1"/>
  <c r="Q115" i="56"/>
  <c r="Q117" i="56" s="1"/>
  <c r="M78" i="56"/>
  <c r="S41" i="57"/>
  <c r="R27" i="57"/>
  <c r="E25" i="59"/>
  <c r="N67" i="59" s="1"/>
  <c r="N115" i="56"/>
  <c r="H82" i="56"/>
  <c r="R92" i="57"/>
  <c r="I41" i="57"/>
  <c r="M115" i="56"/>
  <c r="S82" i="56"/>
  <c r="H77" i="56"/>
  <c r="I20" i="56"/>
  <c r="E20" i="56" s="1"/>
  <c r="D20" i="56" s="1"/>
  <c r="K9" i="54" s="1"/>
  <c r="I92" i="57"/>
  <c r="O87" i="57"/>
  <c r="O78" i="57"/>
  <c r="R40" i="57"/>
  <c r="N27" i="57"/>
  <c r="H28" i="57"/>
  <c r="O122" i="56"/>
  <c r="O78" i="56"/>
  <c r="S27" i="57"/>
  <c r="O115" i="56"/>
  <c r="I82" i="56"/>
  <c r="I72" i="56"/>
  <c r="Q78" i="57"/>
  <c r="P27" i="57"/>
  <c r="N35" i="59"/>
  <c r="K115" i="56"/>
  <c r="H92" i="57"/>
  <c r="N87" i="57"/>
  <c r="N78" i="57"/>
  <c r="M51" i="57"/>
  <c r="O40" i="57"/>
  <c r="M27" i="57"/>
  <c r="N85" i="57"/>
  <c r="S28" i="57"/>
  <c r="E11" i="92"/>
  <c r="E12" i="90"/>
  <c r="E9" i="97"/>
  <c r="E10" i="84"/>
  <c r="E10" i="67"/>
  <c r="E10" i="78"/>
  <c r="F9" i="87"/>
  <c r="F11" i="90"/>
  <c r="F10" i="94"/>
  <c r="E10" i="88"/>
  <c r="F9" i="81"/>
  <c r="E9" i="85"/>
  <c r="E11" i="87"/>
  <c r="E9" i="76"/>
  <c r="E11" i="94"/>
  <c r="E9" i="93"/>
  <c r="E11" i="91"/>
  <c r="F13" i="99"/>
  <c r="E10" i="96"/>
  <c r="F11" i="89"/>
  <c r="F9" i="85"/>
  <c r="F10" i="84"/>
  <c r="D13" i="83"/>
  <c r="F9" i="76"/>
  <c r="K2" i="83"/>
  <c r="G10" i="83"/>
  <c r="E9" i="72"/>
  <c r="F13" i="75"/>
  <c r="E9" i="68"/>
  <c r="H8" i="83"/>
  <c r="H10" i="83"/>
  <c r="K3" i="83"/>
  <c r="F10" i="73"/>
  <c r="E14" i="77"/>
  <c r="G13" i="77" s="1"/>
  <c r="F9" i="71"/>
  <c r="F9" i="72"/>
  <c r="E9" i="70"/>
  <c r="F10" i="66"/>
  <c r="F10" i="67"/>
  <c r="F9" i="96"/>
  <c r="F9" i="91"/>
  <c r="E10" i="86"/>
  <c r="H9" i="83"/>
  <c r="F10" i="78"/>
  <c r="F14" i="77"/>
  <c r="H13" i="77"/>
  <c r="H8" i="77"/>
  <c r="E11" i="81"/>
  <c r="F9" i="86"/>
  <c r="F9" i="74"/>
  <c r="G12" i="77"/>
  <c r="H9" i="69"/>
  <c r="F10" i="69"/>
  <c r="D55" i="82"/>
  <c r="E10" i="80"/>
  <c r="F9" i="70"/>
  <c r="E10" i="95"/>
  <c r="H7" i="83"/>
  <c r="F10" i="98"/>
  <c r="E10" i="98"/>
  <c r="F12" i="88"/>
  <c r="F11" i="93"/>
  <c r="G8" i="77"/>
  <c r="G10" i="77"/>
  <c r="E9" i="73"/>
  <c r="F9" i="80"/>
  <c r="E9" i="74"/>
  <c r="E9" i="71"/>
  <c r="E9" i="89"/>
  <c r="E12" i="75"/>
  <c r="F11" i="95"/>
  <c r="E11" i="99"/>
  <c r="E10" i="82"/>
  <c r="F13" i="97"/>
  <c r="F11" i="92"/>
  <c r="F10" i="68"/>
  <c r="E10" i="79"/>
  <c r="F10" i="79"/>
  <c r="G9" i="69"/>
  <c r="E10" i="69"/>
  <c r="E10" i="66"/>
  <c r="O84" i="57"/>
  <c r="K84" i="57"/>
  <c r="H84" i="57"/>
  <c r="I84" i="57"/>
  <c r="J84" i="57"/>
  <c r="L84" i="57"/>
  <c r="Q84" i="57"/>
  <c r="S84" i="57"/>
  <c r="J93" i="57"/>
  <c r="H93" i="57"/>
  <c r="P93" i="57"/>
  <c r="I79" i="57"/>
  <c r="K79" i="57"/>
  <c r="O79" i="57"/>
  <c r="P79" i="57"/>
  <c r="Q79" i="57"/>
  <c r="S79" i="57"/>
  <c r="H13" i="56"/>
  <c r="J94" i="57"/>
  <c r="P94" i="57"/>
  <c r="Q94" i="57"/>
  <c r="R94" i="57"/>
  <c r="S94" i="57"/>
  <c r="J30" i="56"/>
  <c r="P30" i="56"/>
  <c r="G30" i="56" s="1"/>
  <c r="N94" i="57"/>
  <c r="S77" i="57"/>
  <c r="N77" i="57"/>
  <c r="O77" i="57"/>
  <c r="Q77" i="57"/>
  <c r="R93" i="57"/>
  <c r="O19" i="57"/>
  <c r="H19" i="57"/>
  <c r="I19" i="57"/>
  <c r="M19" i="57"/>
  <c r="J19" i="57"/>
  <c r="K19" i="57"/>
  <c r="L19" i="57"/>
  <c r="N19" i="57"/>
  <c r="K15" i="57"/>
  <c r="M15" i="57"/>
  <c r="S14" i="57"/>
  <c r="P14" i="57"/>
  <c r="N14" i="57"/>
  <c r="H14" i="57"/>
  <c r="J14" i="57"/>
  <c r="M14" i="57"/>
  <c r="O14" i="57"/>
  <c r="N123" i="56"/>
  <c r="H39" i="57"/>
  <c r="P39" i="57"/>
  <c r="M39" i="57"/>
  <c r="O39" i="57"/>
  <c r="Q39" i="57"/>
  <c r="N38" i="57"/>
  <c r="O38" i="57"/>
  <c r="P38" i="57"/>
  <c r="Q38" i="57"/>
  <c r="I13" i="57"/>
  <c r="K13" i="57"/>
  <c r="N13" i="57"/>
  <c r="S13" i="57"/>
  <c r="O94" i="57"/>
  <c r="J23" i="56"/>
  <c r="N51" i="57"/>
  <c r="K37" i="57"/>
  <c r="H37" i="57"/>
  <c r="I37" i="57"/>
  <c r="J37" i="57"/>
  <c r="L37" i="57"/>
  <c r="F37" i="57" s="1"/>
  <c r="K23" i="56"/>
  <c r="H83" i="57"/>
  <c r="M57" i="57"/>
  <c r="S45" i="57"/>
  <c r="M32" i="57"/>
  <c r="P116" i="56"/>
  <c r="P117" i="56" s="1"/>
  <c r="R81" i="56"/>
  <c r="K32" i="57"/>
  <c r="K25" i="57"/>
  <c r="R7" i="57"/>
  <c r="E37" i="59"/>
  <c r="J79" i="59" s="1"/>
  <c r="C58" i="61"/>
  <c r="C99" i="61" s="1"/>
  <c r="N25" i="56"/>
  <c r="G25" i="56" s="1"/>
  <c r="P45" i="57"/>
  <c r="N116" i="56"/>
  <c r="Q81" i="56"/>
  <c r="K25" i="56"/>
  <c r="S92" i="57"/>
  <c r="L90" i="57"/>
  <c r="K78" i="57"/>
  <c r="O45" i="57"/>
  <c r="J32" i="57"/>
  <c r="J25" i="57"/>
  <c r="Q7" i="57"/>
  <c r="S123" i="56"/>
  <c r="N45" i="57"/>
  <c r="I32" i="57"/>
  <c r="Q25" i="57"/>
  <c r="Q57" i="57"/>
  <c r="Q123" i="56"/>
  <c r="J116" i="56"/>
  <c r="O81" i="56"/>
  <c r="P92" i="57"/>
  <c r="J90" i="57"/>
  <c r="S83" i="57"/>
  <c r="H78" i="57"/>
  <c r="M45" i="57"/>
  <c r="H32" i="57"/>
  <c r="Q21" i="57"/>
  <c r="P123" i="56"/>
  <c r="I116" i="56"/>
  <c r="N81" i="56"/>
  <c r="H67" i="56"/>
  <c r="E67" i="56" s="1"/>
  <c r="D67" i="56" s="1"/>
  <c r="U67" i="56" s="1"/>
  <c r="N92" i="57"/>
  <c r="I90" i="57"/>
  <c r="Q83" i="57"/>
  <c r="L45" i="57"/>
  <c r="S32" i="57"/>
  <c r="M29" i="57"/>
  <c r="O21" i="57"/>
  <c r="E36" i="59"/>
  <c r="G78" i="59" s="1"/>
  <c r="O123" i="56"/>
  <c r="M81" i="56"/>
  <c r="F81" i="56" s="1"/>
  <c r="L92" i="57"/>
  <c r="H90" i="57"/>
  <c r="O83" i="57"/>
  <c r="P51" i="57"/>
  <c r="K45" i="57"/>
  <c r="R32" i="57"/>
  <c r="L29" i="57"/>
  <c r="N21" i="57"/>
  <c r="L55" i="59"/>
  <c r="L15" i="59"/>
  <c r="K92" i="57"/>
  <c r="S89" i="57"/>
  <c r="M83" i="57"/>
  <c r="S78" i="57"/>
  <c r="I45" i="57"/>
  <c r="N91" i="57"/>
  <c r="P91" i="57"/>
  <c r="R91" i="57"/>
  <c r="H91" i="57"/>
  <c r="I91" i="57"/>
  <c r="S91" i="57"/>
  <c r="Q91" i="57"/>
  <c r="O91" i="57"/>
  <c r="J91" i="57"/>
  <c r="K91" i="57"/>
  <c r="L91" i="57"/>
  <c r="M91" i="57"/>
  <c r="K23" i="57"/>
  <c r="R23" i="57"/>
  <c r="I23" i="57"/>
  <c r="J23" i="57"/>
  <c r="L23" i="57"/>
  <c r="S23" i="57"/>
  <c r="J31" i="57"/>
  <c r="L31" i="57"/>
  <c r="M31" i="57"/>
  <c r="N31" i="57"/>
  <c r="O31" i="57"/>
  <c r="I31" i="57"/>
  <c r="Q31" i="57"/>
  <c r="R31" i="57"/>
  <c r="S31" i="57"/>
  <c r="K31" i="57"/>
  <c r="M43" i="57"/>
  <c r="O43" i="57"/>
  <c r="L43" i="57"/>
  <c r="N43" i="57"/>
  <c r="N71" i="56"/>
  <c r="P71" i="56"/>
  <c r="R71" i="56"/>
  <c r="O71" i="56"/>
  <c r="Q71" i="56"/>
  <c r="S71" i="56"/>
  <c r="L71" i="56"/>
  <c r="M71" i="56"/>
  <c r="I71" i="56"/>
  <c r="K71" i="56"/>
  <c r="J71" i="56"/>
  <c r="H71" i="56"/>
  <c r="N76" i="57"/>
  <c r="P76" i="57"/>
  <c r="R76" i="57"/>
  <c r="M76" i="57"/>
  <c r="F76" i="57" s="1"/>
  <c r="O76" i="57"/>
  <c r="Q76" i="57"/>
  <c r="D122" i="60"/>
  <c r="E27" i="59"/>
  <c r="H69" i="59" s="1"/>
  <c r="L41" i="57"/>
  <c r="N41" i="57"/>
  <c r="P41" i="57"/>
  <c r="H41" i="57"/>
  <c r="H76" i="57"/>
  <c r="Q41" i="57"/>
  <c r="H75" i="56"/>
  <c r="L72" i="56"/>
  <c r="S75" i="57"/>
  <c r="J77" i="56"/>
  <c r="K72" i="56"/>
  <c r="I89" i="57"/>
  <c r="M41" i="57"/>
  <c r="S30" i="57"/>
  <c r="F28" i="53"/>
  <c r="F27" i="52"/>
  <c r="R75" i="56"/>
  <c r="K76" i="57"/>
  <c r="E31" i="59"/>
  <c r="K73" i="59" s="1"/>
  <c r="E27" i="52"/>
  <c r="E28" i="53"/>
  <c r="N75" i="57"/>
  <c r="P75" i="57"/>
  <c r="R75" i="57"/>
  <c r="J75" i="57"/>
  <c r="K75" i="57"/>
  <c r="L75" i="57"/>
  <c r="H75" i="57"/>
  <c r="I75" i="57"/>
  <c r="M75" i="57"/>
  <c r="O75" i="57"/>
  <c r="K42" i="57"/>
  <c r="M42" i="57"/>
  <c r="O42" i="57"/>
  <c r="S29" i="57"/>
  <c r="H29" i="57"/>
  <c r="J29" i="57"/>
  <c r="K29" i="57"/>
  <c r="R29" i="57"/>
  <c r="S122" i="56"/>
  <c r="I122" i="56"/>
  <c r="K122" i="56"/>
  <c r="Q122" i="56"/>
  <c r="R122" i="56"/>
  <c r="M122" i="56"/>
  <c r="Q75" i="56"/>
  <c r="R72" i="56"/>
  <c r="J76" i="57"/>
  <c r="I8" i="57"/>
  <c r="L122" i="56"/>
  <c r="J75" i="56"/>
  <c r="P72" i="56"/>
  <c r="I76" i="57"/>
  <c r="R41" i="57"/>
  <c r="N72" i="56"/>
  <c r="K89" i="57"/>
  <c r="H122" i="56"/>
  <c r="L77" i="56"/>
  <c r="O41" i="57"/>
  <c r="M88" i="57"/>
  <c r="K41" i="57"/>
  <c r="R79" i="57"/>
  <c r="H79" i="57"/>
  <c r="J79" i="57"/>
  <c r="L79" i="57"/>
  <c r="M79" i="57"/>
  <c r="N79" i="57"/>
  <c r="Q51" i="57"/>
  <c r="S51" i="57"/>
  <c r="I51" i="57"/>
  <c r="H51" i="57"/>
  <c r="J51" i="57"/>
  <c r="K51" i="57"/>
  <c r="R51" i="57"/>
  <c r="J78" i="56"/>
  <c r="L78" i="56"/>
  <c r="N78" i="56"/>
  <c r="H78" i="56"/>
  <c r="F10" i="59"/>
  <c r="F56" i="59"/>
  <c r="F58" i="59"/>
  <c r="F55" i="59"/>
  <c r="H30" i="57"/>
  <c r="K30" i="57"/>
  <c r="I30" i="57"/>
  <c r="N30" i="57"/>
  <c r="O30" i="57"/>
  <c r="P30" i="57"/>
  <c r="Q30" i="57"/>
  <c r="H22" i="57"/>
  <c r="I22" i="57"/>
  <c r="S22" i="57"/>
  <c r="K22" i="57"/>
  <c r="L22" i="57"/>
  <c r="Q22" i="57"/>
  <c r="L75" i="56"/>
  <c r="N75" i="56"/>
  <c r="P75" i="56"/>
  <c r="K75" i="56"/>
  <c r="M75" i="56"/>
  <c r="O75" i="56"/>
  <c r="S75" i="56"/>
  <c r="J120" i="57"/>
  <c r="J121" i="57" s="1"/>
  <c r="M120" i="57"/>
  <c r="M121" i="57" s="1"/>
  <c r="O120" i="57"/>
  <c r="O121" i="57" s="1"/>
  <c r="S120" i="57"/>
  <c r="S121" i="57" s="1"/>
  <c r="K77" i="56"/>
  <c r="M77" i="56"/>
  <c r="O77" i="56"/>
  <c r="S77" i="56"/>
  <c r="N77" i="56"/>
  <c r="P77" i="56"/>
  <c r="Q77" i="56"/>
  <c r="R77" i="56"/>
  <c r="H12" i="57"/>
  <c r="J12" i="57"/>
  <c r="K12" i="57"/>
  <c r="I12" i="57"/>
  <c r="M12" i="57"/>
  <c r="N12" i="57"/>
  <c r="P12" i="57"/>
  <c r="I88" i="57"/>
  <c r="L30" i="57"/>
  <c r="F30" i="57" s="1"/>
  <c r="S12" i="57"/>
  <c r="O33" i="57"/>
  <c r="Q33" i="57"/>
  <c r="R33" i="57"/>
  <c r="L25" i="57"/>
  <c r="P25" i="57"/>
  <c r="R25" i="57"/>
  <c r="H25" i="57"/>
  <c r="S25" i="57"/>
  <c r="Q29" i="57"/>
  <c r="O25" i="57"/>
  <c r="R12" i="57"/>
  <c r="F26" i="52"/>
  <c r="F27" i="53"/>
  <c r="S44" i="57"/>
  <c r="J44" i="57"/>
  <c r="R44" i="57"/>
  <c r="I44" i="57"/>
  <c r="K44" i="57"/>
  <c r="O44" i="57"/>
  <c r="P29" i="57"/>
  <c r="N25" i="57"/>
  <c r="F24" i="57"/>
  <c r="Q12" i="57"/>
  <c r="E60" i="59"/>
  <c r="E26" i="52"/>
  <c r="E27" i="53"/>
  <c r="L56" i="59"/>
  <c r="L58" i="59"/>
  <c r="L10" i="59"/>
  <c r="P77" i="57"/>
  <c r="R77" i="57"/>
  <c r="H77" i="57"/>
  <c r="I77" i="57"/>
  <c r="J77" i="57"/>
  <c r="K77" i="57"/>
  <c r="H13" i="57"/>
  <c r="J13" i="57"/>
  <c r="L13" i="57"/>
  <c r="M13" i="57"/>
  <c r="O13" i="57"/>
  <c r="P13" i="57"/>
  <c r="Q13" i="57"/>
  <c r="R13" i="57"/>
  <c r="R123" i="56"/>
  <c r="H123" i="56"/>
  <c r="J123" i="56"/>
  <c r="I123" i="56"/>
  <c r="K123" i="56"/>
  <c r="L123" i="56"/>
  <c r="M123" i="56"/>
  <c r="L76" i="56"/>
  <c r="N76" i="56"/>
  <c r="P76" i="56"/>
  <c r="Q76" i="56"/>
  <c r="R76" i="56"/>
  <c r="S76" i="56"/>
  <c r="I76" i="56"/>
  <c r="J76" i="56"/>
  <c r="H76" i="56"/>
  <c r="C66" i="61"/>
  <c r="C100" i="61" s="1"/>
  <c r="H63" i="56"/>
  <c r="I63" i="56"/>
  <c r="N88" i="57"/>
  <c r="P88" i="57"/>
  <c r="R88" i="57"/>
  <c r="J88" i="57"/>
  <c r="K88" i="57"/>
  <c r="L88" i="57"/>
  <c r="O88" i="57"/>
  <c r="Q88" i="57"/>
  <c r="S88" i="57"/>
  <c r="M72" i="56"/>
  <c r="O72" i="56"/>
  <c r="Q72" i="56"/>
  <c r="S72" i="56"/>
  <c r="H72" i="56"/>
  <c r="P122" i="56"/>
  <c r="H14" i="56"/>
  <c r="S76" i="57"/>
  <c r="P33" i="57"/>
  <c r="O29" i="57"/>
  <c r="M25" i="57"/>
  <c r="G27" i="52"/>
  <c r="G28" i="53"/>
  <c r="I10" i="59"/>
  <c r="I58" i="59"/>
  <c r="N89" i="57"/>
  <c r="P89" i="57"/>
  <c r="R89" i="57"/>
  <c r="M89" i="57"/>
  <c r="O89" i="57"/>
  <c r="Q89" i="57"/>
  <c r="H89" i="57"/>
  <c r="N57" i="57"/>
  <c r="O57" i="57"/>
  <c r="R57" i="57"/>
  <c r="I57" i="57"/>
  <c r="J57" i="57"/>
  <c r="I31" i="56"/>
  <c r="J31" i="56"/>
  <c r="K31" i="56"/>
  <c r="K7" i="57"/>
  <c r="M7" i="57"/>
  <c r="F7" i="57" s="1"/>
  <c r="O7" i="57"/>
  <c r="P7" i="57"/>
  <c r="H7" i="57"/>
  <c r="I7" i="57"/>
  <c r="J7" i="57"/>
  <c r="C107" i="62"/>
  <c r="L86" i="57"/>
  <c r="P86" i="57"/>
  <c r="R86" i="57"/>
  <c r="H86" i="57"/>
  <c r="I86" i="57"/>
  <c r="J86" i="57"/>
  <c r="P21" i="57"/>
  <c r="R21" i="57"/>
  <c r="H21" i="57"/>
  <c r="I21" i="57"/>
  <c r="J21" i="57"/>
  <c r="K21" i="57"/>
  <c r="M86" i="57"/>
  <c r="H12" i="56"/>
  <c r="K86" i="57"/>
  <c r="O85" i="57"/>
  <c r="Q85" i="57"/>
  <c r="S85" i="57"/>
  <c r="L40" i="57"/>
  <c r="N40" i="57"/>
  <c r="Q40" i="57"/>
  <c r="N28" i="57"/>
  <c r="R28" i="57"/>
  <c r="I28" i="57"/>
  <c r="J28" i="57"/>
  <c r="M6" i="57"/>
  <c r="O6" i="57"/>
  <c r="Q6" i="57"/>
  <c r="R6" i="57"/>
  <c r="K116" i="56"/>
  <c r="M116" i="56"/>
  <c r="O116" i="56"/>
  <c r="M74" i="56"/>
  <c r="O74" i="56"/>
  <c r="Q74" i="56"/>
  <c r="L94" i="57"/>
  <c r="J39" i="57"/>
  <c r="L39" i="57"/>
  <c r="N39" i="57"/>
  <c r="E66" i="56"/>
  <c r="D66" i="56" s="1"/>
  <c r="U66" i="56" s="1"/>
  <c r="S40" i="57"/>
  <c r="K39" i="57"/>
  <c r="I94" i="57"/>
  <c r="K94" i="57"/>
  <c r="M94" i="57"/>
  <c r="N84" i="57"/>
  <c r="P84" i="57"/>
  <c r="R84" i="57"/>
  <c r="H94" i="57"/>
  <c r="M84" i="57"/>
  <c r="I39" i="57"/>
  <c r="M92" i="57"/>
  <c r="O92" i="57"/>
  <c r="Q92" i="57"/>
  <c r="N83" i="57"/>
  <c r="P83" i="57"/>
  <c r="R83" i="57"/>
  <c r="H38" i="57"/>
  <c r="J38" i="57"/>
  <c r="M38" i="57"/>
  <c r="L15" i="57"/>
  <c r="O15" i="57"/>
  <c r="D16" i="60"/>
  <c r="I30" i="56"/>
  <c r="K30" i="56"/>
  <c r="E24" i="57"/>
  <c r="L14" i="57"/>
  <c r="N80" i="56"/>
  <c r="Q73" i="56"/>
  <c r="R90" i="57"/>
  <c r="J45" i="57"/>
  <c r="S19" i="57"/>
  <c r="K14" i="57"/>
  <c r="P90" i="57"/>
  <c r="I14" i="57"/>
  <c r="E29" i="59"/>
  <c r="H71" i="59" s="1"/>
  <c r="C135" i="61"/>
  <c r="C8" i="61"/>
  <c r="C47" i="61" s="1"/>
  <c r="C121" i="61"/>
  <c r="L115" i="56"/>
  <c r="I66" i="65"/>
  <c r="H108" i="65"/>
  <c r="L66" i="65"/>
  <c r="I108" i="65"/>
  <c r="K66" i="63"/>
  <c r="L66" i="64"/>
  <c r="K108" i="64"/>
  <c r="I66" i="63"/>
  <c r="H66" i="63"/>
  <c r="H66" i="65"/>
  <c r="L66" i="63"/>
  <c r="G66" i="65"/>
  <c r="L129" i="63"/>
  <c r="H66" i="64"/>
  <c r="J66" i="63"/>
  <c r="K26" i="65"/>
  <c r="K66" i="64"/>
  <c r="H108" i="63"/>
  <c r="L108" i="63"/>
  <c r="K26" i="63"/>
  <c r="K30" i="63" s="1"/>
  <c r="J66" i="64"/>
  <c r="K66" i="65"/>
  <c r="A48" i="55"/>
  <c r="A49" i="55" s="1"/>
  <c r="A51" i="55" s="1"/>
  <c r="A52" i="55" s="1"/>
  <c r="A53" i="55" s="1"/>
  <c r="A54" i="55" s="1"/>
  <c r="A55" i="55" s="1"/>
  <c r="A56" i="55" s="1"/>
  <c r="A57" i="55" s="1"/>
  <c r="A50" i="55"/>
  <c r="F17" i="56"/>
  <c r="F51" i="56" s="1"/>
  <c r="F34" i="56" s="1"/>
  <c r="F68" i="56"/>
  <c r="F100" i="56" s="1"/>
  <c r="C149" i="65"/>
  <c r="D149" i="65" s="1"/>
  <c r="E149" i="65" s="1"/>
  <c r="F149" i="65" s="1"/>
  <c r="G149" i="65" s="1"/>
  <c r="C149" i="64"/>
  <c r="D149" i="64" s="1"/>
  <c r="E149" i="64" s="1"/>
  <c r="F149" i="64" s="1"/>
  <c r="G149" i="64" s="1"/>
  <c r="C149" i="63"/>
  <c r="D149" i="63" s="1"/>
  <c r="E149" i="63" s="1"/>
  <c r="F149" i="63" s="1"/>
  <c r="G149" i="63" s="1"/>
  <c r="F73" i="56"/>
  <c r="D138" i="60"/>
  <c r="L120" i="57"/>
  <c r="P120" i="57"/>
  <c r="P121" i="57" s="1"/>
  <c r="H120" i="57"/>
  <c r="Q120" i="57"/>
  <c r="Q121" i="57" s="1"/>
  <c r="I120" i="57"/>
  <c r="I121" i="57" s="1"/>
  <c r="R120" i="57"/>
  <c r="R121" i="57" s="1"/>
  <c r="K120" i="57"/>
  <c r="K121" i="57" s="1"/>
  <c r="N120" i="57"/>
  <c r="N93" i="57"/>
  <c r="O93" i="57"/>
  <c r="K93" i="57"/>
  <c r="L93" i="57"/>
  <c r="M93" i="57"/>
  <c r="Q93" i="57"/>
  <c r="I93" i="57"/>
  <c r="S93" i="57"/>
  <c r="F20" i="53"/>
  <c r="L34" i="56"/>
  <c r="J78" i="59"/>
  <c r="L52" i="56"/>
  <c r="E32" i="59"/>
  <c r="H74" i="59" s="1"/>
  <c r="H35" i="59"/>
  <c r="D109" i="60"/>
  <c r="E33" i="59"/>
  <c r="K75" i="59" s="1"/>
  <c r="K35" i="59"/>
  <c r="J8" i="57"/>
  <c r="R8" i="57"/>
  <c r="M8" i="57"/>
  <c r="K8" i="57"/>
  <c r="L8" i="57"/>
  <c r="N8" i="57"/>
  <c r="O8" i="57"/>
  <c r="P8" i="57"/>
  <c r="Q8" i="57"/>
  <c r="E26" i="59"/>
  <c r="K68" i="59" s="1"/>
  <c r="J43" i="57"/>
  <c r="R43" i="57"/>
  <c r="P43" i="57"/>
  <c r="H43" i="57"/>
  <c r="Q43" i="57"/>
  <c r="I43" i="57"/>
  <c r="S43" i="57"/>
  <c r="K43" i="57"/>
  <c r="H23" i="57"/>
  <c r="P23" i="57"/>
  <c r="M23" i="57"/>
  <c r="N23" i="57"/>
  <c r="O23" i="57"/>
  <c r="Q23" i="57"/>
  <c r="N15" i="57"/>
  <c r="I15" i="57"/>
  <c r="P15" i="57"/>
  <c r="Q15" i="57"/>
  <c r="H15" i="57"/>
  <c r="R15" i="57"/>
  <c r="J15" i="57"/>
  <c r="S15" i="57"/>
  <c r="D77" i="60"/>
  <c r="L42" i="57"/>
  <c r="P42" i="57"/>
  <c r="H42" i="57"/>
  <c r="Q42" i="57"/>
  <c r="I42" i="57"/>
  <c r="R42" i="57"/>
  <c r="J42" i="57"/>
  <c r="S42" i="57"/>
  <c r="L33" i="57"/>
  <c r="J33" i="57"/>
  <c r="S33" i="57"/>
  <c r="K33" i="57"/>
  <c r="M33" i="57"/>
  <c r="N33" i="57"/>
  <c r="J22" i="57"/>
  <c r="R22" i="57"/>
  <c r="M22" i="57"/>
  <c r="N22" i="57"/>
  <c r="O22" i="57"/>
  <c r="P22" i="57"/>
  <c r="A76" i="61"/>
  <c r="D134" i="60"/>
  <c r="D86" i="60"/>
  <c r="G24" i="57"/>
  <c r="E28" i="59"/>
  <c r="L77" i="57"/>
  <c r="M77" i="57"/>
  <c r="N42" i="57"/>
  <c r="H33" i="57"/>
  <c r="D144" i="60"/>
  <c r="E30" i="59"/>
  <c r="D24" i="60"/>
  <c r="C16" i="61"/>
  <c r="C48" i="61" s="1"/>
  <c r="I13" i="59"/>
  <c r="I15" i="59"/>
  <c r="I56" i="59"/>
  <c r="D94" i="60"/>
  <c r="H40" i="57"/>
  <c r="P40" i="57"/>
  <c r="H31" i="57"/>
  <c r="P31" i="57"/>
  <c r="D49" i="60"/>
  <c r="L21" i="57"/>
  <c r="F21" i="57" s="1"/>
  <c r="D10" i="60"/>
  <c r="C116" i="61"/>
  <c r="I55" i="59"/>
  <c r="E17" i="59"/>
  <c r="D129" i="60"/>
  <c r="H44" i="57"/>
  <c r="P44" i="57"/>
  <c r="J30" i="57"/>
  <c r="R30" i="57"/>
  <c r="L12" i="57"/>
  <c r="D31" i="60"/>
  <c r="O12" i="57"/>
  <c r="R78" i="57"/>
  <c r="E34" i="59"/>
  <c r="N76" i="59" s="1"/>
  <c r="F15" i="59"/>
  <c r="F13" i="59"/>
  <c r="D61" i="60"/>
  <c r="L38" i="57"/>
  <c r="C82" i="61"/>
  <c r="C101" i="61" s="1"/>
  <c r="A26" i="61"/>
  <c r="A21" i="61"/>
  <c r="K129" i="63"/>
  <c r="K108" i="63"/>
  <c r="J108" i="63"/>
  <c r="I108" i="63"/>
  <c r="C96" i="61"/>
  <c r="C102" i="61" s="1"/>
  <c r="C44" i="61"/>
  <c r="C50" i="61" s="1"/>
  <c r="C129" i="61"/>
  <c r="L170" i="62"/>
  <c r="P57" i="57" s="1"/>
  <c r="D170" i="62"/>
  <c r="C164" i="62"/>
  <c r="I108" i="64"/>
  <c r="K51" i="63"/>
  <c r="E196" i="62"/>
  <c r="J144" i="62"/>
  <c r="L26" i="63"/>
  <c r="L30" i="63" s="1"/>
  <c r="L91" i="65"/>
  <c r="K91" i="65"/>
  <c r="K91" i="64"/>
  <c r="L91" i="64"/>
  <c r="K91" i="63"/>
  <c r="L91" i="63"/>
  <c r="C69" i="62"/>
  <c r="K90" i="65"/>
  <c r="L90" i="65"/>
  <c r="L90" i="64"/>
  <c r="K90" i="64"/>
  <c r="K90" i="63"/>
  <c r="L90" i="63"/>
  <c r="G108" i="63"/>
  <c r="L108" i="64"/>
  <c r="L51" i="63"/>
  <c r="G66" i="63"/>
  <c r="L129" i="64"/>
  <c r="J108" i="64"/>
  <c r="C106" i="62"/>
  <c r="K129" i="64"/>
  <c r="H108" i="64"/>
  <c r="L51" i="64"/>
  <c r="G108" i="65"/>
  <c r="K51" i="64"/>
  <c r="I66" i="64"/>
  <c r="L26" i="64"/>
  <c r="L30" i="64" s="1"/>
  <c r="L108" i="65"/>
  <c r="J66" i="65"/>
  <c r="G108" i="64"/>
  <c r="K26" i="64"/>
  <c r="G66" i="64"/>
  <c r="K129" i="65"/>
  <c r="K108" i="65"/>
  <c r="J108" i="65"/>
  <c r="L129" i="65"/>
  <c r="H51" i="65"/>
  <c r="L49" i="65"/>
  <c r="K49" i="65"/>
  <c r="L26" i="65"/>
  <c r="J72" i="15"/>
  <c r="J67" i="15"/>
  <c r="J62" i="15"/>
  <c r="J57" i="15"/>
  <c r="J52" i="15"/>
  <c r="J47" i="15"/>
  <c r="J42" i="15"/>
  <c r="J37" i="15"/>
  <c r="J32" i="15"/>
  <c r="J27" i="15"/>
  <c r="J22" i="15"/>
  <c r="J17" i="15"/>
  <c r="J11" i="15"/>
  <c r="K67" i="59" l="1"/>
  <c r="J67" i="59"/>
  <c r="H67" i="59"/>
  <c r="G67" i="59"/>
  <c r="H79" i="59"/>
  <c r="I67" i="59"/>
  <c r="M67" i="59"/>
  <c r="L71" i="59"/>
  <c r="L67" i="59"/>
  <c r="F80" i="56"/>
  <c r="F67" i="59"/>
  <c r="K76" i="59"/>
  <c r="H73" i="59"/>
  <c r="M73" i="59"/>
  <c r="J73" i="59"/>
  <c r="H9" i="57"/>
  <c r="N73" i="59"/>
  <c r="F78" i="56"/>
  <c r="F40" i="57"/>
  <c r="J117" i="56"/>
  <c r="F89" i="57"/>
  <c r="E73" i="56"/>
  <c r="F57" i="57"/>
  <c r="N17" i="56"/>
  <c r="N51" i="56" s="1"/>
  <c r="G12" i="56"/>
  <c r="G17" i="56" s="1"/>
  <c r="G51" i="56" s="1"/>
  <c r="F51" i="57"/>
  <c r="M117" i="56"/>
  <c r="E40" i="57"/>
  <c r="F43" i="57"/>
  <c r="F90" i="57"/>
  <c r="F83" i="57"/>
  <c r="G79" i="56"/>
  <c r="D79" i="56" s="1"/>
  <c r="U79" i="56" s="1"/>
  <c r="F82" i="56"/>
  <c r="F85" i="57"/>
  <c r="N9" i="57"/>
  <c r="C106" i="61"/>
  <c r="E144" i="62"/>
  <c r="I29" i="57" s="1"/>
  <c r="E29" i="57" s="1"/>
  <c r="E81" i="56"/>
  <c r="E74" i="56"/>
  <c r="E87" i="57"/>
  <c r="F76" i="56"/>
  <c r="F87" i="57"/>
  <c r="I71" i="59"/>
  <c r="L79" i="59"/>
  <c r="C26" i="62"/>
  <c r="G71" i="59"/>
  <c r="M69" i="59"/>
  <c r="E25" i="56"/>
  <c r="D25" i="56" s="1"/>
  <c r="F32" i="57"/>
  <c r="E23" i="56"/>
  <c r="D23" i="56" s="1"/>
  <c r="U23" i="56" s="1"/>
  <c r="E80" i="56"/>
  <c r="G73" i="56"/>
  <c r="O117" i="56"/>
  <c r="G82" i="56"/>
  <c r="G87" i="57"/>
  <c r="G80" i="56"/>
  <c r="F39" i="57"/>
  <c r="K117" i="56"/>
  <c r="I117" i="56"/>
  <c r="J9" i="54"/>
  <c r="D14" i="64" s="1"/>
  <c r="G27" i="57"/>
  <c r="S9" i="57"/>
  <c r="H9" i="54"/>
  <c r="E14" i="63" s="1"/>
  <c r="F27" i="57"/>
  <c r="E6" i="57"/>
  <c r="F42" i="57"/>
  <c r="L9" i="54"/>
  <c r="X14" i="64" s="1"/>
  <c r="S83" i="56"/>
  <c r="S101" i="56" s="1"/>
  <c r="U20" i="56"/>
  <c r="O9" i="54"/>
  <c r="X14" i="65" s="1"/>
  <c r="F74" i="56"/>
  <c r="G78" i="56"/>
  <c r="F45" i="57"/>
  <c r="F19" i="57"/>
  <c r="E115" i="56"/>
  <c r="F78" i="57"/>
  <c r="J9" i="57"/>
  <c r="E83" i="57"/>
  <c r="G115" i="56"/>
  <c r="E45" i="57"/>
  <c r="F92" i="57"/>
  <c r="F86" i="57"/>
  <c r="N117" i="56"/>
  <c r="H117" i="56"/>
  <c r="E92" i="57"/>
  <c r="F28" i="57"/>
  <c r="G86" i="57"/>
  <c r="F25" i="57"/>
  <c r="E12" i="57"/>
  <c r="F79" i="57"/>
  <c r="G7" i="57"/>
  <c r="F94" i="57"/>
  <c r="G28" i="57"/>
  <c r="F29" i="57"/>
  <c r="E116" i="56"/>
  <c r="G14" i="57"/>
  <c r="H80" i="57"/>
  <c r="H114" i="57" s="1"/>
  <c r="Q80" i="57"/>
  <c r="Q114" i="57" s="1"/>
  <c r="E90" i="57"/>
  <c r="E19" i="57"/>
  <c r="E84" i="57"/>
  <c r="E82" i="56"/>
  <c r="G19" i="57"/>
  <c r="P9" i="57"/>
  <c r="G79" i="59"/>
  <c r="D28" i="53"/>
  <c r="I68" i="56"/>
  <c r="I100" i="56" s="1"/>
  <c r="K16" i="57"/>
  <c r="I9" i="57"/>
  <c r="J80" i="57"/>
  <c r="J114" i="57" s="1"/>
  <c r="N80" i="57"/>
  <c r="N114" i="57" s="1"/>
  <c r="G75" i="57"/>
  <c r="G30" i="57"/>
  <c r="M79" i="59"/>
  <c r="F115" i="56"/>
  <c r="E78" i="56"/>
  <c r="G81" i="56"/>
  <c r="O95" i="57"/>
  <c r="O115" i="57" s="1"/>
  <c r="G94" i="57"/>
  <c r="I79" i="59"/>
  <c r="F14" i="57"/>
  <c r="E39" i="57"/>
  <c r="O9" i="57"/>
  <c r="K83" i="56"/>
  <c r="K101" i="56" s="1"/>
  <c r="R9" i="57"/>
  <c r="F79" i="59"/>
  <c r="F6" i="57"/>
  <c r="E89" i="57"/>
  <c r="E32" i="57"/>
  <c r="K79" i="59"/>
  <c r="E37" i="57"/>
  <c r="E88" i="57"/>
  <c r="E76" i="57"/>
  <c r="L69" i="59"/>
  <c r="E28" i="57"/>
  <c r="H17" i="56"/>
  <c r="H51" i="56" s="1"/>
  <c r="H34" i="56" s="1"/>
  <c r="E77" i="56"/>
  <c r="G32" i="57"/>
  <c r="E78" i="57"/>
  <c r="G45" i="57"/>
  <c r="N79" i="59"/>
  <c r="E51" i="57"/>
  <c r="G123" i="56"/>
  <c r="H95" i="57"/>
  <c r="H115" i="57" s="1"/>
  <c r="G122" i="56"/>
  <c r="P83" i="56"/>
  <c r="P101" i="56" s="1"/>
  <c r="G78" i="57"/>
  <c r="H78" i="59"/>
  <c r="L95" i="57"/>
  <c r="L115" i="57" s="1"/>
  <c r="H83" i="56"/>
  <c r="H101" i="56" s="1"/>
  <c r="E25" i="57"/>
  <c r="M16" i="57"/>
  <c r="G77" i="56"/>
  <c r="F122" i="56"/>
  <c r="F75" i="57"/>
  <c r="F72" i="56"/>
  <c r="O80" i="57"/>
  <c r="O114" i="57" s="1"/>
  <c r="N9" i="54"/>
  <c r="I9" i="54"/>
  <c r="M9" i="54"/>
  <c r="D14" i="65" s="1"/>
  <c r="H14" i="65" s="1"/>
  <c r="E10" i="68"/>
  <c r="G10" i="69"/>
  <c r="K2" i="69"/>
  <c r="G8" i="69"/>
  <c r="D12" i="69"/>
  <c r="D13" i="69" s="1"/>
  <c r="G7" i="69"/>
  <c r="E10" i="71"/>
  <c r="E11" i="98"/>
  <c r="E12" i="91"/>
  <c r="E10" i="85"/>
  <c r="E11" i="78"/>
  <c r="E11" i="84"/>
  <c r="E11" i="79"/>
  <c r="F12" i="93"/>
  <c r="E11" i="86"/>
  <c r="F11" i="67"/>
  <c r="E10" i="76"/>
  <c r="E10" i="97"/>
  <c r="F11" i="73"/>
  <c r="F10" i="71"/>
  <c r="F14" i="75"/>
  <c r="H10" i="75"/>
  <c r="H8" i="75"/>
  <c r="F12" i="89"/>
  <c r="E10" i="93"/>
  <c r="F10" i="81"/>
  <c r="F12" i="90"/>
  <c r="E11" i="67"/>
  <c r="F10" i="70"/>
  <c r="F10" i="72"/>
  <c r="F12" i="95"/>
  <c r="F11" i="98"/>
  <c r="E10" i="72"/>
  <c r="F12" i="92"/>
  <c r="F10" i="80"/>
  <c r="F10" i="86"/>
  <c r="E13" i="75"/>
  <c r="F11" i="78"/>
  <c r="F10" i="91"/>
  <c r="F11" i="66"/>
  <c r="F11" i="84"/>
  <c r="E11" i="96"/>
  <c r="E11" i="88"/>
  <c r="F10" i="87"/>
  <c r="E13" i="90"/>
  <c r="F10" i="76"/>
  <c r="F10" i="74"/>
  <c r="F14" i="97"/>
  <c r="E10" i="74"/>
  <c r="K3" i="77"/>
  <c r="H14" i="77"/>
  <c r="E17" i="77"/>
  <c r="H9" i="77"/>
  <c r="H11" i="77"/>
  <c r="H10" i="77"/>
  <c r="H7" i="77"/>
  <c r="H12" i="77"/>
  <c r="E11" i="80"/>
  <c r="E11" i="66"/>
  <c r="F11" i="79"/>
  <c r="E11" i="82"/>
  <c r="E12" i="99"/>
  <c r="E10" i="73"/>
  <c r="E11" i="95"/>
  <c r="E10" i="70"/>
  <c r="G14" i="77"/>
  <c r="K2" i="77"/>
  <c r="E16" i="77"/>
  <c r="G9" i="77"/>
  <c r="G7" i="77"/>
  <c r="G11" i="77"/>
  <c r="F11" i="68"/>
  <c r="E10" i="89"/>
  <c r="F13" i="88"/>
  <c r="H10" i="69"/>
  <c r="K3" i="69"/>
  <c r="H7" i="69"/>
  <c r="H8" i="69"/>
  <c r="E12" i="81"/>
  <c r="F10" i="96"/>
  <c r="F10" i="85"/>
  <c r="F14" i="99"/>
  <c r="H13" i="99"/>
  <c r="H11" i="99"/>
  <c r="H9" i="99"/>
  <c r="H8" i="99"/>
  <c r="E12" i="94"/>
  <c r="E12" i="87"/>
  <c r="F11" i="94"/>
  <c r="E12" i="92"/>
  <c r="R95" i="57"/>
  <c r="R115" i="57" s="1"/>
  <c r="L78" i="59"/>
  <c r="S80" i="57"/>
  <c r="S114" i="57" s="1"/>
  <c r="G44" i="57"/>
  <c r="N83" i="56"/>
  <c r="N101" i="56" s="1"/>
  <c r="C109" i="61"/>
  <c r="O16" i="57"/>
  <c r="G43" i="57"/>
  <c r="I78" i="59"/>
  <c r="G77" i="57"/>
  <c r="J83" i="56"/>
  <c r="J101" i="56" s="1"/>
  <c r="G91" i="57"/>
  <c r="G76" i="56"/>
  <c r="N78" i="59"/>
  <c r="S16" i="57"/>
  <c r="F78" i="59"/>
  <c r="F116" i="56"/>
  <c r="F71" i="56"/>
  <c r="E44" i="57"/>
  <c r="E23" i="57"/>
  <c r="S95" i="57"/>
  <c r="S115" i="57" s="1"/>
  <c r="M95" i="57"/>
  <c r="M115" i="57" s="1"/>
  <c r="E13" i="57"/>
  <c r="E122" i="56"/>
  <c r="P80" i="57"/>
  <c r="P114" i="57" s="1"/>
  <c r="G84" i="57"/>
  <c r="G92" i="57"/>
  <c r="F22" i="57"/>
  <c r="I46" i="57"/>
  <c r="K46" i="57"/>
  <c r="E93" i="57"/>
  <c r="E76" i="56"/>
  <c r="E77" i="57"/>
  <c r="G76" i="57"/>
  <c r="K78" i="59"/>
  <c r="M78" i="59"/>
  <c r="M80" i="57"/>
  <c r="M114" i="57" s="1"/>
  <c r="G21" i="57"/>
  <c r="D26" i="52"/>
  <c r="J26" i="52" s="1"/>
  <c r="E41" i="57"/>
  <c r="G71" i="56"/>
  <c r="E30" i="57"/>
  <c r="F23" i="57"/>
  <c r="H75" i="59"/>
  <c r="F84" i="57"/>
  <c r="J95" i="57"/>
  <c r="J115" i="57" s="1"/>
  <c r="G89" i="57"/>
  <c r="G88" i="57"/>
  <c r="G25" i="57"/>
  <c r="E79" i="57"/>
  <c r="R83" i="56"/>
  <c r="R101" i="56" s="1"/>
  <c r="P95" i="57"/>
  <c r="P115" i="57" s="1"/>
  <c r="E14" i="57"/>
  <c r="G83" i="57"/>
  <c r="G51" i="57"/>
  <c r="G90" i="57"/>
  <c r="G31" i="57"/>
  <c r="C107" i="61"/>
  <c r="L117" i="56"/>
  <c r="F15" i="57"/>
  <c r="G74" i="56"/>
  <c r="K9" i="57"/>
  <c r="G79" i="57"/>
  <c r="E91" i="57"/>
  <c r="E31" i="57"/>
  <c r="Q95" i="57"/>
  <c r="Q115" i="57" s="1"/>
  <c r="E22" i="57"/>
  <c r="E30" i="56"/>
  <c r="D30" i="56" s="1"/>
  <c r="U30" i="56" s="1"/>
  <c r="N71" i="59"/>
  <c r="E15" i="57"/>
  <c r="I69" i="59"/>
  <c r="L83" i="56"/>
  <c r="L101" i="56" s="1"/>
  <c r="O83" i="56"/>
  <c r="O101" i="56" s="1"/>
  <c r="G75" i="56"/>
  <c r="E86" i="57"/>
  <c r="I80" i="57"/>
  <c r="I114" i="57" s="1"/>
  <c r="K69" i="59"/>
  <c r="D24" i="57"/>
  <c r="U24" i="57" s="1"/>
  <c r="K95" i="57"/>
  <c r="K115" i="57" s="1"/>
  <c r="N69" i="59"/>
  <c r="J16" i="57"/>
  <c r="G116" i="56"/>
  <c r="E72" i="56"/>
  <c r="R16" i="57"/>
  <c r="M46" i="57"/>
  <c r="G40" i="57"/>
  <c r="E31" i="56"/>
  <c r="D31" i="56" s="1"/>
  <c r="G20" i="54" s="1"/>
  <c r="F31" i="57"/>
  <c r="M83" i="56"/>
  <c r="M101" i="56" s="1"/>
  <c r="D146" i="60"/>
  <c r="F71" i="59"/>
  <c r="G69" i="59"/>
  <c r="G13" i="57"/>
  <c r="E75" i="56"/>
  <c r="E71" i="56"/>
  <c r="I83" i="56"/>
  <c r="I101" i="56" s="1"/>
  <c r="M71" i="59"/>
  <c r="Q16" i="57"/>
  <c r="Q9" i="57"/>
  <c r="G85" i="57"/>
  <c r="F69" i="59"/>
  <c r="E75" i="57"/>
  <c r="E21" i="57"/>
  <c r="E7" i="57"/>
  <c r="G72" i="56"/>
  <c r="F13" i="57"/>
  <c r="D27" i="53"/>
  <c r="F75" i="56"/>
  <c r="D27" i="52"/>
  <c r="J27" i="52" s="1"/>
  <c r="G57" i="57"/>
  <c r="D18" i="60"/>
  <c r="E33" i="57"/>
  <c r="K71" i="59"/>
  <c r="P16" i="57"/>
  <c r="G6" i="57"/>
  <c r="E94" i="57"/>
  <c r="E63" i="56"/>
  <c r="H68" i="56"/>
  <c r="H100" i="56" s="1"/>
  <c r="F123" i="56"/>
  <c r="F73" i="59"/>
  <c r="L73" i="59"/>
  <c r="I73" i="59"/>
  <c r="G73" i="59"/>
  <c r="E38" i="57"/>
  <c r="F91" i="57"/>
  <c r="C103" i="61"/>
  <c r="E123" i="56"/>
  <c r="F41" i="57"/>
  <c r="G23" i="57"/>
  <c r="M9" i="57"/>
  <c r="G41" i="57"/>
  <c r="K80" i="57"/>
  <c r="K114" i="57" s="1"/>
  <c r="F77" i="56"/>
  <c r="J69" i="59"/>
  <c r="E10" i="59"/>
  <c r="J71" i="59"/>
  <c r="I16" i="57"/>
  <c r="E43" i="57"/>
  <c r="F88" i="57"/>
  <c r="Q83" i="56"/>
  <c r="Q101" i="56" s="1"/>
  <c r="W26" i="65"/>
  <c r="W26" i="63"/>
  <c r="E13" i="59"/>
  <c r="G9" i="54"/>
  <c r="H121" i="57"/>
  <c r="E120" i="57"/>
  <c r="H149" i="65"/>
  <c r="G72" i="59"/>
  <c r="J72" i="59"/>
  <c r="F72" i="59"/>
  <c r="I72" i="59"/>
  <c r="L72" i="59"/>
  <c r="N72" i="59"/>
  <c r="M72" i="59"/>
  <c r="H149" i="64"/>
  <c r="H72" i="59"/>
  <c r="G42" i="57"/>
  <c r="K72" i="59"/>
  <c r="G22" i="57"/>
  <c r="E35" i="59"/>
  <c r="H77" i="59" s="1"/>
  <c r="E14" i="64"/>
  <c r="W14" i="64"/>
  <c r="R80" i="57"/>
  <c r="R114" i="57" s="1"/>
  <c r="L80" i="57"/>
  <c r="L114" i="57" s="1"/>
  <c r="F77" i="57"/>
  <c r="I70" i="59"/>
  <c r="L70" i="59"/>
  <c r="M70" i="59"/>
  <c r="F70" i="59"/>
  <c r="G70" i="59"/>
  <c r="J70" i="59"/>
  <c r="H70" i="59"/>
  <c r="K70" i="59"/>
  <c r="C196" i="62"/>
  <c r="I85" i="57"/>
  <c r="E15" i="59"/>
  <c r="G12" i="57"/>
  <c r="F33" i="57"/>
  <c r="G8" i="57"/>
  <c r="I75" i="59"/>
  <c r="J75" i="59"/>
  <c r="L75" i="59"/>
  <c r="M75" i="59"/>
  <c r="N75" i="59"/>
  <c r="F75" i="59"/>
  <c r="G75" i="59"/>
  <c r="M74" i="59"/>
  <c r="L74" i="59"/>
  <c r="N74" i="59"/>
  <c r="F74" i="59"/>
  <c r="G74" i="59"/>
  <c r="J74" i="59"/>
  <c r="I74" i="59"/>
  <c r="K74" i="59"/>
  <c r="F93" i="57"/>
  <c r="L121" i="57"/>
  <c r="F120" i="57"/>
  <c r="F121" i="57" s="1"/>
  <c r="I24" i="56"/>
  <c r="J24" i="56"/>
  <c r="K24" i="56"/>
  <c r="F76" i="59"/>
  <c r="G76" i="59"/>
  <c r="H76" i="59"/>
  <c r="I76" i="59"/>
  <c r="J76" i="59"/>
  <c r="M76" i="59"/>
  <c r="L76" i="59"/>
  <c r="G120" i="57"/>
  <c r="G121" i="57" s="1"/>
  <c r="N121" i="57"/>
  <c r="F38" i="57"/>
  <c r="L46" i="57"/>
  <c r="L16" i="57"/>
  <c r="F12" i="57"/>
  <c r="H149" i="63"/>
  <c r="N29" i="57"/>
  <c r="G29" i="57" s="1"/>
  <c r="G15" i="57"/>
  <c r="N16" i="57"/>
  <c r="F68" i="59"/>
  <c r="H68" i="59"/>
  <c r="I68" i="59"/>
  <c r="J68" i="59"/>
  <c r="L68" i="59"/>
  <c r="M68" i="59"/>
  <c r="G68" i="59"/>
  <c r="F8" i="57"/>
  <c r="L9" i="57"/>
  <c r="K26" i="56"/>
  <c r="I26" i="56"/>
  <c r="O26" i="56"/>
  <c r="J26" i="56"/>
  <c r="H16" i="57"/>
  <c r="H46" i="57"/>
  <c r="J46" i="57"/>
  <c r="N68" i="59"/>
  <c r="A77" i="61"/>
  <c r="E42" i="57"/>
  <c r="N70" i="59"/>
  <c r="I21" i="56"/>
  <c r="K21" i="56"/>
  <c r="A27" i="61"/>
  <c r="D79" i="60"/>
  <c r="D148" i="60" s="1"/>
  <c r="F148" i="60" s="1"/>
  <c r="K30" i="64"/>
  <c r="W26" i="64"/>
  <c r="C170" i="62"/>
  <c r="H57" i="57"/>
  <c r="E57" i="57" s="1"/>
  <c r="G10" i="55"/>
  <c r="O10" i="55"/>
  <c r="H10" i="55"/>
  <c r="I10" i="55"/>
  <c r="K10" i="55"/>
  <c r="M10" i="55"/>
  <c r="N10" i="55"/>
  <c r="J10" i="55"/>
  <c r="L10" i="55"/>
  <c r="G33" i="57"/>
  <c r="E55" i="59"/>
  <c r="I95" i="59" s="1"/>
  <c r="G93" i="57"/>
  <c r="N95" i="57"/>
  <c r="E8" i="57"/>
  <c r="H10" i="51"/>
  <c r="H10" i="50"/>
  <c r="I10" i="45"/>
  <c r="H10" i="44"/>
  <c r="I10" i="43"/>
  <c r="I10" i="46"/>
  <c r="I10" i="39"/>
  <c r="I10" i="38"/>
  <c r="I10" i="37"/>
  <c r="H10" i="36"/>
  <c r="I10" i="47"/>
  <c r="I11" i="32"/>
  <c r="J11" i="32"/>
  <c r="H10" i="31"/>
  <c r="A11" i="14"/>
  <c r="E67" i="59" l="1"/>
  <c r="N14" i="54"/>
  <c r="W19" i="65" s="1"/>
  <c r="G117" i="56"/>
  <c r="D73" i="56"/>
  <c r="N38" i="54" s="1"/>
  <c r="D40" i="57"/>
  <c r="U40" i="57" s="1"/>
  <c r="D82" i="56"/>
  <c r="N47" i="54" s="1"/>
  <c r="E48" i="65" s="1"/>
  <c r="D80" i="56"/>
  <c r="J45" i="54" s="1"/>
  <c r="V48" i="64" s="1"/>
  <c r="L12" i="54"/>
  <c r="F17" i="64" s="1"/>
  <c r="D81" i="56"/>
  <c r="L46" i="54" s="1"/>
  <c r="K12" i="54"/>
  <c r="W17" i="64" s="1"/>
  <c r="N44" i="54"/>
  <c r="W45" i="65" s="1"/>
  <c r="D76" i="56"/>
  <c r="U76" i="56" s="1"/>
  <c r="F117" i="56"/>
  <c r="D78" i="56"/>
  <c r="G43" i="54" s="1"/>
  <c r="V46" i="63" s="1"/>
  <c r="D90" i="57"/>
  <c r="I76" i="55" s="1"/>
  <c r="F124" i="63" s="1"/>
  <c r="Q124" i="63" s="1"/>
  <c r="F14" i="64"/>
  <c r="C14" i="64" s="1"/>
  <c r="E117" i="56"/>
  <c r="C18" i="62"/>
  <c r="I14" i="56"/>
  <c r="E14" i="56" s="1"/>
  <c r="D14" i="56" s="1"/>
  <c r="U14" i="56" s="1"/>
  <c r="C19" i="62"/>
  <c r="I15" i="56"/>
  <c r="E15" i="56" s="1"/>
  <c r="D15" i="56" s="1"/>
  <c r="U15" i="56" s="1"/>
  <c r="C16" i="62"/>
  <c r="I12" i="56"/>
  <c r="C20" i="62"/>
  <c r="I16" i="56"/>
  <c r="E16" i="56" s="1"/>
  <c r="D16" i="56" s="1"/>
  <c r="U16" i="56" s="1"/>
  <c r="H44" i="54"/>
  <c r="D7" i="57"/>
  <c r="U7" i="57" s="1"/>
  <c r="E79" i="59"/>
  <c r="D87" i="57"/>
  <c r="J73" i="55" s="1"/>
  <c r="D121" i="64" s="1"/>
  <c r="C17" i="62"/>
  <c r="I13" i="56"/>
  <c r="E13" i="56" s="1"/>
  <c r="D13" i="56" s="1"/>
  <c r="U13" i="56" s="1"/>
  <c r="K44" i="54"/>
  <c r="E47" i="64" s="1"/>
  <c r="J44" i="54"/>
  <c r="V47" i="64" s="1"/>
  <c r="G44" i="54"/>
  <c r="D47" i="63" s="1"/>
  <c r="D32" i="57"/>
  <c r="J26" i="55" s="1"/>
  <c r="D94" i="64" s="1"/>
  <c r="W14" i="63"/>
  <c r="N12" i="54"/>
  <c r="W17" i="65" s="1"/>
  <c r="D115" i="56"/>
  <c r="U115" i="56" s="1"/>
  <c r="O12" i="54"/>
  <c r="X17" i="65" s="1"/>
  <c r="M12" i="54"/>
  <c r="D17" i="65" s="1"/>
  <c r="I17" i="65" s="1"/>
  <c r="D86" i="57"/>
  <c r="K72" i="55" s="1"/>
  <c r="E120" i="64" s="1"/>
  <c r="D25" i="57"/>
  <c r="U25" i="57" s="1"/>
  <c r="I12" i="54"/>
  <c r="D45" i="57"/>
  <c r="U45" i="57" s="1"/>
  <c r="G12" i="54"/>
  <c r="D17" i="63" s="1"/>
  <c r="U25" i="56"/>
  <c r="F14" i="65"/>
  <c r="D83" i="57"/>
  <c r="N69" i="55" s="1"/>
  <c r="W117" i="65" s="1"/>
  <c r="U9" i="54"/>
  <c r="J12" i="54"/>
  <c r="D17" i="64" s="1"/>
  <c r="H12" i="54"/>
  <c r="W17" i="63" s="1"/>
  <c r="D74" i="56"/>
  <c r="U74" i="56" s="1"/>
  <c r="D44" i="57"/>
  <c r="U44" i="57" s="1"/>
  <c r="T9" i="54"/>
  <c r="D78" i="57"/>
  <c r="U78" i="57" s="1"/>
  <c r="D19" i="57"/>
  <c r="G13" i="55" s="1"/>
  <c r="D81" i="63" s="1"/>
  <c r="G14" i="65"/>
  <c r="I14" i="65"/>
  <c r="D79" i="57"/>
  <c r="U79" i="57" s="1"/>
  <c r="D122" i="56"/>
  <c r="U122" i="56" s="1"/>
  <c r="G80" i="57"/>
  <c r="G114" i="57" s="1"/>
  <c r="J14" i="54"/>
  <c r="D19" i="64" s="1"/>
  <c r="D92" i="57"/>
  <c r="G78" i="55" s="1"/>
  <c r="D126" i="63" s="1"/>
  <c r="D43" i="57"/>
  <c r="U43" i="57" s="1"/>
  <c r="M14" i="54"/>
  <c r="D19" i="65" s="1"/>
  <c r="D77" i="56"/>
  <c r="M42" i="54" s="1"/>
  <c r="V43" i="65" s="1"/>
  <c r="D91" i="57"/>
  <c r="U91" i="57" s="1"/>
  <c r="E80" i="57"/>
  <c r="E114" i="57" s="1"/>
  <c r="L14" i="54"/>
  <c r="F19" i="64" s="1"/>
  <c r="H14" i="54"/>
  <c r="E19" i="63" s="1"/>
  <c r="D94" i="57"/>
  <c r="K80" i="55" s="1"/>
  <c r="E128" i="64" s="1"/>
  <c r="D14" i="57"/>
  <c r="U14" i="57" s="1"/>
  <c r="D89" i="57"/>
  <c r="O75" i="55" s="1"/>
  <c r="F123" i="65" s="1"/>
  <c r="D84" i="57"/>
  <c r="H70" i="55" s="1"/>
  <c r="E118" i="63" s="1"/>
  <c r="I14" i="54"/>
  <c r="F9" i="57"/>
  <c r="G14" i="54"/>
  <c r="V19" i="63" s="1"/>
  <c r="D6" i="57"/>
  <c r="U6" i="57" s="1"/>
  <c r="D23" i="57"/>
  <c r="J17" i="55" s="1"/>
  <c r="D85" i="64" s="1"/>
  <c r="D13" i="57"/>
  <c r="U13" i="57" s="1"/>
  <c r="O14" i="54"/>
  <c r="F19" i="65" s="1"/>
  <c r="K14" i="54"/>
  <c r="W19" i="64" s="1"/>
  <c r="E16" i="57"/>
  <c r="S10" i="55" s="1"/>
  <c r="D28" i="57"/>
  <c r="U28" i="57" s="1"/>
  <c r="J14" i="65"/>
  <c r="F83" i="56"/>
  <c r="F101" i="56" s="1"/>
  <c r="E71" i="59"/>
  <c r="G83" i="56"/>
  <c r="G101" i="56" s="1"/>
  <c r="E78" i="59"/>
  <c r="X14" i="63"/>
  <c r="F14" i="63"/>
  <c r="F80" i="57"/>
  <c r="F114" i="57" s="1"/>
  <c r="D51" i="57"/>
  <c r="U51" i="57" s="1"/>
  <c r="W14" i="65"/>
  <c r="E14" i="65"/>
  <c r="D75" i="57"/>
  <c r="U75" i="57" s="1"/>
  <c r="D76" i="57"/>
  <c r="U76" i="57" s="1"/>
  <c r="G95" i="57"/>
  <c r="G115" i="57" s="1"/>
  <c r="D30" i="57"/>
  <c r="U30" i="57" s="1"/>
  <c r="G9" i="57"/>
  <c r="G13" i="90"/>
  <c r="E14" i="90"/>
  <c r="G11" i="90"/>
  <c r="G7" i="90"/>
  <c r="G8" i="90"/>
  <c r="F12" i="79"/>
  <c r="F12" i="98"/>
  <c r="F11" i="70"/>
  <c r="K3" i="75"/>
  <c r="H14" i="75"/>
  <c r="H12" i="75"/>
  <c r="H11" i="75"/>
  <c r="E12" i="78"/>
  <c r="E13" i="91"/>
  <c r="E12" i="98"/>
  <c r="H13" i="75"/>
  <c r="F12" i="73"/>
  <c r="E11" i="68"/>
  <c r="E13" i="94"/>
  <c r="E12" i="84"/>
  <c r="E12" i="95"/>
  <c r="F11" i="86"/>
  <c r="E13" i="81"/>
  <c r="F11" i="87"/>
  <c r="F11" i="91"/>
  <c r="F13" i="92"/>
  <c r="E12" i="67"/>
  <c r="E11" i="93"/>
  <c r="E11" i="71"/>
  <c r="F11" i="74"/>
  <c r="E11" i="72"/>
  <c r="E11" i="76"/>
  <c r="E12" i="80"/>
  <c r="F12" i="67"/>
  <c r="F15" i="97"/>
  <c r="F12" i="84"/>
  <c r="E14" i="75"/>
  <c r="G9" i="75" s="1"/>
  <c r="F11" i="80"/>
  <c r="F13" i="95"/>
  <c r="F13" i="90"/>
  <c r="E12" i="79"/>
  <c r="F12" i="78"/>
  <c r="F11" i="72"/>
  <c r="F11" i="85"/>
  <c r="F12" i="66"/>
  <c r="F13" i="93"/>
  <c r="H14" i="99"/>
  <c r="K3" i="99"/>
  <c r="H12" i="99"/>
  <c r="H10" i="99"/>
  <c r="H7" i="99"/>
  <c r="F11" i="96"/>
  <c r="E11" i="89"/>
  <c r="E11" i="70"/>
  <c r="E11" i="73"/>
  <c r="E12" i="82"/>
  <c r="E11" i="74"/>
  <c r="G9" i="90"/>
  <c r="F13" i="89"/>
  <c r="F11" i="71"/>
  <c r="E11" i="97"/>
  <c r="F11" i="81"/>
  <c r="F12" i="94"/>
  <c r="E13" i="99"/>
  <c r="F11" i="76"/>
  <c r="E12" i="96"/>
  <c r="E13" i="92"/>
  <c r="F14" i="88"/>
  <c r="F12" i="68"/>
  <c r="E13" i="87"/>
  <c r="E12" i="66"/>
  <c r="G10" i="90"/>
  <c r="E12" i="88"/>
  <c r="H9" i="75"/>
  <c r="H7" i="75"/>
  <c r="E12" i="86"/>
  <c r="E11" i="85"/>
  <c r="D21" i="57"/>
  <c r="J15" i="55" s="1"/>
  <c r="D83" i="64" s="1"/>
  <c r="D41" i="57"/>
  <c r="U41" i="57" s="1"/>
  <c r="D71" i="56"/>
  <c r="N36" i="54" s="1"/>
  <c r="W37" i="65" s="1"/>
  <c r="D15" i="57"/>
  <c r="U15" i="57" s="1"/>
  <c r="D93" i="57"/>
  <c r="U93" i="57" s="1"/>
  <c r="D88" i="57"/>
  <c r="K74" i="55" s="1"/>
  <c r="D123" i="56"/>
  <c r="U123" i="56" s="1"/>
  <c r="D116" i="56"/>
  <c r="U116" i="56" s="1"/>
  <c r="D22" i="57"/>
  <c r="G16" i="55" s="1"/>
  <c r="E73" i="59"/>
  <c r="D57" i="57"/>
  <c r="U57" i="57" s="1"/>
  <c r="E68" i="56"/>
  <c r="E100" i="56" s="1"/>
  <c r="D63" i="56"/>
  <c r="M44" i="54"/>
  <c r="F16" i="57"/>
  <c r="T10" i="55" s="1"/>
  <c r="D72" i="56"/>
  <c r="D31" i="57"/>
  <c r="J20" i="54"/>
  <c r="D25" i="64" s="1"/>
  <c r="D29" i="57"/>
  <c r="H23" i="55" s="1"/>
  <c r="D33" i="57"/>
  <c r="N27" i="55" s="1"/>
  <c r="E69" i="59"/>
  <c r="K20" i="54"/>
  <c r="O20" i="54"/>
  <c r="M20" i="54"/>
  <c r="D25" i="65" s="1"/>
  <c r="G25" i="65" s="1"/>
  <c r="L20" i="54"/>
  <c r="N20" i="54"/>
  <c r="H20" i="54"/>
  <c r="I20" i="54"/>
  <c r="U31" i="56"/>
  <c r="I44" i="54"/>
  <c r="F47" i="63" s="1"/>
  <c r="D75" i="56"/>
  <c r="F46" i="57"/>
  <c r="G16" i="57"/>
  <c r="U10" i="55" s="1"/>
  <c r="E83" i="56"/>
  <c r="E101" i="56" s="1"/>
  <c r="F78" i="63"/>
  <c r="E78" i="63"/>
  <c r="W78" i="63"/>
  <c r="G26" i="56"/>
  <c r="I19" i="54"/>
  <c r="X78" i="65"/>
  <c r="F78" i="65"/>
  <c r="E21" i="56"/>
  <c r="E26" i="56"/>
  <c r="L44" i="54"/>
  <c r="E85" i="57"/>
  <c r="I95" i="57"/>
  <c r="O34" i="55"/>
  <c r="D12" i="57"/>
  <c r="D14" i="63"/>
  <c r="F9" i="54"/>
  <c r="S9" i="54"/>
  <c r="E24" i="56"/>
  <c r="D24" i="56" s="1"/>
  <c r="D150" i="60"/>
  <c r="F150" i="60" s="1"/>
  <c r="F77" i="59"/>
  <c r="I77" i="59"/>
  <c r="M77" i="59"/>
  <c r="G77" i="59"/>
  <c r="L77" i="59"/>
  <c r="J77" i="59"/>
  <c r="N77" i="59"/>
  <c r="N19" i="54"/>
  <c r="K19" i="54"/>
  <c r="H19" i="54"/>
  <c r="O44" i="54"/>
  <c r="E70" i="59"/>
  <c r="L19" i="54"/>
  <c r="I149" i="64"/>
  <c r="O19" i="54"/>
  <c r="D120" i="57"/>
  <c r="E121" i="57"/>
  <c r="I22" i="56"/>
  <c r="K22" i="56"/>
  <c r="N22" i="56"/>
  <c r="D25" i="63"/>
  <c r="W78" i="65"/>
  <c r="E78" i="65"/>
  <c r="D42" i="57"/>
  <c r="U42" i="57" s="1"/>
  <c r="E46" i="57"/>
  <c r="I149" i="63"/>
  <c r="H34" i="55"/>
  <c r="M19" i="54"/>
  <c r="I14" i="64"/>
  <c r="J14" i="64"/>
  <c r="G14" i="64"/>
  <c r="H14" i="64"/>
  <c r="I27" i="56"/>
  <c r="K27" i="56"/>
  <c r="J27" i="56"/>
  <c r="O27" i="56"/>
  <c r="G27" i="56" s="1"/>
  <c r="E74" i="59"/>
  <c r="D8" i="57"/>
  <c r="E9" i="57"/>
  <c r="F78" i="64"/>
  <c r="X78" i="64"/>
  <c r="D78" i="65"/>
  <c r="A28" i="61"/>
  <c r="E76" i="59"/>
  <c r="G34" i="55"/>
  <c r="F95" i="57"/>
  <c r="K77" i="59"/>
  <c r="J19" i="54"/>
  <c r="I149" i="65"/>
  <c r="N115" i="57"/>
  <c r="K38" i="54"/>
  <c r="E68" i="59"/>
  <c r="M95" i="59"/>
  <c r="G95" i="59"/>
  <c r="H95" i="59"/>
  <c r="K95" i="59"/>
  <c r="N95" i="59"/>
  <c r="F95" i="59"/>
  <c r="L95" i="59"/>
  <c r="J95" i="59"/>
  <c r="D78" i="63"/>
  <c r="F10" i="55"/>
  <c r="Q10" i="55" s="1"/>
  <c r="D78" i="64"/>
  <c r="E78" i="64"/>
  <c r="W78" i="64"/>
  <c r="A78" i="61"/>
  <c r="D77" i="57"/>
  <c r="U77" i="57" s="1"/>
  <c r="E75" i="59"/>
  <c r="E72" i="59"/>
  <c r="G19" i="54"/>
  <c r="O73" i="55" l="1"/>
  <c r="X121" i="65" s="1"/>
  <c r="K47" i="54"/>
  <c r="E50" i="64" s="1"/>
  <c r="J39" i="54"/>
  <c r="D42" i="64" s="1"/>
  <c r="I42" i="64" s="1"/>
  <c r="N78" i="55"/>
  <c r="W126" i="65" s="1"/>
  <c r="J47" i="54"/>
  <c r="D50" i="64" s="1"/>
  <c r="I50" i="64" s="1"/>
  <c r="E19" i="65"/>
  <c r="C19" i="65" s="1"/>
  <c r="U19" i="65" s="1"/>
  <c r="H38" i="54"/>
  <c r="W41" i="63" s="1"/>
  <c r="U73" i="56"/>
  <c r="L47" i="54"/>
  <c r="X50" i="64" s="1"/>
  <c r="H45" i="54"/>
  <c r="W48" i="63" s="1"/>
  <c r="N34" i="55"/>
  <c r="E102" i="65" s="1"/>
  <c r="O45" i="54"/>
  <c r="F46" i="65" s="1"/>
  <c r="Q46" i="65" s="1"/>
  <c r="G47" i="54"/>
  <c r="D50" i="63" s="1"/>
  <c r="H50" i="63" s="1"/>
  <c r="K34" i="55"/>
  <c r="E102" i="64" s="1"/>
  <c r="J34" i="55"/>
  <c r="D102" i="64" s="1"/>
  <c r="M34" i="55"/>
  <c r="D102" i="65" s="1"/>
  <c r="I45" i="54"/>
  <c r="F48" i="63" s="1"/>
  <c r="O48" i="63" s="1"/>
  <c r="U82" i="56"/>
  <c r="M47" i="54"/>
  <c r="D48" i="65" s="1"/>
  <c r="I48" i="65" s="1"/>
  <c r="O47" i="54"/>
  <c r="F48" i="65" s="1"/>
  <c r="O78" i="55"/>
  <c r="F126" i="65" s="1"/>
  <c r="R126" i="65" s="1"/>
  <c r="G46" i="54"/>
  <c r="V49" i="63" s="1"/>
  <c r="N46" i="54"/>
  <c r="W47" i="65" s="1"/>
  <c r="O46" i="54"/>
  <c r="F47" i="65" s="1"/>
  <c r="L34" i="55"/>
  <c r="F102" i="64" s="1"/>
  <c r="Q102" i="64" s="1"/>
  <c r="M39" i="54"/>
  <c r="D40" i="65" s="1"/>
  <c r="G40" i="65" s="1"/>
  <c r="N45" i="54"/>
  <c r="W46" i="65" s="1"/>
  <c r="K45" i="54"/>
  <c r="W48" i="64" s="1"/>
  <c r="G45" i="54"/>
  <c r="D48" i="63" s="1"/>
  <c r="I47" i="54"/>
  <c r="F50" i="63" s="1"/>
  <c r="H47" i="54"/>
  <c r="E50" i="63" s="1"/>
  <c r="U80" i="56"/>
  <c r="L78" i="55"/>
  <c r="F126" i="64" s="1"/>
  <c r="M126" i="64" s="1"/>
  <c r="I46" i="54"/>
  <c r="F49" i="63" s="1"/>
  <c r="I17" i="55"/>
  <c r="F85" i="63" s="1"/>
  <c r="M46" i="54"/>
  <c r="D47" i="65" s="1"/>
  <c r="D51" i="65" s="1"/>
  <c r="M45" i="54"/>
  <c r="V46" i="65" s="1"/>
  <c r="J46" i="54"/>
  <c r="D49" i="64" s="1"/>
  <c r="K46" i="54"/>
  <c r="E49" i="64" s="1"/>
  <c r="H46" i="54"/>
  <c r="E49" i="63" s="1"/>
  <c r="U81" i="56"/>
  <c r="L43" i="54"/>
  <c r="F46" i="64" s="1"/>
  <c r="Q46" i="64" s="1"/>
  <c r="L45" i="54"/>
  <c r="F48" i="64" s="1"/>
  <c r="O48" i="64" s="1"/>
  <c r="W48" i="65"/>
  <c r="D48" i="64"/>
  <c r="E17" i="63"/>
  <c r="N39" i="54"/>
  <c r="E40" i="65" s="1"/>
  <c r="K39" i="54"/>
  <c r="E42" i="64" s="1"/>
  <c r="L39" i="54"/>
  <c r="F42" i="64" s="1"/>
  <c r="G39" i="54"/>
  <c r="D42" i="63" s="1"/>
  <c r="G42" i="63" s="1"/>
  <c r="O39" i="54"/>
  <c r="X40" i="65" s="1"/>
  <c r="I39" i="54"/>
  <c r="X42" i="63" s="1"/>
  <c r="H39" i="54"/>
  <c r="W42" i="63" s="1"/>
  <c r="M78" i="55"/>
  <c r="D126" i="65" s="1"/>
  <c r="J35" i="55"/>
  <c r="V103" i="64" s="1"/>
  <c r="K78" i="55"/>
  <c r="E126" i="64" s="1"/>
  <c r="U19" i="57"/>
  <c r="J78" i="55"/>
  <c r="V126" i="64" s="1"/>
  <c r="E45" i="65"/>
  <c r="D47" i="64"/>
  <c r="X17" i="64"/>
  <c r="L26" i="55"/>
  <c r="F94" i="64" s="1"/>
  <c r="P94" i="64" s="1"/>
  <c r="H42" i="54"/>
  <c r="E45" i="63" s="1"/>
  <c r="I34" i="55"/>
  <c r="F102" i="63" s="1"/>
  <c r="O102" i="63" s="1"/>
  <c r="H78" i="55"/>
  <c r="E126" i="63" s="1"/>
  <c r="J41" i="54"/>
  <c r="D44" i="64" s="1"/>
  <c r="K26" i="55"/>
  <c r="E94" i="64" s="1"/>
  <c r="K41" i="54"/>
  <c r="W44" i="64" s="1"/>
  <c r="I26" i="55"/>
  <c r="F94" i="63" s="1"/>
  <c r="R94" i="63" s="1"/>
  <c r="H41" i="54"/>
  <c r="E44" i="63" s="1"/>
  <c r="W47" i="64"/>
  <c r="O41" i="54"/>
  <c r="F42" i="65" s="1"/>
  <c r="U89" i="57"/>
  <c r="M26" i="55"/>
  <c r="V94" i="65" s="1"/>
  <c r="H26" i="55"/>
  <c r="W94" i="63" s="1"/>
  <c r="J42" i="54"/>
  <c r="V45" i="64" s="1"/>
  <c r="G41" i="54"/>
  <c r="D44" i="63" s="1"/>
  <c r="K16" i="55"/>
  <c r="E84" i="64" s="1"/>
  <c r="N41" i="54"/>
  <c r="W42" i="65" s="1"/>
  <c r="L42" i="54"/>
  <c r="F45" i="64" s="1"/>
  <c r="P45" i="64" s="1"/>
  <c r="T44" i="54"/>
  <c r="D46" i="63"/>
  <c r="E47" i="63"/>
  <c r="S44" i="54"/>
  <c r="W47" i="63"/>
  <c r="E17" i="65"/>
  <c r="E17" i="64"/>
  <c r="C17" i="64" s="1"/>
  <c r="U17" i="64" s="1"/>
  <c r="V47" i="63"/>
  <c r="I72" i="55"/>
  <c r="F120" i="63" s="1"/>
  <c r="N26" i="55"/>
  <c r="W94" i="65" s="1"/>
  <c r="N43" i="54"/>
  <c r="E44" i="65" s="1"/>
  <c r="M43" i="54"/>
  <c r="L72" i="55"/>
  <c r="X120" i="64" s="1"/>
  <c r="I41" i="54"/>
  <c r="U86" i="57"/>
  <c r="U32" i="57"/>
  <c r="L16" i="55"/>
  <c r="X84" i="64" s="1"/>
  <c r="G73" i="55"/>
  <c r="D121" i="63" s="1"/>
  <c r="I121" i="63" s="1"/>
  <c r="M41" i="54"/>
  <c r="O77" i="55"/>
  <c r="F125" i="65" s="1"/>
  <c r="N125" i="65" s="1"/>
  <c r="H77" i="55"/>
  <c r="E125" i="63" s="1"/>
  <c r="N77" i="55"/>
  <c r="W125" i="65" s="1"/>
  <c r="J43" i="54"/>
  <c r="V46" i="64" s="1"/>
  <c r="O26" i="55"/>
  <c r="F94" i="65" s="1"/>
  <c r="R94" i="65" s="1"/>
  <c r="K43" i="54"/>
  <c r="E46" i="64" s="1"/>
  <c r="O43" i="54"/>
  <c r="F44" i="65" s="1"/>
  <c r="M44" i="65" s="1"/>
  <c r="U78" i="56"/>
  <c r="I13" i="55"/>
  <c r="X81" i="63" s="1"/>
  <c r="O13" i="55"/>
  <c r="X81" i="65" s="1"/>
  <c r="G77" i="55"/>
  <c r="V125" i="63" s="1"/>
  <c r="L41" i="54"/>
  <c r="F44" i="64" s="1"/>
  <c r="J72" i="55"/>
  <c r="D120" i="64" s="1"/>
  <c r="H120" i="64" s="1"/>
  <c r="U90" i="57"/>
  <c r="G26" i="55"/>
  <c r="V94" i="63" s="1"/>
  <c r="I43" i="54"/>
  <c r="F46" i="63" s="1"/>
  <c r="M46" i="63" s="1"/>
  <c r="I73" i="55"/>
  <c r="X121" i="63" s="1"/>
  <c r="H13" i="55"/>
  <c r="W81" i="63" s="1"/>
  <c r="N72" i="55"/>
  <c r="E120" i="65" s="1"/>
  <c r="M76" i="55"/>
  <c r="D124" i="65" s="1"/>
  <c r="H43" i="54"/>
  <c r="E46" i="63" s="1"/>
  <c r="K13" i="55"/>
  <c r="E81" i="64" s="1"/>
  <c r="H76" i="55"/>
  <c r="E124" i="63" s="1"/>
  <c r="I69" i="55"/>
  <c r="F117" i="63" s="1"/>
  <c r="N13" i="55"/>
  <c r="W81" i="65" s="1"/>
  <c r="J76" i="55"/>
  <c r="D124" i="64" s="1"/>
  <c r="K76" i="55"/>
  <c r="E124" i="64" s="1"/>
  <c r="L76" i="55"/>
  <c r="F124" i="64" s="1"/>
  <c r="J13" i="55"/>
  <c r="D81" i="64" s="1"/>
  <c r="I81" i="64" s="1"/>
  <c r="T12" i="54"/>
  <c r="O76" i="55"/>
  <c r="F124" i="65" s="1"/>
  <c r="R124" i="65" s="1"/>
  <c r="L13" i="55"/>
  <c r="X81" i="64" s="1"/>
  <c r="K17" i="55"/>
  <c r="N76" i="55"/>
  <c r="W124" i="65" s="1"/>
  <c r="G76" i="55"/>
  <c r="D124" i="63" s="1"/>
  <c r="M13" i="55"/>
  <c r="H17" i="55"/>
  <c r="E85" i="63" s="1"/>
  <c r="U83" i="57"/>
  <c r="K24" i="55"/>
  <c r="E92" i="64" s="1"/>
  <c r="M16" i="55"/>
  <c r="D84" i="65" s="1"/>
  <c r="K77" i="55"/>
  <c r="E125" i="64" s="1"/>
  <c r="J77" i="55"/>
  <c r="D125" i="64" s="1"/>
  <c r="M69" i="55"/>
  <c r="D117" i="65" s="1"/>
  <c r="J117" i="65" s="1"/>
  <c r="H72" i="55"/>
  <c r="W120" i="63" s="1"/>
  <c r="K73" i="55"/>
  <c r="W121" i="64" s="1"/>
  <c r="W120" i="64"/>
  <c r="G69" i="55"/>
  <c r="D117" i="63" s="1"/>
  <c r="G117" i="63" s="1"/>
  <c r="G72" i="55"/>
  <c r="D120" i="63" s="1"/>
  <c r="H120" i="63" s="1"/>
  <c r="H73" i="55"/>
  <c r="E121" i="63" s="1"/>
  <c r="M73" i="55"/>
  <c r="M72" i="55"/>
  <c r="D120" i="65" s="1"/>
  <c r="G120" i="65" s="1"/>
  <c r="H16" i="55"/>
  <c r="W84" i="63" s="1"/>
  <c r="M77" i="55"/>
  <c r="D125" i="65" s="1"/>
  <c r="I77" i="55"/>
  <c r="F125" i="63" s="1"/>
  <c r="O125" i="63" s="1"/>
  <c r="K69" i="55"/>
  <c r="E117" i="64" s="1"/>
  <c r="O72" i="55"/>
  <c r="F120" i="65" s="1"/>
  <c r="N73" i="55"/>
  <c r="W121" i="65" s="1"/>
  <c r="J69" i="55"/>
  <c r="D117" i="64" s="1"/>
  <c r="G117" i="64" s="1"/>
  <c r="L69" i="55"/>
  <c r="F117" i="64" s="1"/>
  <c r="U87" i="57"/>
  <c r="L77" i="55"/>
  <c r="F125" i="64" s="1"/>
  <c r="N125" i="64" s="1"/>
  <c r="H69" i="55"/>
  <c r="W117" i="63" s="1"/>
  <c r="C14" i="65"/>
  <c r="U14" i="65" s="1"/>
  <c r="L73" i="55"/>
  <c r="O69" i="55"/>
  <c r="F117" i="65" s="1"/>
  <c r="J16" i="55"/>
  <c r="D84" i="64" s="1"/>
  <c r="I17" i="56"/>
  <c r="I51" i="56" s="1"/>
  <c r="E12" i="56"/>
  <c r="J17" i="65"/>
  <c r="H17" i="65"/>
  <c r="G17" i="65"/>
  <c r="F12" i="54"/>
  <c r="Q12" i="54" s="1"/>
  <c r="U12" i="54"/>
  <c r="S12" i="54"/>
  <c r="G42" i="54"/>
  <c r="D45" i="63" s="1"/>
  <c r="N42" i="54"/>
  <c r="E43" i="65" s="1"/>
  <c r="J70" i="55"/>
  <c r="D118" i="64" s="1"/>
  <c r="I118" i="64" s="1"/>
  <c r="L17" i="55"/>
  <c r="X85" i="64" s="1"/>
  <c r="I42" i="54"/>
  <c r="F45" i="63" s="1"/>
  <c r="M45" i="63" s="1"/>
  <c r="G70" i="55"/>
  <c r="D118" i="63" s="1"/>
  <c r="H118" i="63" s="1"/>
  <c r="L70" i="55"/>
  <c r="F118" i="64" s="1"/>
  <c r="F17" i="65"/>
  <c r="O42" i="54"/>
  <c r="F43" i="65" s="1"/>
  <c r="M17" i="55"/>
  <c r="D85" i="65" s="1"/>
  <c r="U77" i="56"/>
  <c r="O124" i="63"/>
  <c r="G17" i="55"/>
  <c r="D85" i="63" s="1"/>
  <c r="U23" i="57"/>
  <c r="X17" i="63"/>
  <c r="F17" i="63"/>
  <c r="K42" i="54"/>
  <c r="W45" i="64" s="1"/>
  <c r="N17" i="55"/>
  <c r="W85" i="65" s="1"/>
  <c r="O17" i="55"/>
  <c r="F85" i="65" s="1"/>
  <c r="U84" i="57"/>
  <c r="M70" i="55"/>
  <c r="D118" i="65" s="1"/>
  <c r="G118" i="65" s="1"/>
  <c r="K75" i="55"/>
  <c r="E123" i="64" s="1"/>
  <c r="D114" i="57"/>
  <c r="U114" i="57" s="1"/>
  <c r="D117" i="56"/>
  <c r="U117" i="56" s="1"/>
  <c r="V14" i="65"/>
  <c r="G24" i="55"/>
  <c r="D92" i="63" s="1"/>
  <c r="I24" i="55"/>
  <c r="X92" i="63" s="1"/>
  <c r="M80" i="55"/>
  <c r="D128" i="65" s="1"/>
  <c r="I128" i="65" s="1"/>
  <c r="I35" i="55"/>
  <c r="F103" i="63" s="1"/>
  <c r="Q103" i="63" s="1"/>
  <c r="V19" i="64"/>
  <c r="N35" i="55"/>
  <c r="E103" i="65" s="1"/>
  <c r="V19" i="65"/>
  <c r="M124" i="63"/>
  <c r="E117" i="65"/>
  <c r="P124" i="63"/>
  <c r="D45" i="65"/>
  <c r="V94" i="64"/>
  <c r="U14" i="54"/>
  <c r="W118" i="63"/>
  <c r="F19" i="63"/>
  <c r="O19" i="63" s="1"/>
  <c r="N124" i="63"/>
  <c r="R124" i="63"/>
  <c r="E19" i="64"/>
  <c r="C19" i="64" s="1"/>
  <c r="U19" i="64" s="1"/>
  <c r="V45" i="65"/>
  <c r="N75" i="55"/>
  <c r="E123" i="65" s="1"/>
  <c r="U33" i="57"/>
  <c r="I75" i="55"/>
  <c r="F123" i="63" s="1"/>
  <c r="N123" i="63" s="1"/>
  <c r="J75" i="55"/>
  <c r="L75" i="55"/>
  <c r="F123" i="64" s="1"/>
  <c r="P123" i="64" s="1"/>
  <c r="M75" i="55"/>
  <c r="I78" i="55"/>
  <c r="F126" i="63" s="1"/>
  <c r="R126" i="63" s="1"/>
  <c r="U92" i="57"/>
  <c r="G75" i="55"/>
  <c r="D123" i="63" s="1"/>
  <c r="H75" i="55"/>
  <c r="E123" i="63" s="1"/>
  <c r="O15" i="55"/>
  <c r="X83" i="65" s="1"/>
  <c r="T14" i="54"/>
  <c r="I15" i="55"/>
  <c r="F83" i="63" s="1"/>
  <c r="J24" i="55"/>
  <c r="D92" i="64" s="1"/>
  <c r="O24" i="55"/>
  <c r="F92" i="65" s="1"/>
  <c r="O79" i="55"/>
  <c r="F127" i="65" s="1"/>
  <c r="W19" i="63"/>
  <c r="O16" i="55"/>
  <c r="F84" i="65" s="1"/>
  <c r="U22" i="57"/>
  <c r="N80" i="55"/>
  <c r="W128" i="65" s="1"/>
  <c r="L80" i="55"/>
  <c r="F128" i="64" s="1"/>
  <c r="G79" i="55"/>
  <c r="D127" i="63" s="1"/>
  <c r="N24" i="55"/>
  <c r="W92" i="65" s="1"/>
  <c r="S14" i="54"/>
  <c r="W50" i="64"/>
  <c r="I16" i="55"/>
  <c r="U71" i="56"/>
  <c r="G80" i="55"/>
  <c r="U94" i="57"/>
  <c r="H24" i="55"/>
  <c r="W92" i="63" s="1"/>
  <c r="F14" i="54"/>
  <c r="Q14" i="54" s="1"/>
  <c r="H80" i="55"/>
  <c r="E128" i="63" s="1"/>
  <c r="L24" i="55"/>
  <c r="X92" i="64" s="1"/>
  <c r="D19" i="63"/>
  <c r="N16" i="55"/>
  <c r="W84" i="65" s="1"/>
  <c r="G36" i="54"/>
  <c r="D39" i="63" s="1"/>
  <c r="G39" i="63" s="1"/>
  <c r="O36" i="54"/>
  <c r="F37" i="65" s="1"/>
  <c r="O80" i="55"/>
  <c r="X128" i="65" s="1"/>
  <c r="I70" i="55"/>
  <c r="O70" i="55"/>
  <c r="K70" i="55"/>
  <c r="N70" i="55"/>
  <c r="J80" i="55"/>
  <c r="D128" i="64" s="1"/>
  <c r="J128" i="64" s="1"/>
  <c r="J79" i="55"/>
  <c r="V127" i="64" s="1"/>
  <c r="M24" i="55"/>
  <c r="L79" i="55"/>
  <c r="F127" i="64" s="1"/>
  <c r="K27" i="55"/>
  <c r="W95" i="64" s="1"/>
  <c r="I80" i="55"/>
  <c r="X128" i="63" s="1"/>
  <c r="L27" i="55"/>
  <c r="X95" i="64" s="1"/>
  <c r="U88" i="57"/>
  <c r="O74" i="55"/>
  <c r="F122" i="65" s="1"/>
  <c r="M122" i="65" s="1"/>
  <c r="H35" i="55"/>
  <c r="W103" i="63" s="1"/>
  <c r="M27" i="55"/>
  <c r="D95" i="65" s="1"/>
  <c r="L35" i="55"/>
  <c r="F103" i="64" s="1"/>
  <c r="M79" i="55"/>
  <c r="V127" i="65" s="1"/>
  <c r="V126" i="63"/>
  <c r="N79" i="55"/>
  <c r="H79" i="55"/>
  <c r="E127" i="63" s="1"/>
  <c r="O35" i="55"/>
  <c r="F103" i="65" s="1"/>
  <c r="O27" i="55"/>
  <c r="X95" i="65" s="1"/>
  <c r="H14" i="97"/>
  <c r="E16" i="99"/>
  <c r="E14" i="99"/>
  <c r="E17" i="99"/>
  <c r="G7" i="99"/>
  <c r="G10" i="99"/>
  <c r="G9" i="99"/>
  <c r="E12" i="74"/>
  <c r="F13" i="78"/>
  <c r="F14" i="95"/>
  <c r="G7" i="75"/>
  <c r="F13" i="84"/>
  <c r="E13" i="80"/>
  <c r="E13" i="95"/>
  <c r="E14" i="91"/>
  <c r="G13" i="91" s="1"/>
  <c r="G8" i="91"/>
  <c r="F13" i="98"/>
  <c r="F12" i="91"/>
  <c r="E13" i="96"/>
  <c r="F13" i="94"/>
  <c r="F12" i="85"/>
  <c r="F12" i="80"/>
  <c r="G13" i="75"/>
  <c r="E12" i="76"/>
  <c r="E12" i="71"/>
  <c r="E13" i="67"/>
  <c r="E14" i="81"/>
  <c r="E14" i="94"/>
  <c r="F13" i="79"/>
  <c r="F12" i="71"/>
  <c r="F12" i="96"/>
  <c r="E13" i="66"/>
  <c r="E13" i="82"/>
  <c r="E13" i="79"/>
  <c r="F16" i="97"/>
  <c r="H9" i="97" s="1"/>
  <c r="H15" i="97"/>
  <c r="H8" i="97"/>
  <c r="F12" i="87"/>
  <c r="F12" i="86"/>
  <c r="E13" i="84"/>
  <c r="F12" i="70"/>
  <c r="F13" i="73"/>
  <c r="F14" i="89"/>
  <c r="H13" i="89"/>
  <c r="H7" i="89"/>
  <c r="H11" i="89"/>
  <c r="H9" i="89"/>
  <c r="F14" i="93"/>
  <c r="H7" i="93" s="1"/>
  <c r="F12" i="72"/>
  <c r="G8" i="75"/>
  <c r="F13" i="67"/>
  <c r="E12" i="68"/>
  <c r="E13" i="78"/>
  <c r="E12" i="85"/>
  <c r="F13" i="68"/>
  <c r="E13" i="88"/>
  <c r="E14" i="92"/>
  <c r="G13" i="92"/>
  <c r="H12" i="89"/>
  <c r="G10" i="75"/>
  <c r="E12" i="72"/>
  <c r="E12" i="93"/>
  <c r="F14" i="92"/>
  <c r="H7" i="92" s="1"/>
  <c r="H8" i="92"/>
  <c r="H9" i="92"/>
  <c r="E13" i="98"/>
  <c r="G11" i="99"/>
  <c r="E12" i="70"/>
  <c r="E17" i="75"/>
  <c r="F14" i="90"/>
  <c r="H13" i="90" s="1"/>
  <c r="H8" i="90"/>
  <c r="H9" i="90"/>
  <c r="G11" i="91"/>
  <c r="G10" i="91"/>
  <c r="F15" i="88"/>
  <c r="K2" i="75"/>
  <c r="E16" i="75"/>
  <c r="G14" i="75"/>
  <c r="G12" i="75"/>
  <c r="E14" i="87"/>
  <c r="F12" i="76"/>
  <c r="F12" i="81"/>
  <c r="E12" i="97"/>
  <c r="E13" i="86"/>
  <c r="G12" i="99"/>
  <c r="E12" i="73"/>
  <c r="E12" i="89"/>
  <c r="F13" i="66"/>
  <c r="G11" i="75"/>
  <c r="F12" i="74"/>
  <c r="G7" i="91"/>
  <c r="E16" i="90"/>
  <c r="G14" i="90"/>
  <c r="K2" i="90"/>
  <c r="G12" i="90"/>
  <c r="H11" i="93"/>
  <c r="E122" i="64"/>
  <c r="W122" i="64"/>
  <c r="I74" i="55"/>
  <c r="H27" i="55"/>
  <c r="N74" i="55"/>
  <c r="E122" i="65" s="1"/>
  <c r="H15" i="55"/>
  <c r="K15" i="55"/>
  <c r="W83" i="64" s="1"/>
  <c r="G74" i="55"/>
  <c r="N15" i="55"/>
  <c r="W83" i="65" s="1"/>
  <c r="G27" i="55"/>
  <c r="D95" i="63" s="1"/>
  <c r="H74" i="55"/>
  <c r="E122" i="63" s="1"/>
  <c r="G15" i="55"/>
  <c r="D83" i="63" s="1"/>
  <c r="G83" i="63" s="1"/>
  <c r="K35" i="55"/>
  <c r="E103" i="64" s="1"/>
  <c r="I79" i="55"/>
  <c r="J27" i="55"/>
  <c r="D95" i="64" s="1"/>
  <c r="L74" i="55"/>
  <c r="F122" i="64" s="1"/>
  <c r="N122" i="64" s="1"/>
  <c r="L15" i="55"/>
  <c r="H36" i="54"/>
  <c r="K36" i="54"/>
  <c r="L36" i="54"/>
  <c r="M36" i="54"/>
  <c r="D37" i="65" s="1"/>
  <c r="I37" i="65" s="1"/>
  <c r="I36" i="54"/>
  <c r="J36" i="54"/>
  <c r="D39" i="64" s="1"/>
  <c r="I39" i="64" s="1"/>
  <c r="S20" i="54"/>
  <c r="U29" i="57"/>
  <c r="K79" i="55"/>
  <c r="W127" i="64" s="1"/>
  <c r="M35" i="55"/>
  <c r="D103" i="65" s="1"/>
  <c r="D26" i="56"/>
  <c r="G15" i="54" s="1"/>
  <c r="I27" i="55"/>
  <c r="X95" i="63" s="1"/>
  <c r="J74" i="55"/>
  <c r="D122" i="64" s="1"/>
  <c r="M15" i="55"/>
  <c r="D83" i="65" s="1"/>
  <c r="I83" i="65" s="1"/>
  <c r="M74" i="55"/>
  <c r="U21" i="57"/>
  <c r="F25" i="65"/>
  <c r="X25" i="65"/>
  <c r="W25" i="64"/>
  <c r="E25" i="64"/>
  <c r="W128" i="64"/>
  <c r="L37" i="54"/>
  <c r="H37" i="54"/>
  <c r="I37" i="54"/>
  <c r="U72" i="56"/>
  <c r="M37" i="54"/>
  <c r="D38" i="65" s="1"/>
  <c r="H38" i="65" s="1"/>
  <c r="N37" i="54"/>
  <c r="J37" i="54"/>
  <c r="D40" i="64" s="1"/>
  <c r="J40" i="64" s="1"/>
  <c r="G37" i="54"/>
  <c r="O37" i="54"/>
  <c r="K37" i="54"/>
  <c r="I25" i="65"/>
  <c r="U63" i="56"/>
  <c r="D68" i="56"/>
  <c r="H25" i="65"/>
  <c r="E37" i="65"/>
  <c r="X25" i="63"/>
  <c r="F25" i="63"/>
  <c r="U20" i="54"/>
  <c r="T20" i="54"/>
  <c r="E25" i="63"/>
  <c r="W25" i="63"/>
  <c r="D83" i="56"/>
  <c r="J25" i="65"/>
  <c r="K23" i="55"/>
  <c r="E91" i="64" s="1"/>
  <c r="N23" i="55"/>
  <c r="E91" i="65" s="1"/>
  <c r="D43" i="65"/>
  <c r="E25" i="65"/>
  <c r="W25" i="65"/>
  <c r="F20" i="54"/>
  <c r="Q20" i="54" s="1"/>
  <c r="K40" i="54"/>
  <c r="L40" i="54"/>
  <c r="H40" i="54"/>
  <c r="I40" i="54"/>
  <c r="N40" i="54"/>
  <c r="U75" i="56"/>
  <c r="O40" i="54"/>
  <c r="M40" i="54"/>
  <c r="D41" i="65" s="1"/>
  <c r="G40" i="54"/>
  <c r="J40" i="54"/>
  <c r="D43" i="64" s="1"/>
  <c r="I43" i="64" s="1"/>
  <c r="F25" i="64"/>
  <c r="X25" i="64"/>
  <c r="U31" i="57"/>
  <c r="J25" i="55"/>
  <c r="I25" i="55"/>
  <c r="G25" i="55"/>
  <c r="M25" i="55"/>
  <c r="H25" i="55"/>
  <c r="L25" i="55"/>
  <c r="F93" i="64" s="1"/>
  <c r="P93" i="64" s="1"/>
  <c r="K25" i="55"/>
  <c r="O25" i="55"/>
  <c r="F93" i="65" s="1"/>
  <c r="N93" i="65" s="1"/>
  <c r="N25" i="55"/>
  <c r="G25" i="64"/>
  <c r="I25" i="64"/>
  <c r="J25" i="64"/>
  <c r="H25" i="64"/>
  <c r="I14" i="63"/>
  <c r="C14" i="63"/>
  <c r="G14" i="63"/>
  <c r="H14" i="63"/>
  <c r="J14" i="63"/>
  <c r="D24" i="64"/>
  <c r="V24" i="64"/>
  <c r="D102" i="63"/>
  <c r="V102" i="63"/>
  <c r="G22" i="56"/>
  <c r="N32" i="56"/>
  <c r="E24" i="65"/>
  <c r="W24" i="65"/>
  <c r="I17" i="63"/>
  <c r="J17" i="63"/>
  <c r="G17" i="63"/>
  <c r="H17" i="63"/>
  <c r="D84" i="63"/>
  <c r="N123" i="65"/>
  <c r="O123" i="65"/>
  <c r="P123" i="65"/>
  <c r="Q123" i="65"/>
  <c r="R123" i="65"/>
  <c r="M123" i="65"/>
  <c r="J78" i="65"/>
  <c r="G78" i="65"/>
  <c r="H78" i="65"/>
  <c r="I78" i="65"/>
  <c r="F49" i="64"/>
  <c r="E77" i="59"/>
  <c r="G35" i="55"/>
  <c r="E39" i="65"/>
  <c r="W39" i="65"/>
  <c r="E41" i="64"/>
  <c r="W41" i="64"/>
  <c r="H83" i="64"/>
  <c r="I83" i="64"/>
  <c r="J83" i="64"/>
  <c r="G83" i="64"/>
  <c r="U8" i="57"/>
  <c r="D9" i="57"/>
  <c r="H25" i="63"/>
  <c r="I25" i="63"/>
  <c r="J25" i="63"/>
  <c r="G25" i="63"/>
  <c r="W24" i="63"/>
  <c r="E24" i="63"/>
  <c r="T19" i="54"/>
  <c r="D80" i="57"/>
  <c r="G81" i="63"/>
  <c r="H81" i="63"/>
  <c r="I81" i="63"/>
  <c r="J81" i="63"/>
  <c r="I78" i="63"/>
  <c r="J78" i="63"/>
  <c r="G78" i="63"/>
  <c r="H78" i="63"/>
  <c r="F47" i="64"/>
  <c r="E27" i="56"/>
  <c r="D27" i="56" s="1"/>
  <c r="E91" i="63"/>
  <c r="W91" i="63"/>
  <c r="D85" i="57"/>
  <c r="E95" i="57"/>
  <c r="F24" i="63"/>
  <c r="U19" i="54"/>
  <c r="G78" i="64"/>
  <c r="H78" i="64"/>
  <c r="I78" i="64"/>
  <c r="J78" i="64"/>
  <c r="J149" i="65"/>
  <c r="F115" i="57"/>
  <c r="H85" i="64"/>
  <c r="I85" i="64"/>
  <c r="J85" i="64"/>
  <c r="G85" i="64"/>
  <c r="J149" i="63"/>
  <c r="E22" i="56"/>
  <c r="F24" i="65"/>
  <c r="U44" i="54"/>
  <c r="G17" i="64"/>
  <c r="I17" i="64"/>
  <c r="H17" i="64"/>
  <c r="J17" i="64"/>
  <c r="U120" i="57"/>
  <c r="D121" i="57"/>
  <c r="U24" i="56"/>
  <c r="N13" i="54"/>
  <c r="O13" i="54"/>
  <c r="G13" i="54"/>
  <c r="H13" i="54"/>
  <c r="L13" i="54"/>
  <c r="M13" i="54"/>
  <c r="I13" i="54"/>
  <c r="K13" i="54"/>
  <c r="J13" i="54"/>
  <c r="V24" i="63"/>
  <c r="D24" i="63"/>
  <c r="F19" i="54"/>
  <c r="Q19" i="54" s="1"/>
  <c r="S19" i="54"/>
  <c r="C31" i="61"/>
  <c r="C49" i="61" s="1"/>
  <c r="E102" i="63"/>
  <c r="W102" i="63"/>
  <c r="W24" i="64"/>
  <c r="E24" i="64"/>
  <c r="F44" i="54"/>
  <c r="Q44" i="54" s="1"/>
  <c r="O32" i="56"/>
  <c r="H121" i="64"/>
  <c r="I121" i="64"/>
  <c r="J121" i="64"/>
  <c r="G121" i="64"/>
  <c r="E95" i="59"/>
  <c r="V14" i="64"/>
  <c r="M19" i="65"/>
  <c r="N19" i="65"/>
  <c r="P19" i="65"/>
  <c r="Q19" i="65"/>
  <c r="O19" i="65"/>
  <c r="R19" i="65"/>
  <c r="J149" i="64"/>
  <c r="Q9" i="54"/>
  <c r="U12" i="57"/>
  <c r="D16" i="57"/>
  <c r="U16" i="57" s="1"/>
  <c r="Q19" i="64"/>
  <c r="R19" i="64"/>
  <c r="P19" i="64"/>
  <c r="M19" i="64"/>
  <c r="N19" i="64"/>
  <c r="O19" i="64"/>
  <c r="D21" i="56"/>
  <c r="N47" i="63"/>
  <c r="M47" i="63"/>
  <c r="O47" i="63"/>
  <c r="P47" i="63"/>
  <c r="Q47" i="63"/>
  <c r="R47" i="63"/>
  <c r="I115" i="57"/>
  <c r="I28" i="56"/>
  <c r="K28" i="56"/>
  <c r="P28" i="56"/>
  <c r="J28" i="56"/>
  <c r="U14" i="64"/>
  <c r="D24" i="65"/>
  <c r="V24" i="65"/>
  <c r="F24" i="64"/>
  <c r="F45" i="65"/>
  <c r="F102" i="65"/>
  <c r="E95" i="65"/>
  <c r="W95" i="65"/>
  <c r="F121" i="65" l="1"/>
  <c r="H50" i="64"/>
  <c r="J50" i="64"/>
  <c r="T38" i="54"/>
  <c r="E41" i="63"/>
  <c r="G50" i="64"/>
  <c r="E126" i="65"/>
  <c r="F50" i="64"/>
  <c r="N46" i="65"/>
  <c r="P46" i="65"/>
  <c r="S34" i="55"/>
  <c r="O46" i="65"/>
  <c r="J50" i="63"/>
  <c r="I50" i="63"/>
  <c r="G50" i="63"/>
  <c r="W102" i="65"/>
  <c r="E48" i="63"/>
  <c r="T34" i="55"/>
  <c r="W102" i="64"/>
  <c r="V102" i="64"/>
  <c r="M46" i="65"/>
  <c r="R46" i="65"/>
  <c r="V102" i="65"/>
  <c r="J48" i="65"/>
  <c r="H48" i="65"/>
  <c r="S47" i="54"/>
  <c r="G48" i="65"/>
  <c r="M102" i="64"/>
  <c r="R126" i="64"/>
  <c r="Q126" i="65"/>
  <c r="D49" i="63"/>
  <c r="P102" i="64"/>
  <c r="N102" i="64"/>
  <c r="R102" i="64"/>
  <c r="O102" i="64"/>
  <c r="E47" i="65"/>
  <c r="E51" i="65" s="1"/>
  <c r="M126" i="65"/>
  <c r="N126" i="65"/>
  <c r="N126" i="64"/>
  <c r="O126" i="65"/>
  <c r="P126" i="65"/>
  <c r="I40" i="65"/>
  <c r="V48" i="63"/>
  <c r="U46" i="54"/>
  <c r="H40" i="65"/>
  <c r="J40" i="65"/>
  <c r="D46" i="65"/>
  <c r="X48" i="65"/>
  <c r="F47" i="54"/>
  <c r="Q47" i="54" s="1"/>
  <c r="X50" i="63"/>
  <c r="T47" i="54"/>
  <c r="E46" i="65"/>
  <c r="O126" i="64"/>
  <c r="W50" i="63"/>
  <c r="P126" i="64"/>
  <c r="Q126" i="64"/>
  <c r="X85" i="63"/>
  <c r="U47" i="54"/>
  <c r="E48" i="64"/>
  <c r="S46" i="54"/>
  <c r="T45" i="54"/>
  <c r="Q48" i="64"/>
  <c r="V47" i="65"/>
  <c r="V49" i="64"/>
  <c r="D103" i="64"/>
  <c r="S45" i="54"/>
  <c r="U45" i="54"/>
  <c r="W49" i="63"/>
  <c r="W49" i="64"/>
  <c r="M48" i="64"/>
  <c r="N48" i="64"/>
  <c r="F45" i="54"/>
  <c r="Q45" i="54" s="1"/>
  <c r="T46" i="54"/>
  <c r="F46" i="54"/>
  <c r="Q46" i="54" s="1"/>
  <c r="R48" i="64"/>
  <c r="P48" i="64"/>
  <c r="S13" i="55"/>
  <c r="W40" i="65"/>
  <c r="D126" i="64"/>
  <c r="M102" i="63"/>
  <c r="F34" i="55"/>
  <c r="Q34" i="55" s="1"/>
  <c r="W126" i="64"/>
  <c r="W42" i="64"/>
  <c r="J42" i="63"/>
  <c r="I42" i="63"/>
  <c r="X42" i="64"/>
  <c r="H42" i="63"/>
  <c r="F42" i="63"/>
  <c r="S39" i="54"/>
  <c r="C17" i="63"/>
  <c r="U17" i="63" s="1"/>
  <c r="E42" i="63"/>
  <c r="U39" i="54"/>
  <c r="F40" i="65"/>
  <c r="R94" i="64"/>
  <c r="O94" i="64"/>
  <c r="T39" i="54"/>
  <c r="V126" i="65"/>
  <c r="F39" i="54"/>
  <c r="Q39" i="54" s="1"/>
  <c r="D45" i="64"/>
  <c r="S78" i="55"/>
  <c r="E94" i="63"/>
  <c r="I117" i="64"/>
  <c r="W45" i="63"/>
  <c r="W44" i="63"/>
  <c r="W84" i="64"/>
  <c r="N102" i="63"/>
  <c r="M94" i="64"/>
  <c r="N94" i="64"/>
  <c r="Q94" i="64"/>
  <c r="W120" i="65"/>
  <c r="V44" i="64"/>
  <c r="X117" i="64"/>
  <c r="G118" i="63"/>
  <c r="H117" i="64"/>
  <c r="Q102" i="63"/>
  <c r="W46" i="64"/>
  <c r="W94" i="64"/>
  <c r="R102" i="63"/>
  <c r="W126" i="63"/>
  <c r="P102" i="63"/>
  <c r="M45" i="64"/>
  <c r="U34" i="55"/>
  <c r="E120" i="63"/>
  <c r="E84" i="63"/>
  <c r="Q45" i="64"/>
  <c r="T78" i="55"/>
  <c r="D94" i="65"/>
  <c r="O94" i="63"/>
  <c r="Q94" i="63"/>
  <c r="T41" i="54"/>
  <c r="E44" i="64"/>
  <c r="M125" i="65"/>
  <c r="O45" i="64"/>
  <c r="P94" i="63"/>
  <c r="N45" i="64"/>
  <c r="E81" i="63"/>
  <c r="N94" i="63"/>
  <c r="M94" i="63"/>
  <c r="E42" i="65"/>
  <c r="V44" i="63"/>
  <c r="R45" i="64"/>
  <c r="X120" i="63"/>
  <c r="S41" i="54"/>
  <c r="I118" i="65"/>
  <c r="E125" i="65"/>
  <c r="V42" i="65"/>
  <c r="H120" i="65"/>
  <c r="J117" i="64"/>
  <c r="I120" i="65"/>
  <c r="J120" i="65"/>
  <c r="P44" i="65"/>
  <c r="P125" i="65"/>
  <c r="O125" i="65"/>
  <c r="G120" i="64"/>
  <c r="F81" i="64"/>
  <c r="R125" i="65"/>
  <c r="C17" i="65"/>
  <c r="U17" i="65" s="1"/>
  <c r="F81" i="63"/>
  <c r="R46" i="63"/>
  <c r="W81" i="64"/>
  <c r="Q44" i="65"/>
  <c r="F85" i="64"/>
  <c r="U43" i="54"/>
  <c r="F120" i="64"/>
  <c r="P46" i="63"/>
  <c r="O44" i="65"/>
  <c r="Q125" i="65"/>
  <c r="W46" i="63"/>
  <c r="W85" i="63"/>
  <c r="N44" i="65"/>
  <c r="I118" i="63"/>
  <c r="J118" i="65"/>
  <c r="M125" i="64"/>
  <c r="I120" i="64"/>
  <c r="Q46" i="63"/>
  <c r="J118" i="63"/>
  <c r="J120" i="64"/>
  <c r="W125" i="63"/>
  <c r="R44" i="65"/>
  <c r="S43" i="54"/>
  <c r="E121" i="64"/>
  <c r="V124" i="65"/>
  <c r="D42" i="65"/>
  <c r="T72" i="55"/>
  <c r="U76" i="55"/>
  <c r="F43" i="54"/>
  <c r="Q43" i="54" s="1"/>
  <c r="W103" i="65"/>
  <c r="E124" i="65"/>
  <c r="S70" i="55"/>
  <c r="H121" i="63"/>
  <c r="T17" i="55"/>
  <c r="P46" i="64"/>
  <c r="T26" i="55"/>
  <c r="W124" i="64"/>
  <c r="W44" i="65"/>
  <c r="O46" i="63"/>
  <c r="W92" i="64"/>
  <c r="D46" i="64"/>
  <c r="T76" i="55"/>
  <c r="N46" i="63"/>
  <c r="F95" i="63"/>
  <c r="H118" i="65"/>
  <c r="F81" i="65"/>
  <c r="E45" i="64"/>
  <c r="O124" i="65"/>
  <c r="X117" i="63"/>
  <c r="E94" i="65"/>
  <c r="P124" i="65"/>
  <c r="T43" i="54"/>
  <c r="S73" i="55"/>
  <c r="R125" i="64"/>
  <c r="N94" i="65"/>
  <c r="P125" i="64"/>
  <c r="F121" i="63"/>
  <c r="F41" i="54"/>
  <c r="Q41" i="54" s="1"/>
  <c r="F26" i="55"/>
  <c r="Q26" i="55" s="1"/>
  <c r="W85" i="64"/>
  <c r="U13" i="55"/>
  <c r="E85" i="64"/>
  <c r="O125" i="64"/>
  <c r="I117" i="63"/>
  <c r="D125" i="63"/>
  <c r="Q125" i="64"/>
  <c r="F84" i="64"/>
  <c r="N124" i="65"/>
  <c r="S26" i="55"/>
  <c r="M94" i="65"/>
  <c r="J117" i="63"/>
  <c r="U41" i="54"/>
  <c r="E81" i="65"/>
  <c r="W124" i="63"/>
  <c r="H117" i="63"/>
  <c r="D94" i="63"/>
  <c r="O94" i="65"/>
  <c r="F44" i="63"/>
  <c r="O44" i="63" s="1"/>
  <c r="V125" i="65"/>
  <c r="F83" i="65"/>
  <c r="P94" i="65"/>
  <c r="D44" i="65"/>
  <c r="V44" i="65"/>
  <c r="S16" i="55"/>
  <c r="V124" i="64"/>
  <c r="R19" i="63"/>
  <c r="T13" i="55"/>
  <c r="M124" i="65"/>
  <c r="E117" i="63"/>
  <c r="N19" i="63"/>
  <c r="U26" i="55"/>
  <c r="Q124" i="65"/>
  <c r="Q94" i="65"/>
  <c r="V17" i="65"/>
  <c r="G121" i="63"/>
  <c r="J121" i="63"/>
  <c r="D81" i="65"/>
  <c r="G81" i="65" s="1"/>
  <c r="J81" i="64"/>
  <c r="W125" i="64"/>
  <c r="H118" i="64"/>
  <c r="H81" i="64"/>
  <c r="F13" i="55"/>
  <c r="Q13" i="55" s="1"/>
  <c r="U77" i="55"/>
  <c r="S69" i="55"/>
  <c r="G118" i="64"/>
  <c r="F76" i="55"/>
  <c r="Q76" i="55" s="1"/>
  <c r="V124" i="63"/>
  <c r="G81" i="64"/>
  <c r="J118" i="64"/>
  <c r="E85" i="65"/>
  <c r="S76" i="55"/>
  <c r="E121" i="65"/>
  <c r="J128" i="65"/>
  <c r="T69" i="55"/>
  <c r="U69" i="55"/>
  <c r="G117" i="65"/>
  <c r="W121" i="63"/>
  <c r="W117" i="64"/>
  <c r="F73" i="55"/>
  <c r="Q73" i="55" s="1"/>
  <c r="X117" i="65"/>
  <c r="D121" i="65"/>
  <c r="G120" i="63"/>
  <c r="I117" i="65"/>
  <c r="T77" i="55"/>
  <c r="F69" i="55"/>
  <c r="Q69" i="55" s="1"/>
  <c r="U72" i="55"/>
  <c r="T73" i="55"/>
  <c r="F121" i="64"/>
  <c r="X121" i="64"/>
  <c r="J120" i="63"/>
  <c r="O15" i="54"/>
  <c r="F20" i="65" s="1"/>
  <c r="H117" i="65"/>
  <c r="D12" i="56"/>
  <c r="E17" i="56"/>
  <c r="E51" i="56" s="1"/>
  <c r="S77" i="55"/>
  <c r="F77" i="55"/>
  <c r="Q77" i="55" s="1"/>
  <c r="I120" i="63"/>
  <c r="V45" i="63"/>
  <c r="F72" i="55"/>
  <c r="Q72" i="55" s="1"/>
  <c r="H39" i="64"/>
  <c r="S42" i="54"/>
  <c r="S72" i="55"/>
  <c r="V125" i="64"/>
  <c r="X120" i="65"/>
  <c r="U73" i="55"/>
  <c r="X85" i="65"/>
  <c r="V103" i="65"/>
  <c r="E95" i="64"/>
  <c r="I128" i="64"/>
  <c r="I40" i="64"/>
  <c r="H128" i="64"/>
  <c r="U17" i="55"/>
  <c r="N103" i="63"/>
  <c r="X118" i="64"/>
  <c r="W123" i="64"/>
  <c r="F95" i="65"/>
  <c r="F92" i="63"/>
  <c r="W43" i="65"/>
  <c r="S24" i="55"/>
  <c r="T42" i="54"/>
  <c r="F42" i="54"/>
  <c r="Q42" i="54" s="1"/>
  <c r="P45" i="63"/>
  <c r="U42" i="54"/>
  <c r="G39" i="64"/>
  <c r="N45" i="63"/>
  <c r="P103" i="63"/>
  <c r="R45" i="63"/>
  <c r="S17" i="55"/>
  <c r="Q45" i="63"/>
  <c r="M103" i="63"/>
  <c r="F17" i="55"/>
  <c r="Q17" i="55" s="1"/>
  <c r="O45" i="63"/>
  <c r="O103" i="63"/>
  <c r="J39" i="64"/>
  <c r="R103" i="63"/>
  <c r="W123" i="65"/>
  <c r="F92" i="64"/>
  <c r="D92" i="65"/>
  <c r="I92" i="65" s="1"/>
  <c r="H128" i="65"/>
  <c r="G128" i="65"/>
  <c r="V123" i="63"/>
  <c r="C124" i="63"/>
  <c r="U124" i="63" s="1"/>
  <c r="O46" i="64"/>
  <c r="X84" i="65"/>
  <c r="E92" i="65"/>
  <c r="N46" i="64"/>
  <c r="F16" i="55"/>
  <c r="Q16" i="55" s="1"/>
  <c r="H42" i="64"/>
  <c r="R48" i="63"/>
  <c r="M46" i="64"/>
  <c r="P48" i="63"/>
  <c r="X124" i="63"/>
  <c r="R46" i="64"/>
  <c r="N48" i="63"/>
  <c r="Q126" i="63"/>
  <c r="P126" i="63"/>
  <c r="E103" i="63"/>
  <c r="X84" i="63"/>
  <c r="U16" i="55"/>
  <c r="F84" i="63"/>
  <c r="J39" i="63"/>
  <c r="G128" i="64"/>
  <c r="M19" i="63"/>
  <c r="C19" i="63"/>
  <c r="U19" i="63" s="1"/>
  <c r="I39" i="63"/>
  <c r="T24" i="55"/>
  <c r="E84" i="65"/>
  <c r="T16" i="55"/>
  <c r="Q19" i="63"/>
  <c r="E92" i="63"/>
  <c r="P19" i="63"/>
  <c r="H39" i="63"/>
  <c r="N126" i="63"/>
  <c r="M123" i="64"/>
  <c r="V127" i="63"/>
  <c r="W123" i="63"/>
  <c r="T75" i="55"/>
  <c r="F27" i="55"/>
  <c r="Q27" i="55" s="1"/>
  <c r="F95" i="64"/>
  <c r="T27" i="55"/>
  <c r="U27" i="55"/>
  <c r="T35" i="55"/>
  <c r="S75" i="55"/>
  <c r="M48" i="63"/>
  <c r="Q48" i="63"/>
  <c r="M125" i="63"/>
  <c r="Q122" i="65"/>
  <c r="R122" i="65"/>
  <c r="P122" i="65"/>
  <c r="O122" i="65"/>
  <c r="X83" i="63"/>
  <c r="O126" i="63"/>
  <c r="C25" i="63"/>
  <c r="U25" i="63" s="1"/>
  <c r="T80" i="55"/>
  <c r="M126" i="63"/>
  <c r="N122" i="65"/>
  <c r="F78" i="55"/>
  <c r="Q78" i="55" s="1"/>
  <c r="U78" i="55"/>
  <c r="R125" i="63"/>
  <c r="M123" i="63"/>
  <c r="U35" i="55"/>
  <c r="O123" i="64"/>
  <c r="N123" i="64"/>
  <c r="Q123" i="64"/>
  <c r="R123" i="64"/>
  <c r="U75" i="55"/>
  <c r="V123" i="64"/>
  <c r="D123" i="64"/>
  <c r="R123" i="63"/>
  <c r="E128" i="65"/>
  <c r="Q123" i="63"/>
  <c r="F75" i="55"/>
  <c r="Q75" i="55" s="1"/>
  <c r="F70" i="55"/>
  <c r="Q70" i="55" s="1"/>
  <c r="D123" i="65"/>
  <c r="V123" i="65"/>
  <c r="P123" i="63"/>
  <c r="O123" i="63"/>
  <c r="C25" i="65"/>
  <c r="U25" i="65" s="1"/>
  <c r="X92" i="65"/>
  <c r="U24" i="55"/>
  <c r="F24" i="55"/>
  <c r="Q24" i="55" s="1"/>
  <c r="W91" i="65"/>
  <c r="S80" i="55"/>
  <c r="V25" i="65"/>
  <c r="U80" i="55"/>
  <c r="J83" i="65"/>
  <c r="W127" i="63"/>
  <c r="F128" i="63"/>
  <c r="T79" i="55"/>
  <c r="W128" i="63"/>
  <c r="K48" i="54"/>
  <c r="W51" i="64" s="1"/>
  <c r="S79" i="55"/>
  <c r="H83" i="65"/>
  <c r="D128" i="63"/>
  <c r="H128" i="63" s="1"/>
  <c r="X37" i="65"/>
  <c r="G83" i="65"/>
  <c r="W118" i="65"/>
  <c r="E118" i="65"/>
  <c r="G42" i="64"/>
  <c r="D127" i="64"/>
  <c r="E118" i="64"/>
  <c r="W118" i="64"/>
  <c r="T70" i="55"/>
  <c r="J42" i="64"/>
  <c r="X128" i="64"/>
  <c r="X118" i="65"/>
  <c r="F118" i="65"/>
  <c r="F128" i="65"/>
  <c r="H40" i="64"/>
  <c r="F80" i="55"/>
  <c r="Q80" i="55" s="1"/>
  <c r="X118" i="63"/>
  <c r="F118" i="63"/>
  <c r="U70" i="55"/>
  <c r="S36" i="54"/>
  <c r="J83" i="63"/>
  <c r="G37" i="65"/>
  <c r="E127" i="65"/>
  <c r="D127" i="65"/>
  <c r="G40" i="64"/>
  <c r="J15" i="54"/>
  <c r="D20" i="64" s="1"/>
  <c r="T36" i="54"/>
  <c r="K15" i="54"/>
  <c r="E20" i="64" s="1"/>
  <c r="I83" i="63"/>
  <c r="J37" i="65"/>
  <c r="W127" i="65"/>
  <c r="W103" i="64"/>
  <c r="I15" i="54"/>
  <c r="F20" i="63" s="1"/>
  <c r="H83" i="63"/>
  <c r="N48" i="54"/>
  <c r="W49" i="65" s="1"/>
  <c r="U26" i="56"/>
  <c r="N15" i="54"/>
  <c r="W20" i="65" s="1"/>
  <c r="H43" i="64"/>
  <c r="H37" i="65"/>
  <c r="L15" i="54"/>
  <c r="F20" i="64" s="1"/>
  <c r="W95" i="63"/>
  <c r="H15" i="54"/>
  <c r="E20" i="63" s="1"/>
  <c r="E95" i="63"/>
  <c r="M15" i="54"/>
  <c r="D20" i="65" s="1"/>
  <c r="F79" i="55"/>
  <c r="Q79" i="55" s="1"/>
  <c r="C25" i="64"/>
  <c r="U25" i="64" s="1"/>
  <c r="E127" i="64"/>
  <c r="Q125" i="63"/>
  <c r="P122" i="64"/>
  <c r="N125" i="63"/>
  <c r="S27" i="55"/>
  <c r="G12" i="79"/>
  <c r="H12" i="98"/>
  <c r="E14" i="86"/>
  <c r="H8" i="88"/>
  <c r="H13" i="92"/>
  <c r="K2" i="92"/>
  <c r="G14" i="92"/>
  <c r="E16" i="92"/>
  <c r="G12" i="92"/>
  <c r="G7" i="92"/>
  <c r="G8" i="92"/>
  <c r="G10" i="92"/>
  <c r="F14" i="67"/>
  <c r="H13" i="93"/>
  <c r="F13" i="70"/>
  <c r="F13" i="91"/>
  <c r="E14" i="80"/>
  <c r="H13" i="88"/>
  <c r="G13" i="79"/>
  <c r="E16" i="79"/>
  <c r="E14" i="79"/>
  <c r="F13" i="81"/>
  <c r="E15" i="87"/>
  <c r="E14" i="84"/>
  <c r="F13" i="87"/>
  <c r="L3" i="97"/>
  <c r="H16" i="97"/>
  <c r="H7" i="97"/>
  <c r="E15" i="94"/>
  <c r="E13" i="71"/>
  <c r="E14" i="95"/>
  <c r="F14" i="78"/>
  <c r="H8" i="78" s="1"/>
  <c r="H9" i="78"/>
  <c r="E17" i="79"/>
  <c r="F14" i="79"/>
  <c r="H13" i="79" s="1"/>
  <c r="H8" i="79"/>
  <c r="E14" i="78"/>
  <c r="G11" i="78" s="1"/>
  <c r="G13" i="78"/>
  <c r="G8" i="78"/>
  <c r="G9" i="78"/>
  <c r="F13" i="72"/>
  <c r="F14" i="98"/>
  <c r="H10" i="98" s="1"/>
  <c r="H8" i="98"/>
  <c r="F14" i="84"/>
  <c r="G11" i="79"/>
  <c r="H12" i="90"/>
  <c r="F14" i="94"/>
  <c r="E13" i="73"/>
  <c r="E13" i="70"/>
  <c r="G12" i="78"/>
  <c r="H9" i="93"/>
  <c r="H11" i="97"/>
  <c r="G9" i="79"/>
  <c r="E14" i="66"/>
  <c r="F13" i="71"/>
  <c r="E14" i="67"/>
  <c r="E13" i="76"/>
  <c r="F13" i="74"/>
  <c r="F14" i="66"/>
  <c r="H11" i="92"/>
  <c r="E13" i="93"/>
  <c r="G9" i="92"/>
  <c r="E14" i="88"/>
  <c r="F14" i="73"/>
  <c r="H10" i="97"/>
  <c r="G7" i="79"/>
  <c r="F13" i="85"/>
  <c r="G14" i="99"/>
  <c r="K2" i="99"/>
  <c r="G8" i="99"/>
  <c r="F13" i="80"/>
  <c r="F13" i="76"/>
  <c r="F14" i="68"/>
  <c r="K3" i="90"/>
  <c r="E17" i="90"/>
  <c r="H14" i="90"/>
  <c r="H11" i="90"/>
  <c r="H7" i="90"/>
  <c r="H10" i="90"/>
  <c r="G10" i="78"/>
  <c r="E13" i="89"/>
  <c r="E13" i="97"/>
  <c r="E13" i="72"/>
  <c r="G11" i="92"/>
  <c r="H14" i="89"/>
  <c r="K3" i="89"/>
  <c r="H8" i="89"/>
  <c r="H10" i="89"/>
  <c r="H12" i="97"/>
  <c r="G10" i="79"/>
  <c r="E14" i="82"/>
  <c r="H7" i="79"/>
  <c r="E14" i="96"/>
  <c r="G14" i="91"/>
  <c r="E16" i="91"/>
  <c r="K2" i="91"/>
  <c r="G9" i="91"/>
  <c r="G12" i="91"/>
  <c r="E15" i="81"/>
  <c r="H15" i="88"/>
  <c r="F16" i="88"/>
  <c r="H11" i="88" s="1"/>
  <c r="G13" i="98"/>
  <c r="E14" i="98"/>
  <c r="G12" i="98" s="1"/>
  <c r="G11" i="98"/>
  <c r="G10" i="98"/>
  <c r="G9" i="98"/>
  <c r="G8" i="98"/>
  <c r="K3" i="92"/>
  <c r="E17" i="92"/>
  <c r="H14" i="92"/>
  <c r="H12" i="92"/>
  <c r="H10" i="92"/>
  <c r="E13" i="85"/>
  <c r="E13" i="68"/>
  <c r="K3" i="93"/>
  <c r="H14" i="93"/>
  <c r="H12" i="93"/>
  <c r="H8" i="93"/>
  <c r="H10" i="93"/>
  <c r="F13" i="86"/>
  <c r="H13" i="97"/>
  <c r="G8" i="79"/>
  <c r="F13" i="96"/>
  <c r="F15" i="95"/>
  <c r="E13" i="74"/>
  <c r="G13" i="99"/>
  <c r="O122" i="64"/>
  <c r="R122" i="64"/>
  <c r="E83" i="65"/>
  <c r="E39" i="63"/>
  <c r="W39" i="63"/>
  <c r="Q122" i="64"/>
  <c r="S15" i="55"/>
  <c r="F36" i="54"/>
  <c r="Q36" i="54" s="1"/>
  <c r="W122" i="63"/>
  <c r="U15" i="55"/>
  <c r="F83" i="64"/>
  <c r="X83" i="64"/>
  <c r="E83" i="63"/>
  <c r="W83" i="63"/>
  <c r="S74" i="55"/>
  <c r="V122" i="63"/>
  <c r="F74" i="55"/>
  <c r="Q74" i="55" s="1"/>
  <c r="M122" i="64"/>
  <c r="T15" i="55"/>
  <c r="V122" i="65"/>
  <c r="D122" i="65"/>
  <c r="P93" i="65"/>
  <c r="R93" i="64"/>
  <c r="U79" i="55"/>
  <c r="O93" i="64"/>
  <c r="F127" i="63"/>
  <c r="M127" i="63" s="1"/>
  <c r="D122" i="63"/>
  <c r="U74" i="55"/>
  <c r="F122" i="63"/>
  <c r="T74" i="55"/>
  <c r="V122" i="64"/>
  <c r="X39" i="63"/>
  <c r="F39" i="63"/>
  <c r="U36" i="54"/>
  <c r="M93" i="64"/>
  <c r="N93" i="64"/>
  <c r="P124" i="64"/>
  <c r="Q124" i="64"/>
  <c r="R124" i="64"/>
  <c r="M124" i="64"/>
  <c r="N124" i="64"/>
  <c r="O124" i="64"/>
  <c r="W122" i="65"/>
  <c r="E83" i="64"/>
  <c r="F15" i="55"/>
  <c r="Q15" i="55" s="1"/>
  <c r="F39" i="64"/>
  <c r="X39" i="64"/>
  <c r="E39" i="64"/>
  <c r="W39" i="64"/>
  <c r="W93" i="64"/>
  <c r="E93" i="64"/>
  <c r="S25" i="55"/>
  <c r="D93" i="65"/>
  <c r="V93" i="65"/>
  <c r="W41" i="65"/>
  <c r="E41" i="65"/>
  <c r="E93" i="65"/>
  <c r="W93" i="65"/>
  <c r="D43" i="63"/>
  <c r="S40" i="54"/>
  <c r="F40" i="54"/>
  <c r="Q40" i="54" s="1"/>
  <c r="F40" i="63"/>
  <c r="X40" i="63"/>
  <c r="U37" i="54"/>
  <c r="H41" i="65"/>
  <c r="I41" i="65"/>
  <c r="J41" i="65"/>
  <c r="G41" i="65"/>
  <c r="W40" i="63"/>
  <c r="T37" i="54"/>
  <c r="E40" i="63"/>
  <c r="R93" i="65"/>
  <c r="X41" i="65"/>
  <c r="F41" i="65"/>
  <c r="F40" i="64"/>
  <c r="X40" i="64"/>
  <c r="T25" i="55"/>
  <c r="E93" i="63"/>
  <c r="W93" i="63"/>
  <c r="D93" i="63"/>
  <c r="V93" i="63"/>
  <c r="F25" i="55"/>
  <c r="Q25" i="55" s="1"/>
  <c r="F43" i="63"/>
  <c r="U40" i="54"/>
  <c r="X43" i="63"/>
  <c r="U68" i="56"/>
  <c r="K33" i="54"/>
  <c r="I33" i="54"/>
  <c r="J33" i="54"/>
  <c r="D36" i="64" s="1"/>
  <c r="G36" i="64" s="1"/>
  <c r="H33" i="54"/>
  <c r="L33" i="54"/>
  <c r="N33" i="54"/>
  <c r="D100" i="56"/>
  <c r="U100" i="56" s="1"/>
  <c r="G33" i="54"/>
  <c r="O33" i="54"/>
  <c r="M33" i="54"/>
  <c r="D34" i="65" s="1"/>
  <c r="J34" i="65" s="1"/>
  <c r="W40" i="64"/>
  <c r="E40" i="64"/>
  <c r="J43" i="64"/>
  <c r="I38" i="65"/>
  <c r="F43" i="64"/>
  <c r="X43" i="64"/>
  <c r="D101" i="56"/>
  <c r="U101" i="56" s="1"/>
  <c r="U83" i="56"/>
  <c r="D40" i="63"/>
  <c r="F37" i="54"/>
  <c r="Q37" i="54" s="1"/>
  <c r="S37" i="54"/>
  <c r="M93" i="65"/>
  <c r="Q93" i="65"/>
  <c r="Q93" i="64"/>
  <c r="O93" i="65"/>
  <c r="J38" i="65"/>
  <c r="G38" i="65"/>
  <c r="F93" i="63"/>
  <c r="U25" i="55"/>
  <c r="E43" i="63"/>
  <c r="W43" i="63"/>
  <c r="T40" i="54"/>
  <c r="X38" i="65"/>
  <c r="F38" i="65"/>
  <c r="V93" i="64"/>
  <c r="D93" i="64"/>
  <c r="W91" i="64"/>
  <c r="G43" i="64"/>
  <c r="P125" i="63"/>
  <c r="T23" i="55"/>
  <c r="W43" i="64"/>
  <c r="E43" i="64"/>
  <c r="H48" i="54"/>
  <c r="W51" i="63" s="1"/>
  <c r="E38" i="65"/>
  <c r="W38" i="65"/>
  <c r="C24" i="65"/>
  <c r="U24" i="65" s="1"/>
  <c r="C24" i="63"/>
  <c r="U24" i="63" s="1"/>
  <c r="V17" i="64"/>
  <c r="I92" i="63"/>
  <c r="J92" i="63"/>
  <c r="G92" i="63"/>
  <c r="H92" i="63"/>
  <c r="R47" i="65"/>
  <c r="R51" i="65" s="1"/>
  <c r="F51" i="65"/>
  <c r="N47" i="65"/>
  <c r="N51" i="65" s="1"/>
  <c r="O47" i="65"/>
  <c r="O51" i="65" s="1"/>
  <c r="M47" i="65"/>
  <c r="P47" i="65"/>
  <c r="P51" i="65" s="1"/>
  <c r="Q47" i="65"/>
  <c r="Q51" i="65" s="1"/>
  <c r="D18" i="64"/>
  <c r="E18" i="65"/>
  <c r="W18" i="65"/>
  <c r="C81" i="63"/>
  <c r="V81" i="63"/>
  <c r="U80" i="57"/>
  <c r="K66" i="55"/>
  <c r="J66" i="55"/>
  <c r="N66" i="55"/>
  <c r="H66" i="55"/>
  <c r="L66" i="55"/>
  <c r="I66" i="55"/>
  <c r="G66" i="55"/>
  <c r="O66" i="55"/>
  <c r="M66" i="55"/>
  <c r="N52" i="56"/>
  <c r="N34" i="56" s="1"/>
  <c r="F18" i="65"/>
  <c r="X18" i="65"/>
  <c r="G28" i="56"/>
  <c r="N44" i="64"/>
  <c r="Q44" i="64"/>
  <c r="R44" i="64"/>
  <c r="P44" i="64"/>
  <c r="O44" i="64"/>
  <c r="M44" i="64"/>
  <c r="X19" i="65"/>
  <c r="E18" i="64"/>
  <c r="W18" i="64"/>
  <c r="M24" i="65"/>
  <c r="N24" i="65"/>
  <c r="P24" i="65"/>
  <c r="Q24" i="65"/>
  <c r="O24" i="65"/>
  <c r="R24" i="65"/>
  <c r="K149" i="63"/>
  <c r="M47" i="64"/>
  <c r="O47" i="64"/>
  <c r="N47" i="64"/>
  <c r="P47" i="64"/>
  <c r="Q47" i="64"/>
  <c r="R47" i="64"/>
  <c r="U9" i="57"/>
  <c r="C24" i="64"/>
  <c r="U24" i="64" s="1"/>
  <c r="G85" i="63"/>
  <c r="H85" i="63"/>
  <c r="I85" i="63"/>
  <c r="J85" i="63"/>
  <c r="P29" i="56"/>
  <c r="G29" i="56" s="1"/>
  <c r="J29" i="56"/>
  <c r="J32" i="56" s="1"/>
  <c r="I29" i="56"/>
  <c r="K29" i="56"/>
  <c r="K32" i="56" s="1"/>
  <c r="F18" i="63"/>
  <c r="X18" i="63"/>
  <c r="U13" i="54"/>
  <c r="K92" i="55"/>
  <c r="O92" i="55"/>
  <c r="L92" i="55"/>
  <c r="H92" i="55"/>
  <c r="N92" i="55"/>
  <c r="G92" i="55"/>
  <c r="J92" i="55"/>
  <c r="M92" i="55"/>
  <c r="I92" i="55"/>
  <c r="C85" i="64"/>
  <c r="V85" i="64"/>
  <c r="O24" i="63"/>
  <c r="Q24" i="63"/>
  <c r="R24" i="63"/>
  <c r="N24" i="63"/>
  <c r="P24" i="63"/>
  <c r="M24" i="63"/>
  <c r="N49" i="64"/>
  <c r="M49" i="64"/>
  <c r="O49" i="64"/>
  <c r="P49" i="64"/>
  <c r="R49" i="64"/>
  <c r="Q49" i="64"/>
  <c r="G92" i="64"/>
  <c r="H92" i="64"/>
  <c r="I92" i="64"/>
  <c r="J92" i="64"/>
  <c r="M43" i="65"/>
  <c r="N43" i="65"/>
  <c r="O43" i="65"/>
  <c r="Q43" i="65"/>
  <c r="R43" i="65"/>
  <c r="P43" i="65"/>
  <c r="R42" i="65"/>
  <c r="N42" i="65"/>
  <c r="O42" i="65"/>
  <c r="M42" i="65"/>
  <c r="Q42" i="65"/>
  <c r="P42" i="65"/>
  <c r="G85" i="65"/>
  <c r="I85" i="65"/>
  <c r="J85" i="65"/>
  <c r="H85" i="65"/>
  <c r="Q24" i="64"/>
  <c r="R24" i="64"/>
  <c r="O24" i="64"/>
  <c r="P24" i="64"/>
  <c r="M24" i="64"/>
  <c r="N24" i="64"/>
  <c r="M45" i="65"/>
  <c r="O45" i="65"/>
  <c r="P45" i="65"/>
  <c r="Q45" i="65"/>
  <c r="N45" i="65"/>
  <c r="R45" i="65"/>
  <c r="E28" i="56"/>
  <c r="C47" i="63"/>
  <c r="U47" i="63" s="1"/>
  <c r="X47" i="63"/>
  <c r="C121" i="64"/>
  <c r="V121" i="64"/>
  <c r="J84" i="65"/>
  <c r="I84" i="65"/>
  <c r="G84" i="65"/>
  <c r="H84" i="65"/>
  <c r="D18" i="65"/>
  <c r="N127" i="65"/>
  <c r="M127" i="65"/>
  <c r="O127" i="65"/>
  <c r="Q127" i="65"/>
  <c r="R127" i="65"/>
  <c r="P127" i="65"/>
  <c r="C123" i="65"/>
  <c r="X123" i="65"/>
  <c r="C108" i="61"/>
  <c r="C110" i="61" s="1"/>
  <c r="E110" i="61" s="1"/>
  <c r="C51" i="61"/>
  <c r="X19" i="64"/>
  <c r="K149" i="64"/>
  <c r="F18" i="64"/>
  <c r="X18" i="64"/>
  <c r="K149" i="65"/>
  <c r="C78" i="64"/>
  <c r="U78" i="64" s="1"/>
  <c r="V78" i="64"/>
  <c r="E115" i="57"/>
  <c r="D115" i="57" s="1"/>
  <c r="U115" i="57" s="1"/>
  <c r="G95" i="65"/>
  <c r="H95" i="65"/>
  <c r="I95" i="65"/>
  <c r="J95" i="65"/>
  <c r="V25" i="63"/>
  <c r="E18" i="63"/>
  <c r="W18" i="63"/>
  <c r="T13" i="54"/>
  <c r="H95" i="64"/>
  <c r="I95" i="64"/>
  <c r="G95" i="64"/>
  <c r="J95" i="64"/>
  <c r="D22" i="56"/>
  <c r="L14" i="59" s="1"/>
  <c r="U85" i="57"/>
  <c r="K71" i="55"/>
  <c r="N71" i="55"/>
  <c r="H71" i="55"/>
  <c r="D95" i="57"/>
  <c r="U95" i="57" s="1"/>
  <c r="P127" i="64"/>
  <c r="Q127" i="64"/>
  <c r="R127" i="64"/>
  <c r="O127" i="64"/>
  <c r="M127" i="64"/>
  <c r="N127" i="64"/>
  <c r="D20" i="63"/>
  <c r="V20" i="63"/>
  <c r="N103" i="65"/>
  <c r="O103" i="65"/>
  <c r="M103" i="65"/>
  <c r="P103" i="65"/>
  <c r="R103" i="65"/>
  <c r="Q103" i="65"/>
  <c r="C78" i="65"/>
  <c r="U78" i="65" s="1"/>
  <c r="V78" i="65"/>
  <c r="I84" i="63"/>
  <c r="J84" i="63"/>
  <c r="H84" i="63"/>
  <c r="G84" i="63"/>
  <c r="V25" i="64"/>
  <c r="R102" i="65"/>
  <c r="M102" i="65"/>
  <c r="N102" i="65"/>
  <c r="O102" i="65"/>
  <c r="Q102" i="65"/>
  <c r="P102" i="65"/>
  <c r="I10" i="54"/>
  <c r="J10" i="54"/>
  <c r="K10" i="54"/>
  <c r="U21" i="56"/>
  <c r="G10" i="54"/>
  <c r="O10" i="54"/>
  <c r="M10" i="54"/>
  <c r="H10" i="54"/>
  <c r="L10" i="54"/>
  <c r="N10" i="54"/>
  <c r="G84" i="64"/>
  <c r="J84" i="64"/>
  <c r="H84" i="64"/>
  <c r="I84" i="64"/>
  <c r="O52" i="56"/>
  <c r="O34" i="56" s="1"/>
  <c r="D18" i="63"/>
  <c r="F13" i="54"/>
  <c r="Q13" i="54" s="1"/>
  <c r="S13" i="54"/>
  <c r="U27" i="56"/>
  <c r="N16" i="54"/>
  <c r="O16" i="54"/>
  <c r="G16" i="54"/>
  <c r="H16" i="54"/>
  <c r="L16" i="54"/>
  <c r="M16" i="54"/>
  <c r="I16" i="54"/>
  <c r="K16" i="54"/>
  <c r="J16" i="54"/>
  <c r="C83" i="64"/>
  <c r="V83" i="64"/>
  <c r="V17" i="63"/>
  <c r="V14" i="63"/>
  <c r="C78" i="63"/>
  <c r="U78" i="63" s="1"/>
  <c r="V78" i="63"/>
  <c r="G95" i="63"/>
  <c r="H95" i="63"/>
  <c r="I95" i="63"/>
  <c r="J95" i="63"/>
  <c r="P103" i="64"/>
  <c r="Q103" i="64"/>
  <c r="O103" i="64"/>
  <c r="R103" i="64"/>
  <c r="N103" i="64"/>
  <c r="M103" i="64"/>
  <c r="D103" i="63"/>
  <c r="V103" i="63"/>
  <c r="F35" i="55"/>
  <c r="Q35" i="55" s="1"/>
  <c r="S35" i="55"/>
  <c r="U14" i="63"/>
  <c r="M49" i="63"/>
  <c r="R49" i="63"/>
  <c r="N49" i="63"/>
  <c r="O49" i="63"/>
  <c r="P49" i="63"/>
  <c r="Q49" i="63"/>
  <c r="R16" i="20"/>
  <c r="V50" i="64" l="1"/>
  <c r="C50" i="64"/>
  <c r="U50" i="64" s="1"/>
  <c r="C50" i="63"/>
  <c r="U50" i="63" s="1"/>
  <c r="V50" i="63"/>
  <c r="C46" i="65"/>
  <c r="U46" i="65" s="1"/>
  <c r="X46" i="65"/>
  <c r="V48" i="65"/>
  <c r="C102" i="64"/>
  <c r="U102" i="64" s="1"/>
  <c r="C48" i="65"/>
  <c r="U48" i="65" s="1"/>
  <c r="X102" i="64"/>
  <c r="X126" i="65"/>
  <c r="C126" i="65"/>
  <c r="U126" i="65" s="1"/>
  <c r="C40" i="65"/>
  <c r="U40" i="65" s="1"/>
  <c r="X126" i="64"/>
  <c r="V40" i="65"/>
  <c r="C126" i="64"/>
  <c r="U126" i="64" s="1"/>
  <c r="C48" i="64"/>
  <c r="U48" i="64" s="1"/>
  <c r="X48" i="64"/>
  <c r="C42" i="63"/>
  <c r="U42" i="63" s="1"/>
  <c r="V42" i="63"/>
  <c r="C94" i="64"/>
  <c r="U94" i="64" s="1"/>
  <c r="X94" i="64"/>
  <c r="X94" i="63"/>
  <c r="V117" i="64"/>
  <c r="C102" i="63"/>
  <c r="U102" i="63" s="1"/>
  <c r="X102" i="63"/>
  <c r="C45" i="64"/>
  <c r="U45" i="64" s="1"/>
  <c r="X45" i="64"/>
  <c r="C94" i="63"/>
  <c r="U94" i="63" s="1"/>
  <c r="C117" i="64"/>
  <c r="U117" i="64" s="1"/>
  <c r="V120" i="65"/>
  <c r="C120" i="65"/>
  <c r="U120" i="65" s="1"/>
  <c r="C125" i="65"/>
  <c r="U125" i="65" s="1"/>
  <c r="C120" i="64"/>
  <c r="U120" i="64" s="1"/>
  <c r="X125" i="65"/>
  <c r="V118" i="63"/>
  <c r="U85" i="64"/>
  <c r="C125" i="64"/>
  <c r="U125" i="64" s="1"/>
  <c r="X46" i="63"/>
  <c r="C118" i="65"/>
  <c r="U118" i="65" s="1"/>
  <c r="C118" i="63"/>
  <c r="U118" i="63" s="1"/>
  <c r="V120" i="64"/>
  <c r="V118" i="65"/>
  <c r="C44" i="65"/>
  <c r="U44" i="65" s="1"/>
  <c r="X44" i="65"/>
  <c r="C46" i="63"/>
  <c r="U46" i="63" s="1"/>
  <c r="N44" i="63"/>
  <c r="M44" i="63"/>
  <c r="V117" i="63"/>
  <c r="X125" i="64"/>
  <c r="H81" i="65"/>
  <c r="J81" i="65"/>
  <c r="V128" i="65"/>
  <c r="I81" i="65"/>
  <c r="V117" i="65"/>
  <c r="C81" i="64"/>
  <c r="U81" i="64" s="1"/>
  <c r="C118" i="64"/>
  <c r="U118" i="64" s="1"/>
  <c r="C124" i="65"/>
  <c r="U124" i="65" s="1"/>
  <c r="X124" i="65"/>
  <c r="C117" i="63"/>
  <c r="U117" i="63" s="1"/>
  <c r="X19" i="63"/>
  <c r="X94" i="65"/>
  <c r="C128" i="64"/>
  <c r="U128" i="64" s="1"/>
  <c r="V118" i="64"/>
  <c r="V81" i="64"/>
  <c r="R44" i="63"/>
  <c r="C94" i="65"/>
  <c r="U94" i="65" s="1"/>
  <c r="C128" i="65"/>
  <c r="U128" i="65" s="1"/>
  <c r="C117" i="65"/>
  <c r="U117" i="65" s="1"/>
  <c r="C121" i="63"/>
  <c r="U121" i="63" s="1"/>
  <c r="V121" i="63"/>
  <c r="Q44" i="63"/>
  <c r="P44" i="63"/>
  <c r="V128" i="64"/>
  <c r="C120" i="63"/>
  <c r="U120" i="63" s="1"/>
  <c r="U121" i="64"/>
  <c r="V120" i="63"/>
  <c r="U12" i="56"/>
  <c r="D17" i="56"/>
  <c r="I121" i="65"/>
  <c r="J121" i="65"/>
  <c r="G121" i="65"/>
  <c r="H121" i="65"/>
  <c r="C39" i="64"/>
  <c r="U39" i="64" s="1"/>
  <c r="G92" i="65"/>
  <c r="H92" i="65"/>
  <c r="J92" i="65"/>
  <c r="X45" i="63"/>
  <c r="X103" i="63"/>
  <c r="C103" i="63"/>
  <c r="U103" i="63" s="1"/>
  <c r="C45" i="63"/>
  <c r="U45" i="63" s="1"/>
  <c r="V39" i="64"/>
  <c r="G34" i="65"/>
  <c r="W20" i="63"/>
  <c r="C46" i="64"/>
  <c r="U46" i="64" s="1"/>
  <c r="X46" i="64"/>
  <c r="E20" i="65"/>
  <c r="C20" i="65" s="1"/>
  <c r="U20" i="65" s="1"/>
  <c r="C39" i="63"/>
  <c r="U39" i="63" s="1"/>
  <c r="C48" i="63"/>
  <c r="U48" i="63" s="1"/>
  <c r="V39" i="63"/>
  <c r="C42" i="64"/>
  <c r="U42" i="64" s="1"/>
  <c r="X48" i="63"/>
  <c r="U123" i="65"/>
  <c r="C126" i="63"/>
  <c r="U126" i="63" s="1"/>
  <c r="P127" i="63"/>
  <c r="N127" i="63"/>
  <c r="R127" i="63"/>
  <c r="X126" i="63"/>
  <c r="Q127" i="63"/>
  <c r="C123" i="63"/>
  <c r="U123" i="63" s="1"/>
  <c r="V40" i="64"/>
  <c r="C123" i="64"/>
  <c r="U123" i="64" s="1"/>
  <c r="C122" i="65"/>
  <c r="U122" i="65" s="1"/>
  <c r="X123" i="63"/>
  <c r="C40" i="64"/>
  <c r="U40" i="64" s="1"/>
  <c r="X123" i="64"/>
  <c r="O127" i="63"/>
  <c r="X122" i="65"/>
  <c r="E51" i="64"/>
  <c r="I128" i="63"/>
  <c r="J128" i="63"/>
  <c r="C83" i="65"/>
  <c r="U83" i="65" s="1"/>
  <c r="G128" i="63"/>
  <c r="V37" i="65"/>
  <c r="V38" i="65"/>
  <c r="C83" i="63"/>
  <c r="U83" i="63" s="1"/>
  <c r="V42" i="64"/>
  <c r="T15" i="54"/>
  <c r="W20" i="64"/>
  <c r="H36" i="64"/>
  <c r="U15" i="54"/>
  <c r="V83" i="65"/>
  <c r="V43" i="64"/>
  <c r="C38" i="65"/>
  <c r="C122" i="64"/>
  <c r="U122" i="64" s="1"/>
  <c r="V83" i="63"/>
  <c r="C37" i="65"/>
  <c r="S15" i="54"/>
  <c r="F15" i="54"/>
  <c r="Q15" i="54" s="1"/>
  <c r="C93" i="64"/>
  <c r="U93" i="64" s="1"/>
  <c r="T48" i="54"/>
  <c r="C41" i="65"/>
  <c r="U41" i="65" s="1"/>
  <c r="V20" i="64"/>
  <c r="I36" i="64"/>
  <c r="I34" i="65"/>
  <c r="J36" i="64"/>
  <c r="V20" i="65"/>
  <c r="X122" i="64"/>
  <c r="X93" i="64"/>
  <c r="C125" i="63"/>
  <c r="U125" i="63" s="1"/>
  <c r="E15" i="88"/>
  <c r="G10" i="76"/>
  <c r="H11" i="79"/>
  <c r="H10" i="78"/>
  <c r="F14" i="81"/>
  <c r="E15" i="80"/>
  <c r="F16" i="95"/>
  <c r="H10" i="79"/>
  <c r="E16" i="81"/>
  <c r="F14" i="85"/>
  <c r="F15" i="73"/>
  <c r="H9" i="79"/>
  <c r="E14" i="71"/>
  <c r="K2" i="79"/>
  <c r="G14" i="79"/>
  <c r="E15" i="86"/>
  <c r="F15" i="68"/>
  <c r="F14" i="71"/>
  <c r="F15" i="84"/>
  <c r="F14" i="72"/>
  <c r="E15" i="84"/>
  <c r="F14" i="91"/>
  <c r="H11" i="91"/>
  <c r="H12" i="79"/>
  <c r="E15" i="66"/>
  <c r="E17" i="78"/>
  <c r="K3" i="78"/>
  <c r="H14" i="78"/>
  <c r="H11" i="78"/>
  <c r="H12" i="78"/>
  <c r="F15" i="94"/>
  <c r="H13" i="78"/>
  <c r="E16" i="87"/>
  <c r="F15" i="67"/>
  <c r="F14" i="96"/>
  <c r="E14" i="76"/>
  <c r="G7" i="76" s="1"/>
  <c r="G13" i="76"/>
  <c r="G9" i="76"/>
  <c r="E14" i="70"/>
  <c r="E16" i="93"/>
  <c r="E14" i="93"/>
  <c r="G13" i="93"/>
  <c r="E17" i="93"/>
  <c r="G11" i="93"/>
  <c r="G7" i="93"/>
  <c r="G9" i="93"/>
  <c r="G8" i="93"/>
  <c r="E14" i="74"/>
  <c r="K3" i="88"/>
  <c r="H16" i="88"/>
  <c r="H10" i="88"/>
  <c r="H7" i="88"/>
  <c r="H9" i="88"/>
  <c r="H14" i="88"/>
  <c r="H12" i="88"/>
  <c r="E15" i="96"/>
  <c r="F14" i="76"/>
  <c r="H7" i="76" s="1"/>
  <c r="H13" i="76"/>
  <c r="G12" i="93"/>
  <c r="F14" i="74"/>
  <c r="F14" i="87"/>
  <c r="E14" i="85"/>
  <c r="E17" i="98"/>
  <c r="H14" i="98"/>
  <c r="K3" i="98"/>
  <c r="H7" i="98"/>
  <c r="H11" i="98"/>
  <c r="E15" i="95"/>
  <c r="E16" i="94"/>
  <c r="E14" i="68"/>
  <c r="E15" i="82"/>
  <c r="H14" i="79"/>
  <c r="K3" i="79"/>
  <c r="E14" i="72"/>
  <c r="F14" i="86"/>
  <c r="K2" i="98"/>
  <c r="E16" i="98"/>
  <c r="G14" i="98"/>
  <c r="G7" i="98"/>
  <c r="E14" i="97"/>
  <c r="E14" i="89"/>
  <c r="G13" i="89" s="1"/>
  <c r="G11" i="89"/>
  <c r="F14" i="80"/>
  <c r="H9" i="98"/>
  <c r="F15" i="66"/>
  <c r="E15" i="67"/>
  <c r="E14" i="73"/>
  <c r="H13" i="98"/>
  <c r="K2" i="78"/>
  <c r="E16" i="78"/>
  <c r="G14" i="78"/>
  <c r="G7" i="78"/>
  <c r="H7" i="78"/>
  <c r="F14" i="70"/>
  <c r="E51" i="63"/>
  <c r="E49" i="65"/>
  <c r="O122" i="63"/>
  <c r="M122" i="63"/>
  <c r="N122" i="63"/>
  <c r="Q122" i="63"/>
  <c r="R122" i="63"/>
  <c r="P122" i="63"/>
  <c r="X125" i="63"/>
  <c r="C124" i="64"/>
  <c r="U124" i="64" s="1"/>
  <c r="X124" i="64"/>
  <c r="C43" i="64"/>
  <c r="U43" i="64" s="1"/>
  <c r="U83" i="64"/>
  <c r="X93" i="65"/>
  <c r="G32" i="56"/>
  <c r="G52" i="56" s="1"/>
  <c r="G34" i="56" s="1"/>
  <c r="X34" i="65"/>
  <c r="F34" i="65"/>
  <c r="J43" i="63"/>
  <c r="G43" i="63"/>
  <c r="I43" i="63"/>
  <c r="H43" i="63"/>
  <c r="F33" i="54"/>
  <c r="Q33" i="54" s="1"/>
  <c r="D36" i="63"/>
  <c r="S33" i="54"/>
  <c r="I14" i="59"/>
  <c r="J11" i="54" s="1"/>
  <c r="C93" i="65"/>
  <c r="U93" i="65" s="1"/>
  <c r="M93" i="63"/>
  <c r="N93" i="63"/>
  <c r="Q93" i="63"/>
  <c r="R93" i="63"/>
  <c r="O93" i="63"/>
  <c r="P93" i="63"/>
  <c r="F36" i="64"/>
  <c r="X36" i="64"/>
  <c r="F14" i="59"/>
  <c r="G38" i="54" s="1"/>
  <c r="T33" i="54"/>
  <c r="E36" i="63"/>
  <c r="W36" i="63"/>
  <c r="J40" i="63"/>
  <c r="I40" i="63"/>
  <c r="H40" i="63"/>
  <c r="G40" i="63"/>
  <c r="E34" i="65"/>
  <c r="W34" i="65"/>
  <c r="X36" i="63"/>
  <c r="U33" i="54"/>
  <c r="F36" i="63"/>
  <c r="H34" i="65"/>
  <c r="V41" i="65"/>
  <c r="W36" i="64"/>
  <c r="E36" i="64"/>
  <c r="X24" i="64"/>
  <c r="X24" i="63"/>
  <c r="J52" i="56"/>
  <c r="J34" i="56" s="1"/>
  <c r="K52" i="56"/>
  <c r="K34" i="56" s="1"/>
  <c r="F114" i="63"/>
  <c r="X114" i="63"/>
  <c r="U66" i="55"/>
  <c r="I87" i="55"/>
  <c r="C103" i="64"/>
  <c r="U103" i="64" s="1"/>
  <c r="X103" i="64"/>
  <c r="O20" i="65"/>
  <c r="P20" i="65"/>
  <c r="Q20" i="65"/>
  <c r="N20" i="65"/>
  <c r="R20" i="65"/>
  <c r="M20" i="65"/>
  <c r="E21" i="64"/>
  <c r="W21" i="64"/>
  <c r="D15" i="63"/>
  <c r="S10" i="54"/>
  <c r="F10" i="54"/>
  <c r="C102" i="65"/>
  <c r="U102" i="65" s="1"/>
  <c r="X102" i="65"/>
  <c r="C20" i="63"/>
  <c r="U20" i="63" s="1"/>
  <c r="E119" i="63"/>
  <c r="E129" i="63" s="1"/>
  <c r="W119" i="63"/>
  <c r="T71" i="55"/>
  <c r="H81" i="55"/>
  <c r="O135" i="62"/>
  <c r="S20" i="57" s="1"/>
  <c r="H135" i="62"/>
  <c r="D135" i="62"/>
  <c r="I135" i="62"/>
  <c r="M20" i="57" s="1"/>
  <c r="K135" i="62"/>
  <c r="O20" i="57" s="1"/>
  <c r="N135" i="62"/>
  <c r="R20" i="57" s="1"/>
  <c r="L135" i="62"/>
  <c r="P20" i="57" s="1"/>
  <c r="M135" i="62"/>
  <c r="Q20" i="57" s="1"/>
  <c r="H11" i="54"/>
  <c r="U22" i="56"/>
  <c r="N11" i="54"/>
  <c r="K11" i="54"/>
  <c r="M11" i="54"/>
  <c r="F135" i="62"/>
  <c r="J20" i="57" s="1"/>
  <c r="E135" i="62"/>
  <c r="I20" i="57" s="1"/>
  <c r="J135" i="62"/>
  <c r="G135" i="62"/>
  <c r="K20" i="57" s="1"/>
  <c r="C84" i="65"/>
  <c r="U84" i="65" s="1"/>
  <c r="V84" i="65"/>
  <c r="D28" i="56"/>
  <c r="C49" i="64"/>
  <c r="U49" i="64" s="1"/>
  <c r="X49" i="64"/>
  <c r="V134" i="64"/>
  <c r="D134" i="64"/>
  <c r="F37" i="53"/>
  <c r="F37" i="52"/>
  <c r="F114" i="64"/>
  <c r="X114" i="64"/>
  <c r="L87" i="55"/>
  <c r="R20" i="63"/>
  <c r="N20" i="63"/>
  <c r="O20" i="63"/>
  <c r="P20" i="63"/>
  <c r="Q20" i="63"/>
  <c r="M20" i="63"/>
  <c r="G18" i="64"/>
  <c r="H18" i="64"/>
  <c r="I18" i="64"/>
  <c r="J18" i="64"/>
  <c r="C18" i="64"/>
  <c r="U18" i="64" s="1"/>
  <c r="M51" i="65"/>
  <c r="C47" i="65"/>
  <c r="X47" i="65"/>
  <c r="D21" i="64"/>
  <c r="V21" i="64"/>
  <c r="M20" i="64"/>
  <c r="N20" i="64"/>
  <c r="O20" i="64"/>
  <c r="P20" i="64"/>
  <c r="R20" i="64"/>
  <c r="Q20" i="64"/>
  <c r="D134" i="63"/>
  <c r="V134" i="63"/>
  <c r="S92" i="55"/>
  <c r="F92" i="55"/>
  <c r="Q92" i="55" s="1"/>
  <c r="E37" i="52"/>
  <c r="E37" i="53"/>
  <c r="W114" i="63"/>
  <c r="E114" i="63"/>
  <c r="H87" i="55"/>
  <c r="T66" i="55"/>
  <c r="F15" i="65"/>
  <c r="X15" i="65"/>
  <c r="C92" i="64"/>
  <c r="U92" i="64" s="1"/>
  <c r="V92" i="64"/>
  <c r="F21" i="63"/>
  <c r="U16" i="54"/>
  <c r="M23" i="55"/>
  <c r="M71" i="55"/>
  <c r="M38" i="54"/>
  <c r="L149" i="64"/>
  <c r="D21" i="65"/>
  <c r="V21" i="65"/>
  <c r="E119" i="64"/>
  <c r="E129" i="64" s="1"/>
  <c r="W119" i="64"/>
  <c r="K81" i="55"/>
  <c r="C42" i="65"/>
  <c r="U42" i="65" s="1"/>
  <c r="X42" i="65"/>
  <c r="E134" i="65"/>
  <c r="W134" i="65"/>
  <c r="C85" i="63"/>
  <c r="U85" i="63" s="1"/>
  <c r="V85" i="63"/>
  <c r="X24" i="65"/>
  <c r="C44" i="64"/>
  <c r="U44" i="64" s="1"/>
  <c r="X44" i="64"/>
  <c r="P32" i="56"/>
  <c r="E114" i="65"/>
  <c r="W114" i="65"/>
  <c r="N87" i="55"/>
  <c r="C49" i="63"/>
  <c r="U49" i="63" s="1"/>
  <c r="X49" i="63"/>
  <c r="C103" i="65"/>
  <c r="U103" i="65" s="1"/>
  <c r="X103" i="65"/>
  <c r="F21" i="64"/>
  <c r="E15" i="65"/>
  <c r="W15" i="65"/>
  <c r="C95" i="64"/>
  <c r="U95" i="64" s="1"/>
  <c r="V95" i="64"/>
  <c r="C95" i="65"/>
  <c r="U95" i="65" s="1"/>
  <c r="V95" i="65"/>
  <c r="C43" i="65"/>
  <c r="U43" i="65" s="1"/>
  <c r="X43" i="65"/>
  <c r="E134" i="63"/>
  <c r="W134" i="63"/>
  <c r="T92" i="55"/>
  <c r="E29" i="56"/>
  <c r="D29" i="56" s="1"/>
  <c r="I32" i="56"/>
  <c r="L149" i="63"/>
  <c r="D114" i="64"/>
  <c r="J87" i="55"/>
  <c r="C92" i="63"/>
  <c r="U92" i="63" s="1"/>
  <c r="V92" i="63"/>
  <c r="C95" i="63"/>
  <c r="U95" i="63" s="1"/>
  <c r="V95" i="63"/>
  <c r="E21" i="65"/>
  <c r="W21" i="65"/>
  <c r="C85" i="65"/>
  <c r="U85" i="65" s="1"/>
  <c r="V85" i="65"/>
  <c r="G18" i="63"/>
  <c r="H18" i="63"/>
  <c r="I18" i="63"/>
  <c r="J18" i="63"/>
  <c r="C18" i="63"/>
  <c r="U18" i="63" s="1"/>
  <c r="E15" i="64"/>
  <c r="W15" i="64"/>
  <c r="C20" i="64"/>
  <c r="U20" i="64" s="1"/>
  <c r="C84" i="64"/>
  <c r="U84" i="64" s="1"/>
  <c r="V84" i="64"/>
  <c r="D15" i="64"/>
  <c r="F15" i="64"/>
  <c r="X15" i="64"/>
  <c r="C84" i="63"/>
  <c r="U84" i="63" s="1"/>
  <c r="V84" i="63"/>
  <c r="L149" i="65"/>
  <c r="C45" i="65"/>
  <c r="U45" i="65" s="1"/>
  <c r="X45" i="65"/>
  <c r="F134" i="64"/>
  <c r="C47" i="64"/>
  <c r="U47" i="64" s="1"/>
  <c r="X47" i="64"/>
  <c r="D114" i="65"/>
  <c r="M87" i="55"/>
  <c r="E114" i="64"/>
  <c r="W114" i="64"/>
  <c r="K87" i="55"/>
  <c r="U81" i="63"/>
  <c r="D134" i="65"/>
  <c r="V134" i="65"/>
  <c r="G37" i="53"/>
  <c r="G37" i="52"/>
  <c r="E119" i="65"/>
  <c r="E129" i="65" s="1"/>
  <c r="W119" i="65"/>
  <c r="N81" i="55"/>
  <c r="E21" i="63"/>
  <c r="W21" i="63"/>
  <c r="T16" i="54"/>
  <c r="X15" i="63"/>
  <c r="F15" i="63"/>
  <c r="U10" i="54"/>
  <c r="D21" i="63"/>
  <c r="V21" i="63"/>
  <c r="F16" i="54"/>
  <c r="Q16" i="54" s="1"/>
  <c r="S16" i="54"/>
  <c r="E15" i="63"/>
  <c r="W15" i="63"/>
  <c r="T10" i="54"/>
  <c r="C127" i="64"/>
  <c r="U127" i="64" s="1"/>
  <c r="X127" i="64"/>
  <c r="C123" i="61"/>
  <c r="C137" i="61" s="1"/>
  <c r="E137" i="61" s="1"/>
  <c r="F134" i="65"/>
  <c r="F114" i="65"/>
  <c r="X114" i="65"/>
  <c r="O87" i="55"/>
  <c r="F21" i="65"/>
  <c r="D15" i="65"/>
  <c r="C127" i="65"/>
  <c r="U127" i="65" s="1"/>
  <c r="X127" i="65"/>
  <c r="I18" i="65"/>
  <c r="J18" i="65"/>
  <c r="C18" i="65"/>
  <c r="U18" i="65" s="1"/>
  <c r="G18" i="65"/>
  <c r="H18" i="65"/>
  <c r="F134" i="63"/>
  <c r="U92" i="55"/>
  <c r="W134" i="64"/>
  <c r="E134" i="64"/>
  <c r="D114" i="63"/>
  <c r="S66" i="55"/>
  <c r="G87" i="55"/>
  <c r="F66" i="55"/>
  <c r="T70" i="20"/>
  <c r="T69" i="20"/>
  <c r="T94" i="20"/>
  <c r="T93" i="20"/>
  <c r="T76" i="20"/>
  <c r="T75" i="20"/>
  <c r="V81" i="65" l="1"/>
  <c r="C81" i="65"/>
  <c r="U81" i="65" s="1"/>
  <c r="C44" i="63"/>
  <c r="U44" i="63" s="1"/>
  <c r="X44" i="63"/>
  <c r="V92" i="65"/>
  <c r="C92" i="65"/>
  <c r="U92" i="65" s="1"/>
  <c r="U17" i="56"/>
  <c r="J6" i="54"/>
  <c r="N6" i="54"/>
  <c r="K6" i="54"/>
  <c r="D51" i="56"/>
  <c r="U51" i="56" s="1"/>
  <c r="L6" i="54"/>
  <c r="M6" i="54"/>
  <c r="H6" i="54"/>
  <c r="O6" i="54"/>
  <c r="G6" i="54"/>
  <c r="I6" i="54"/>
  <c r="V121" i="65"/>
  <c r="C121" i="65"/>
  <c r="U121" i="65" s="1"/>
  <c r="C127" i="63"/>
  <c r="U127" i="63" s="1"/>
  <c r="X127" i="63"/>
  <c r="C128" i="63"/>
  <c r="U128" i="63" s="1"/>
  <c r="V128" i="63"/>
  <c r="C36" i="64"/>
  <c r="U36" i="64" s="1"/>
  <c r="C34" i="65"/>
  <c r="V36" i="64"/>
  <c r="G11" i="54"/>
  <c r="S11" i="54" s="1"/>
  <c r="E15" i="74"/>
  <c r="K3" i="91"/>
  <c r="H14" i="91"/>
  <c r="E17" i="91"/>
  <c r="E15" i="85"/>
  <c r="E16" i="66"/>
  <c r="F16" i="73"/>
  <c r="H7" i="91"/>
  <c r="F16" i="94"/>
  <c r="E16" i="86"/>
  <c r="G10" i="86" s="1"/>
  <c r="G7" i="86"/>
  <c r="G13" i="86"/>
  <c r="G8" i="86"/>
  <c r="G15" i="88"/>
  <c r="E16" i="88"/>
  <c r="E16" i="82"/>
  <c r="E16" i="67"/>
  <c r="F15" i="87"/>
  <c r="E16" i="84"/>
  <c r="E15" i="97"/>
  <c r="F15" i="96"/>
  <c r="H9" i="91"/>
  <c r="F15" i="80"/>
  <c r="F15" i="86"/>
  <c r="E16" i="96"/>
  <c r="E15" i="68"/>
  <c r="E16" i="95"/>
  <c r="F16" i="84"/>
  <c r="F15" i="85"/>
  <c r="E16" i="80"/>
  <c r="F15" i="70"/>
  <c r="E15" i="73"/>
  <c r="G14" i="89"/>
  <c r="E16" i="89"/>
  <c r="K2" i="89"/>
  <c r="G12" i="89"/>
  <c r="G8" i="89"/>
  <c r="G10" i="89"/>
  <c r="G9" i="89"/>
  <c r="G7" i="89"/>
  <c r="E17" i="89"/>
  <c r="E17" i="94"/>
  <c r="F15" i="74"/>
  <c r="E17" i="87"/>
  <c r="H8" i="91"/>
  <c r="F16" i="68"/>
  <c r="F15" i="81"/>
  <c r="F15" i="71"/>
  <c r="H14" i="76"/>
  <c r="K3" i="76"/>
  <c r="E17" i="76"/>
  <c r="H8" i="76"/>
  <c r="H10" i="76"/>
  <c r="H12" i="76"/>
  <c r="H11" i="76"/>
  <c r="F16" i="67"/>
  <c r="E15" i="70"/>
  <c r="H10" i="91"/>
  <c r="H12" i="91"/>
  <c r="F16" i="66"/>
  <c r="E15" i="72"/>
  <c r="K2" i="93"/>
  <c r="G14" i="93"/>
  <c r="G10" i="93"/>
  <c r="E16" i="76"/>
  <c r="G14" i="76"/>
  <c r="K2" i="76"/>
  <c r="G8" i="76"/>
  <c r="G11" i="76"/>
  <c r="G12" i="76"/>
  <c r="H13" i="91"/>
  <c r="F15" i="72"/>
  <c r="E15" i="71"/>
  <c r="E17" i="81"/>
  <c r="F17" i="95"/>
  <c r="G7" i="88"/>
  <c r="H9" i="76"/>
  <c r="C122" i="63"/>
  <c r="U122" i="63" s="1"/>
  <c r="X122" i="63"/>
  <c r="H36" i="63"/>
  <c r="J36" i="63"/>
  <c r="G36" i="63"/>
  <c r="I36" i="63"/>
  <c r="V34" i="65"/>
  <c r="G71" i="55"/>
  <c r="D119" i="63" s="1"/>
  <c r="J38" i="54"/>
  <c r="J48" i="54" s="1"/>
  <c r="C43" i="63"/>
  <c r="U43" i="63" s="1"/>
  <c r="V43" i="63"/>
  <c r="G23" i="55"/>
  <c r="D91" i="63" s="1"/>
  <c r="J23" i="55"/>
  <c r="D91" i="64" s="1"/>
  <c r="J71" i="55"/>
  <c r="D119" i="64" s="1"/>
  <c r="C40" i="63"/>
  <c r="U40" i="63" s="1"/>
  <c r="V40" i="63"/>
  <c r="C93" i="63"/>
  <c r="U93" i="63" s="1"/>
  <c r="X93" i="63"/>
  <c r="S87" i="55"/>
  <c r="V18" i="63"/>
  <c r="X20" i="65"/>
  <c r="M149" i="63"/>
  <c r="D91" i="65"/>
  <c r="K82" i="65"/>
  <c r="L82" i="65"/>
  <c r="L82" i="64"/>
  <c r="K82" i="64"/>
  <c r="K82" i="63"/>
  <c r="L82" i="63"/>
  <c r="L20" i="57"/>
  <c r="C139" i="61"/>
  <c r="P134" i="64"/>
  <c r="Q134" i="64"/>
  <c r="R134" i="64"/>
  <c r="M134" i="64"/>
  <c r="N134" i="64"/>
  <c r="O134" i="64"/>
  <c r="G15" i="65"/>
  <c r="H15" i="65"/>
  <c r="I15" i="65"/>
  <c r="C15" i="65"/>
  <c r="J15" i="65"/>
  <c r="R21" i="65"/>
  <c r="N21" i="65"/>
  <c r="O21" i="65"/>
  <c r="M21" i="65"/>
  <c r="P21" i="65"/>
  <c r="Q21" i="65"/>
  <c r="M149" i="65"/>
  <c r="C21" i="65"/>
  <c r="U21" i="65" s="1"/>
  <c r="X20" i="64"/>
  <c r="D16" i="65"/>
  <c r="L44" i="59"/>
  <c r="E16" i="63"/>
  <c r="W16" i="63"/>
  <c r="G44" i="59"/>
  <c r="T11" i="54"/>
  <c r="I52" i="56"/>
  <c r="I34" i="56" s="1"/>
  <c r="D41" i="63"/>
  <c r="G48" i="54"/>
  <c r="V18" i="64"/>
  <c r="E32" i="56"/>
  <c r="E52" i="56" s="1"/>
  <c r="E34" i="56" s="1"/>
  <c r="H114" i="63"/>
  <c r="I114" i="63"/>
  <c r="J114" i="63"/>
  <c r="G114" i="63"/>
  <c r="G15" i="64"/>
  <c r="C15" i="64"/>
  <c r="H15" i="64"/>
  <c r="J15" i="64"/>
  <c r="I15" i="64"/>
  <c r="J114" i="64"/>
  <c r="H114" i="64"/>
  <c r="I114" i="64"/>
  <c r="G114" i="64"/>
  <c r="U29" i="56"/>
  <c r="N18" i="54"/>
  <c r="O18" i="54"/>
  <c r="H18" i="54"/>
  <c r="G18" i="54"/>
  <c r="L18" i="54"/>
  <c r="M18" i="54"/>
  <c r="I18" i="54"/>
  <c r="J18" i="54"/>
  <c r="K18" i="54"/>
  <c r="P52" i="56"/>
  <c r="P34" i="56" s="1"/>
  <c r="M149" i="64"/>
  <c r="U28" i="56"/>
  <c r="N17" i="54"/>
  <c r="O17" i="54"/>
  <c r="H17" i="54"/>
  <c r="G17" i="54"/>
  <c r="L17" i="54"/>
  <c r="M17" i="54"/>
  <c r="I17" i="54"/>
  <c r="J17" i="54"/>
  <c r="K17" i="54"/>
  <c r="D32" i="56"/>
  <c r="E141" i="62" s="1"/>
  <c r="I26" i="57" s="1"/>
  <c r="E16" i="64"/>
  <c r="W16" i="64"/>
  <c r="J44" i="59"/>
  <c r="U87" i="55"/>
  <c r="M134" i="63"/>
  <c r="N134" i="63"/>
  <c r="O134" i="63"/>
  <c r="P134" i="63"/>
  <c r="Q134" i="63"/>
  <c r="R134" i="63"/>
  <c r="V18" i="65"/>
  <c r="O21" i="64"/>
  <c r="P21" i="64"/>
  <c r="Q21" i="64"/>
  <c r="M21" i="64"/>
  <c r="R21" i="64"/>
  <c r="N21" i="64"/>
  <c r="W129" i="64"/>
  <c r="K88" i="55"/>
  <c r="M21" i="63"/>
  <c r="N21" i="63"/>
  <c r="O21" i="63"/>
  <c r="Q21" i="63"/>
  <c r="R21" i="63"/>
  <c r="P21" i="63"/>
  <c r="D37" i="53"/>
  <c r="U47" i="65"/>
  <c r="C51" i="65"/>
  <c r="U51" i="65" s="1"/>
  <c r="W129" i="63"/>
  <c r="H88" i="55"/>
  <c r="T81" i="55"/>
  <c r="Q10" i="54"/>
  <c r="Q66" i="55"/>
  <c r="F87" i="55"/>
  <c r="Q87" i="55" s="1"/>
  <c r="C21" i="63"/>
  <c r="U21" i="63" s="1"/>
  <c r="D37" i="52"/>
  <c r="J37" i="52" s="1"/>
  <c r="C21" i="64"/>
  <c r="U21" i="64" s="1"/>
  <c r="N20" i="57"/>
  <c r="E16" i="65"/>
  <c r="W16" i="65"/>
  <c r="M44" i="59"/>
  <c r="N134" i="65"/>
  <c r="M134" i="65"/>
  <c r="O134" i="65"/>
  <c r="P134" i="65"/>
  <c r="Q134" i="65"/>
  <c r="R134" i="65"/>
  <c r="W129" i="65"/>
  <c r="N88" i="55"/>
  <c r="G114" i="65"/>
  <c r="H114" i="65"/>
  <c r="J114" i="65"/>
  <c r="I114" i="65"/>
  <c r="D39" i="65"/>
  <c r="M48" i="54"/>
  <c r="T87" i="55"/>
  <c r="D16" i="64"/>
  <c r="I44" i="59"/>
  <c r="D119" i="65"/>
  <c r="M81" i="55"/>
  <c r="X20" i="63"/>
  <c r="H20" i="57"/>
  <c r="J15" i="63"/>
  <c r="C15" i="63"/>
  <c r="G15" i="63"/>
  <c r="H15" i="63"/>
  <c r="I15" i="63"/>
  <c r="P47" i="51"/>
  <c r="P46" i="51"/>
  <c r="P45" i="51"/>
  <c r="P44" i="51"/>
  <c r="P43" i="51"/>
  <c r="P29" i="51"/>
  <c r="P28" i="51"/>
  <c r="P27" i="51"/>
  <c r="P26" i="51"/>
  <c r="P25" i="51"/>
  <c r="P47" i="50"/>
  <c r="P46" i="50"/>
  <c r="P45" i="50"/>
  <c r="P44" i="50"/>
  <c r="P43" i="50"/>
  <c r="P29" i="50"/>
  <c r="P28" i="50"/>
  <c r="P27" i="50"/>
  <c r="P26" i="50"/>
  <c r="P25" i="50"/>
  <c r="T6" i="54" l="1"/>
  <c r="G42" i="59"/>
  <c r="W11" i="63"/>
  <c r="G43" i="59"/>
  <c r="E11" i="63"/>
  <c r="L43" i="59"/>
  <c r="D11" i="65"/>
  <c r="F11" i="64"/>
  <c r="K43" i="59"/>
  <c r="J43" i="59"/>
  <c r="W11" i="64"/>
  <c r="J42" i="59"/>
  <c r="E11" i="64"/>
  <c r="H43" i="59"/>
  <c r="F11" i="63"/>
  <c r="U6" i="54"/>
  <c r="F6" i="54"/>
  <c r="Q6" i="54" s="1"/>
  <c r="F43" i="59"/>
  <c r="S6" i="54"/>
  <c r="D11" i="63"/>
  <c r="D11" i="64"/>
  <c r="I43" i="59"/>
  <c r="M43" i="59"/>
  <c r="W11" i="65"/>
  <c r="E11" i="65"/>
  <c r="M42" i="59"/>
  <c r="F11" i="65"/>
  <c r="N43" i="59"/>
  <c r="F44" i="59"/>
  <c r="D16" i="63"/>
  <c r="I16" i="63" s="1"/>
  <c r="I26" i="63" s="1"/>
  <c r="G8" i="71"/>
  <c r="F16" i="72"/>
  <c r="F17" i="67"/>
  <c r="E17" i="66"/>
  <c r="E17" i="80"/>
  <c r="F18" i="95"/>
  <c r="F17" i="68"/>
  <c r="E18" i="87"/>
  <c r="F16" i="74"/>
  <c r="H15" i="74"/>
  <c r="H11" i="74"/>
  <c r="E16" i="73"/>
  <c r="F16" i="71"/>
  <c r="H13" i="71" s="1"/>
  <c r="F16" i="87"/>
  <c r="E17" i="96"/>
  <c r="E17" i="82"/>
  <c r="E16" i="97"/>
  <c r="G14" i="97" s="1"/>
  <c r="G8" i="97"/>
  <c r="F16" i="85"/>
  <c r="F16" i="80"/>
  <c r="F16" i="96"/>
  <c r="E16" i="85"/>
  <c r="E17" i="95"/>
  <c r="E16" i="71"/>
  <c r="G15" i="71"/>
  <c r="G13" i="71"/>
  <c r="G10" i="71"/>
  <c r="G11" i="71"/>
  <c r="G14" i="71"/>
  <c r="F16" i="86"/>
  <c r="G16" i="86"/>
  <c r="K2" i="86"/>
  <c r="D18" i="86"/>
  <c r="G12" i="86"/>
  <c r="G9" i="86"/>
  <c r="G14" i="86"/>
  <c r="G11" i="86"/>
  <c r="F17" i="94"/>
  <c r="E16" i="74"/>
  <c r="E16" i="70"/>
  <c r="E17" i="84"/>
  <c r="E16" i="72"/>
  <c r="F17" i="66"/>
  <c r="E18" i="81"/>
  <c r="F16" i="81"/>
  <c r="H10" i="74"/>
  <c r="E18" i="94"/>
  <c r="F16" i="70"/>
  <c r="F17" i="84"/>
  <c r="E16" i="68"/>
  <c r="H14" i="86"/>
  <c r="E17" i="67"/>
  <c r="K2" i="88"/>
  <c r="G16" i="88"/>
  <c r="D18" i="88"/>
  <c r="D19" i="88" s="1"/>
  <c r="G10" i="88"/>
  <c r="G12" i="88"/>
  <c r="G8" i="88"/>
  <c r="G13" i="88"/>
  <c r="G11" i="88"/>
  <c r="G14" i="88"/>
  <c r="G9" i="88"/>
  <c r="G15" i="86"/>
  <c r="F17" i="73"/>
  <c r="H9" i="86"/>
  <c r="H13" i="74"/>
  <c r="G81" i="55"/>
  <c r="G88" i="55" s="1"/>
  <c r="D41" i="64"/>
  <c r="J41" i="64" s="1"/>
  <c r="J51" i="64" s="1"/>
  <c r="S38" i="54"/>
  <c r="S71" i="55"/>
  <c r="S23" i="55"/>
  <c r="V36" i="63"/>
  <c r="C36" i="63"/>
  <c r="U36" i="63" s="1"/>
  <c r="J81" i="55"/>
  <c r="J88" i="55" s="1"/>
  <c r="F23" i="65"/>
  <c r="N45" i="59"/>
  <c r="C134" i="64"/>
  <c r="U134" i="64" s="1"/>
  <c r="X134" i="64"/>
  <c r="V15" i="63"/>
  <c r="J39" i="65"/>
  <c r="J49" i="65" s="1"/>
  <c r="G39" i="65"/>
  <c r="H39" i="65"/>
  <c r="H49" i="65" s="1"/>
  <c r="I39" i="65"/>
  <c r="I49" i="65" s="1"/>
  <c r="D49" i="65"/>
  <c r="V22" i="63"/>
  <c r="D22" i="63"/>
  <c r="F17" i="54"/>
  <c r="S17" i="54"/>
  <c r="H119" i="63"/>
  <c r="H129" i="63" s="1"/>
  <c r="I119" i="63"/>
  <c r="I129" i="63" s="1"/>
  <c r="J119" i="63"/>
  <c r="J129" i="63" s="1"/>
  <c r="G119" i="63"/>
  <c r="D129" i="63"/>
  <c r="D23" i="63"/>
  <c r="V23" i="63"/>
  <c r="F18" i="54"/>
  <c r="Q18" i="54" s="1"/>
  <c r="S18" i="54"/>
  <c r="F45" i="59"/>
  <c r="F20" i="57"/>
  <c r="U15" i="63"/>
  <c r="E20" i="57"/>
  <c r="J91" i="63"/>
  <c r="I91" i="63"/>
  <c r="G91" i="63"/>
  <c r="H91" i="63"/>
  <c r="W22" i="63"/>
  <c r="E22" i="63"/>
  <c r="T17" i="54"/>
  <c r="E23" i="63"/>
  <c r="W23" i="63"/>
  <c r="T18" i="54"/>
  <c r="G45" i="59"/>
  <c r="X21" i="63"/>
  <c r="X21" i="64"/>
  <c r="E22" i="64"/>
  <c r="W22" i="64"/>
  <c r="E22" i="65"/>
  <c r="W22" i="65"/>
  <c r="N149" i="64"/>
  <c r="E23" i="64"/>
  <c r="W23" i="64"/>
  <c r="J45" i="59"/>
  <c r="E23" i="65"/>
  <c r="W23" i="65"/>
  <c r="M45" i="59"/>
  <c r="H41" i="63"/>
  <c r="H51" i="63" s="1"/>
  <c r="J41" i="63"/>
  <c r="J51" i="63" s="1"/>
  <c r="G41" i="63"/>
  <c r="I41" i="63"/>
  <c r="I51" i="63" s="1"/>
  <c r="D51" i="63"/>
  <c r="U15" i="65"/>
  <c r="N149" i="63"/>
  <c r="I119" i="65"/>
  <c r="I129" i="65" s="1"/>
  <c r="J119" i="65"/>
  <c r="J129" i="65" s="1"/>
  <c r="G119" i="65"/>
  <c r="H119" i="65"/>
  <c r="H129" i="65" s="1"/>
  <c r="D129" i="65"/>
  <c r="T88" i="55"/>
  <c r="G21" i="54"/>
  <c r="D22" i="64"/>
  <c r="V22" i="64"/>
  <c r="J21" i="54"/>
  <c r="D23" i="64"/>
  <c r="V23" i="64"/>
  <c r="I45" i="59"/>
  <c r="J91" i="65"/>
  <c r="G91" i="65"/>
  <c r="I91" i="65"/>
  <c r="H91" i="65"/>
  <c r="D52" i="56"/>
  <c r="U32" i="56"/>
  <c r="I141" i="62"/>
  <c r="M26" i="57" s="1"/>
  <c r="M34" i="57" s="1"/>
  <c r="D141" i="62"/>
  <c r="N141" i="62"/>
  <c r="R26" i="57" s="1"/>
  <c r="R34" i="57" s="1"/>
  <c r="M141" i="62"/>
  <c r="Q26" i="57" s="1"/>
  <c r="Q34" i="57" s="1"/>
  <c r="H141" i="62"/>
  <c r="O141" i="62"/>
  <c r="S26" i="57" s="1"/>
  <c r="S34" i="57" s="1"/>
  <c r="K141" i="62"/>
  <c r="O26" i="57" s="1"/>
  <c r="O34" i="57" s="1"/>
  <c r="J141" i="62"/>
  <c r="F141" i="62"/>
  <c r="J26" i="57" s="1"/>
  <c r="G141" i="62"/>
  <c r="K26" i="57" s="1"/>
  <c r="K34" i="57" s="1"/>
  <c r="L141" i="62"/>
  <c r="P26" i="57" s="1"/>
  <c r="P34" i="57" s="1"/>
  <c r="I16" i="65"/>
  <c r="I26" i="65" s="1"/>
  <c r="J16" i="65"/>
  <c r="J26" i="65" s="1"/>
  <c r="G16" i="65"/>
  <c r="H16" i="65"/>
  <c r="H26" i="65" s="1"/>
  <c r="G20" i="57"/>
  <c r="F22" i="63"/>
  <c r="U17" i="54"/>
  <c r="F23" i="63"/>
  <c r="U18" i="54"/>
  <c r="H45" i="59"/>
  <c r="C114" i="64"/>
  <c r="U114" i="64" s="1"/>
  <c r="V114" i="64"/>
  <c r="U15" i="64"/>
  <c r="C114" i="63"/>
  <c r="U114" i="63" s="1"/>
  <c r="V114" i="63"/>
  <c r="X21" i="65"/>
  <c r="M88" i="55"/>
  <c r="F22" i="65"/>
  <c r="G91" i="64"/>
  <c r="I91" i="64"/>
  <c r="H91" i="64"/>
  <c r="J91" i="64"/>
  <c r="C134" i="63"/>
  <c r="U134" i="63" s="1"/>
  <c r="X134" i="63"/>
  <c r="D22" i="65"/>
  <c r="V22" i="65"/>
  <c r="M21" i="54"/>
  <c r="D23" i="65"/>
  <c r="V23" i="65"/>
  <c r="L45" i="59"/>
  <c r="V15" i="64"/>
  <c r="N149" i="65"/>
  <c r="V15" i="65"/>
  <c r="I16" i="64"/>
  <c r="I26" i="64" s="1"/>
  <c r="J16" i="64"/>
  <c r="J26" i="64" s="1"/>
  <c r="G16" i="64"/>
  <c r="H16" i="64"/>
  <c r="H26" i="64" s="1"/>
  <c r="C134" i="65"/>
  <c r="U134" i="65" s="1"/>
  <c r="X134" i="65"/>
  <c r="C114" i="65"/>
  <c r="U114" i="65" s="1"/>
  <c r="V114" i="65"/>
  <c r="F22" i="64"/>
  <c r="J119" i="64"/>
  <c r="J129" i="64" s="1"/>
  <c r="G119" i="64"/>
  <c r="H119" i="64"/>
  <c r="H129" i="64" s="1"/>
  <c r="I119" i="64"/>
  <c r="I129" i="64" s="1"/>
  <c r="D129" i="64"/>
  <c r="F23" i="64"/>
  <c r="K45" i="59"/>
  <c r="S48" i="54"/>
  <c r="L56" i="51"/>
  <c r="L55" i="51"/>
  <c r="L53" i="51"/>
  <c r="L37" i="51"/>
  <c r="L36" i="51"/>
  <c r="L35" i="51"/>
  <c r="L9" i="51"/>
  <c r="F18" i="51"/>
  <c r="B18" i="51"/>
  <c r="B17" i="51"/>
  <c r="B16" i="51"/>
  <c r="F15" i="51"/>
  <c r="B15" i="51"/>
  <c r="F14" i="51"/>
  <c r="B14" i="51"/>
  <c r="I13" i="51"/>
  <c r="F13" i="51"/>
  <c r="B13" i="51"/>
  <c r="F11" i="51"/>
  <c r="B11" i="51"/>
  <c r="F10" i="51"/>
  <c r="B10" i="51"/>
  <c r="F9" i="51"/>
  <c r="B9" i="51"/>
  <c r="F8" i="51"/>
  <c r="B8" i="51"/>
  <c r="L7" i="51"/>
  <c r="F7" i="51"/>
  <c r="B7" i="51"/>
  <c r="F6" i="51"/>
  <c r="B6" i="51"/>
  <c r="F5" i="51"/>
  <c r="C5" i="51"/>
  <c r="D5" i="51" s="1"/>
  <c r="E5" i="51" s="1"/>
  <c r="G16" i="63" l="1"/>
  <c r="G26" i="63" s="1"/>
  <c r="H16" i="63"/>
  <c r="H26" i="63" s="1"/>
  <c r="J16" i="63"/>
  <c r="J26" i="63" s="1"/>
  <c r="M11" i="64"/>
  <c r="R11" i="64"/>
  <c r="N11" i="64"/>
  <c r="O11" i="64"/>
  <c r="Q11" i="64"/>
  <c r="P11" i="64"/>
  <c r="R11" i="63"/>
  <c r="P11" i="63"/>
  <c r="O11" i="63"/>
  <c r="N11" i="63"/>
  <c r="Q11" i="63"/>
  <c r="G11" i="65"/>
  <c r="H11" i="65"/>
  <c r="I11" i="65"/>
  <c r="J11" i="65"/>
  <c r="I11" i="63"/>
  <c r="I30" i="63" s="1"/>
  <c r="J11" i="63"/>
  <c r="H11" i="63"/>
  <c r="G11" i="63"/>
  <c r="J11" i="64"/>
  <c r="J30" i="64" s="1"/>
  <c r="G11" i="64"/>
  <c r="H11" i="64"/>
  <c r="H30" i="64" s="1"/>
  <c r="I11" i="64"/>
  <c r="I30" i="64" s="1"/>
  <c r="M11" i="65"/>
  <c r="N11" i="65"/>
  <c r="P11" i="65"/>
  <c r="O11" i="65"/>
  <c r="Q11" i="65"/>
  <c r="R11" i="65"/>
  <c r="E43" i="59"/>
  <c r="F84" i="59" s="1"/>
  <c r="G41" i="64"/>
  <c r="G51" i="64" s="1"/>
  <c r="E17" i="68"/>
  <c r="F18" i="66"/>
  <c r="G11" i="97"/>
  <c r="F17" i="87"/>
  <c r="F18" i="68"/>
  <c r="E18" i="67"/>
  <c r="G16" i="74"/>
  <c r="K2" i="74"/>
  <c r="D18" i="74"/>
  <c r="D19" i="74" s="1"/>
  <c r="G7" i="74"/>
  <c r="G10" i="74"/>
  <c r="G13" i="74"/>
  <c r="G12" i="74"/>
  <c r="G9" i="74"/>
  <c r="G11" i="74"/>
  <c r="H16" i="86"/>
  <c r="K3" i="86"/>
  <c r="H8" i="86"/>
  <c r="H7" i="86"/>
  <c r="H11" i="86"/>
  <c r="H10" i="86"/>
  <c r="G14" i="74"/>
  <c r="F18" i="84"/>
  <c r="E18" i="84"/>
  <c r="D19" i="86"/>
  <c r="E18" i="95"/>
  <c r="G13" i="97"/>
  <c r="E18" i="82"/>
  <c r="H15" i="71"/>
  <c r="H14" i="71"/>
  <c r="G12" i="97"/>
  <c r="K3" i="71"/>
  <c r="H16" i="71"/>
  <c r="H10" i="71"/>
  <c r="H9" i="71"/>
  <c r="H8" i="71"/>
  <c r="H7" i="71"/>
  <c r="F19" i="95"/>
  <c r="E18" i="80"/>
  <c r="F18" i="94"/>
  <c r="F17" i="85"/>
  <c r="G15" i="97"/>
  <c r="E17" i="73"/>
  <c r="E19" i="87"/>
  <c r="F17" i="96"/>
  <c r="E18" i="96"/>
  <c r="F17" i="72"/>
  <c r="F18" i="73"/>
  <c r="E17" i="70"/>
  <c r="H13" i="86"/>
  <c r="E17" i="85"/>
  <c r="F18" i="67"/>
  <c r="G8" i="74"/>
  <c r="F17" i="70"/>
  <c r="E19" i="81"/>
  <c r="E17" i="72"/>
  <c r="L2" i="97"/>
  <c r="G16" i="97"/>
  <c r="G7" i="97"/>
  <c r="G9" i="97"/>
  <c r="F17" i="81"/>
  <c r="E19" i="94"/>
  <c r="H11" i="71"/>
  <c r="G15" i="74"/>
  <c r="H15" i="86"/>
  <c r="G16" i="71"/>
  <c r="K2" i="71"/>
  <c r="D19" i="71"/>
  <c r="D20" i="71" s="1"/>
  <c r="G7" i="71"/>
  <c r="G9" i="71"/>
  <c r="G12" i="71"/>
  <c r="F17" i="80"/>
  <c r="D18" i="97"/>
  <c r="D19" i="97" s="1"/>
  <c r="H16" i="74"/>
  <c r="K3" i="74"/>
  <c r="H8" i="74"/>
  <c r="H9" i="74"/>
  <c r="H7" i="74"/>
  <c r="H12" i="74"/>
  <c r="H14" i="74"/>
  <c r="H12" i="86"/>
  <c r="G10" i="97"/>
  <c r="E18" i="66"/>
  <c r="H12" i="71"/>
  <c r="P35" i="51"/>
  <c r="P36" i="51"/>
  <c r="P37" i="51"/>
  <c r="P53" i="51"/>
  <c r="P55" i="51"/>
  <c r="P56" i="51"/>
  <c r="S81" i="55"/>
  <c r="I41" i="64"/>
  <c r="I51" i="64" s="1"/>
  <c r="D51" i="64"/>
  <c r="H41" i="64"/>
  <c r="H51" i="64" s="1"/>
  <c r="S88" i="55"/>
  <c r="V16" i="65"/>
  <c r="E26" i="65"/>
  <c r="V16" i="64"/>
  <c r="E26" i="64"/>
  <c r="E30" i="64" s="1"/>
  <c r="P22" i="63"/>
  <c r="Q22" i="63"/>
  <c r="R22" i="63"/>
  <c r="O22" i="63"/>
  <c r="N22" i="63"/>
  <c r="M22" i="63"/>
  <c r="M48" i="57"/>
  <c r="M49" i="57"/>
  <c r="G51" i="63"/>
  <c r="V51" i="63" s="1"/>
  <c r="V41" i="63"/>
  <c r="G26" i="64"/>
  <c r="C22" i="65"/>
  <c r="U22" i="65" s="1"/>
  <c r="N26" i="57"/>
  <c r="V91" i="63"/>
  <c r="D20" i="57"/>
  <c r="G49" i="65"/>
  <c r="V49" i="65" s="1"/>
  <c r="V39" i="65"/>
  <c r="M23" i="64"/>
  <c r="N23" i="64"/>
  <c r="O23" i="64"/>
  <c r="P23" i="64"/>
  <c r="Q23" i="64"/>
  <c r="R23" i="64"/>
  <c r="M23" i="63"/>
  <c r="Q23" i="63"/>
  <c r="R23" i="63"/>
  <c r="N23" i="63"/>
  <c r="O23" i="63"/>
  <c r="P23" i="63"/>
  <c r="G26" i="65"/>
  <c r="V26" i="65" s="1"/>
  <c r="C23" i="65"/>
  <c r="U23" i="65" s="1"/>
  <c r="K88" i="65"/>
  <c r="K96" i="65" s="1"/>
  <c r="L88" i="65"/>
  <c r="L96" i="65" s="1"/>
  <c r="L88" i="64"/>
  <c r="L96" i="64" s="1"/>
  <c r="K88" i="64"/>
  <c r="K96" i="64" s="1"/>
  <c r="K88" i="63"/>
  <c r="K96" i="63" s="1"/>
  <c r="L88" i="63"/>
  <c r="L96" i="63" s="1"/>
  <c r="L26" i="57"/>
  <c r="C22" i="64"/>
  <c r="U22" i="64" s="1"/>
  <c r="G129" i="63"/>
  <c r="V129" i="63" s="1"/>
  <c r="V119" i="63"/>
  <c r="I46" i="59"/>
  <c r="I42" i="59"/>
  <c r="C23" i="63"/>
  <c r="U23" i="63" s="1"/>
  <c r="C22" i="63"/>
  <c r="D26" i="63"/>
  <c r="D30" i="63" s="1"/>
  <c r="V91" i="65"/>
  <c r="F46" i="59"/>
  <c r="S21" i="54"/>
  <c r="F42" i="59"/>
  <c r="G129" i="65"/>
  <c r="V129" i="65" s="1"/>
  <c r="V119" i="65"/>
  <c r="D26" i="65"/>
  <c r="U52" i="56"/>
  <c r="D34" i="56"/>
  <c r="Q17" i="54"/>
  <c r="P23" i="65"/>
  <c r="Q23" i="65"/>
  <c r="R23" i="65"/>
  <c r="M23" i="65"/>
  <c r="O23" i="65"/>
  <c r="N23" i="65"/>
  <c r="G129" i="64"/>
  <c r="V129" i="64" s="1"/>
  <c r="V119" i="64"/>
  <c r="O149" i="65"/>
  <c r="M22" i="65"/>
  <c r="N22" i="65"/>
  <c r="O22" i="65"/>
  <c r="Q22" i="65"/>
  <c r="R22" i="65"/>
  <c r="P22" i="65"/>
  <c r="C23" i="64"/>
  <c r="U23" i="64" s="1"/>
  <c r="E26" i="63"/>
  <c r="E30" i="63" s="1"/>
  <c r="E45" i="59"/>
  <c r="H86" i="59" s="1"/>
  <c r="R22" i="64"/>
  <c r="M22" i="64"/>
  <c r="N22" i="64"/>
  <c r="P22" i="64"/>
  <c r="O22" i="64"/>
  <c r="Q22" i="64"/>
  <c r="O149" i="63"/>
  <c r="V91" i="64"/>
  <c r="O149" i="64"/>
  <c r="L46" i="59"/>
  <c r="L42" i="59"/>
  <c r="K48" i="57"/>
  <c r="K49" i="57"/>
  <c r="H26" i="57"/>
  <c r="D26" i="64"/>
  <c r="D30" i="64" s="1"/>
  <c r="L17" i="51"/>
  <c r="P7" i="51"/>
  <c r="L19" i="51"/>
  <c r="P9" i="51"/>
  <c r="C6" i="51"/>
  <c r="D6" i="51" s="1"/>
  <c r="E6" i="51" s="1"/>
  <c r="L52" i="51"/>
  <c r="L54" i="51"/>
  <c r="L6" i="51"/>
  <c r="P6" i="51" s="1"/>
  <c r="L8" i="51"/>
  <c r="P8" i="51" s="1"/>
  <c r="L10" i="51"/>
  <c r="P10" i="51" s="1"/>
  <c r="L38" i="51"/>
  <c r="L34" i="51"/>
  <c r="L55" i="50"/>
  <c r="L53" i="50"/>
  <c r="L52" i="50"/>
  <c r="L10" i="50"/>
  <c r="L37" i="50"/>
  <c r="L36" i="50"/>
  <c r="L7" i="50"/>
  <c r="F18" i="50"/>
  <c r="B18" i="50"/>
  <c r="B17" i="50"/>
  <c r="B16" i="50"/>
  <c r="F15" i="50"/>
  <c r="B15" i="50"/>
  <c r="F14" i="50"/>
  <c r="B14" i="50"/>
  <c r="I13" i="50"/>
  <c r="F13" i="50"/>
  <c r="B13" i="50"/>
  <c r="F11" i="50"/>
  <c r="B11" i="50"/>
  <c r="F10" i="50"/>
  <c r="B10" i="50"/>
  <c r="L9" i="50"/>
  <c r="F9" i="50"/>
  <c r="B9" i="50"/>
  <c r="F8" i="50"/>
  <c r="B8" i="50"/>
  <c r="F7" i="50"/>
  <c r="B7" i="50"/>
  <c r="F6" i="50"/>
  <c r="B6" i="50"/>
  <c r="F5" i="50"/>
  <c r="C5" i="50"/>
  <c r="D5" i="50" s="1"/>
  <c r="E5" i="50" s="1"/>
  <c r="J30" i="63" l="1"/>
  <c r="H30" i="63"/>
  <c r="G30" i="64"/>
  <c r="K84" i="59"/>
  <c r="L84" i="59"/>
  <c r="N84" i="59"/>
  <c r="G30" i="63"/>
  <c r="V16" i="63"/>
  <c r="C11" i="65"/>
  <c r="V11" i="65"/>
  <c r="C11" i="64"/>
  <c r="V11" i="64"/>
  <c r="H84" i="59"/>
  <c r="X11" i="65"/>
  <c r="J84" i="59"/>
  <c r="V11" i="63"/>
  <c r="I84" i="59"/>
  <c r="X11" i="64"/>
  <c r="G84" i="59"/>
  <c r="M84" i="59"/>
  <c r="E20" i="81"/>
  <c r="E18" i="68"/>
  <c r="F19" i="67"/>
  <c r="F18" i="80"/>
  <c r="F18" i="81"/>
  <c r="E18" i="70"/>
  <c r="F19" i="73"/>
  <c r="E18" i="72"/>
  <c r="E19" i="96"/>
  <c r="F19" i="94"/>
  <c r="F19" i="84"/>
  <c r="E19" i="67"/>
  <c r="F18" i="87"/>
  <c r="F19" i="66"/>
  <c r="E20" i="94"/>
  <c r="E20" i="87"/>
  <c r="E19" i="66"/>
  <c r="F18" i="96"/>
  <c r="F18" i="85"/>
  <c r="E19" i="80"/>
  <c r="E19" i="82"/>
  <c r="F18" i="72"/>
  <c r="E18" i="85"/>
  <c r="E19" i="84"/>
  <c r="E19" i="95"/>
  <c r="F18" i="70"/>
  <c r="E18" i="73"/>
  <c r="F20" i="95"/>
  <c r="F19" i="68"/>
  <c r="P53" i="50"/>
  <c r="P52" i="51"/>
  <c r="P55" i="50"/>
  <c r="P34" i="51"/>
  <c r="P52" i="50"/>
  <c r="P36" i="50"/>
  <c r="P17" i="51"/>
  <c r="P54" i="51"/>
  <c r="P38" i="51"/>
  <c r="P19" i="51"/>
  <c r="P37" i="50"/>
  <c r="V41" i="64"/>
  <c r="V51" i="64"/>
  <c r="V26" i="63"/>
  <c r="K86" i="59"/>
  <c r="L18" i="55" s="1"/>
  <c r="F86" i="59"/>
  <c r="G19" i="55" s="1"/>
  <c r="J86" i="59"/>
  <c r="K18" i="55" s="1"/>
  <c r="G86" i="59"/>
  <c r="H19" i="55" s="1"/>
  <c r="X23" i="64"/>
  <c r="M86" i="59"/>
  <c r="N19" i="55" s="1"/>
  <c r="L86" i="59"/>
  <c r="M19" i="55" s="1"/>
  <c r="I19" i="55"/>
  <c r="I18" i="55"/>
  <c r="E26" i="57"/>
  <c r="H34" i="57"/>
  <c r="P149" i="63"/>
  <c r="X22" i="64"/>
  <c r="I86" i="59"/>
  <c r="X23" i="63"/>
  <c r="U22" i="63"/>
  <c r="F26" i="57"/>
  <c r="F34" i="57" s="1"/>
  <c r="F49" i="57" s="1"/>
  <c r="L34" i="57"/>
  <c r="P149" i="64"/>
  <c r="X22" i="65"/>
  <c r="U34" i="56"/>
  <c r="D165" i="62"/>
  <c r="N165" i="62"/>
  <c r="M11" i="62"/>
  <c r="M108" i="62" s="1"/>
  <c r="Q124" i="56" s="1"/>
  <c r="Q125" i="56" s="1"/>
  <c r="D95" i="62"/>
  <c r="I12" i="62"/>
  <c r="D12" i="62"/>
  <c r="N11" i="62"/>
  <c r="N108" i="62" s="1"/>
  <c r="R124" i="56" s="1"/>
  <c r="R125" i="56" s="1"/>
  <c r="I95" i="62"/>
  <c r="M109" i="56" s="1"/>
  <c r="D11" i="62"/>
  <c r="D108" i="62" s="1"/>
  <c r="N95" i="62"/>
  <c r="R109" i="56" s="1"/>
  <c r="O11" i="62"/>
  <c r="O108" i="62" s="1"/>
  <c r="S124" i="56" s="1"/>
  <c r="S125" i="56" s="1"/>
  <c r="I165" i="62"/>
  <c r="M12" i="62"/>
  <c r="N12" i="62"/>
  <c r="O95" i="62"/>
  <c r="S109" i="56" s="1"/>
  <c r="I11" i="62"/>
  <c r="I108" i="62" s="1"/>
  <c r="M124" i="56" s="1"/>
  <c r="M125" i="56" s="1"/>
  <c r="M165" i="62"/>
  <c r="M95" i="62"/>
  <c r="Q109" i="56" s="1"/>
  <c r="O12" i="62"/>
  <c r="O165" i="62"/>
  <c r="H12" i="62"/>
  <c r="H165" i="62"/>
  <c r="H95" i="62"/>
  <c r="H11" i="62"/>
  <c r="H108" i="62" s="1"/>
  <c r="L124" i="56" s="1"/>
  <c r="K11" i="62"/>
  <c r="K108" i="62" s="1"/>
  <c r="O124" i="56" s="1"/>
  <c r="O125" i="56" s="1"/>
  <c r="J11" i="62"/>
  <c r="J108" i="62" s="1"/>
  <c r="N124" i="56" s="1"/>
  <c r="K12" i="62"/>
  <c r="J95" i="62"/>
  <c r="K165" i="62"/>
  <c r="J165" i="62"/>
  <c r="K95" i="62"/>
  <c r="O109" i="56" s="1"/>
  <c r="J12" i="62"/>
  <c r="G11" i="62"/>
  <c r="G108" i="62" s="1"/>
  <c r="K124" i="56" s="1"/>
  <c r="K125" i="56" s="1"/>
  <c r="F12" i="62"/>
  <c r="G165" i="62"/>
  <c r="F11" i="62"/>
  <c r="F108" i="62" s="1"/>
  <c r="J124" i="56" s="1"/>
  <c r="J125" i="56" s="1"/>
  <c r="G95" i="62"/>
  <c r="K109" i="56" s="1"/>
  <c r="F165" i="62"/>
  <c r="G12" i="62"/>
  <c r="F95" i="62"/>
  <c r="J109" i="56" s="1"/>
  <c r="E165" i="62"/>
  <c r="L11" i="62"/>
  <c r="L108" i="62" s="1"/>
  <c r="P124" i="56" s="1"/>
  <c r="P125" i="56" s="1"/>
  <c r="E95" i="62"/>
  <c r="I109" i="56" s="1"/>
  <c r="L12" i="62"/>
  <c r="E11" i="62"/>
  <c r="E108" i="62" s="1"/>
  <c r="I124" i="56" s="1"/>
  <c r="I125" i="56" s="1"/>
  <c r="E12" i="62"/>
  <c r="L95" i="62"/>
  <c r="P109" i="56" s="1"/>
  <c r="L165" i="62"/>
  <c r="N86" i="59"/>
  <c r="U20" i="57"/>
  <c r="G26" i="57"/>
  <c r="G34" i="57" s="1"/>
  <c r="N34" i="57"/>
  <c r="X22" i="63"/>
  <c r="P149" i="65"/>
  <c r="X23" i="65"/>
  <c r="V26" i="64"/>
  <c r="L20" i="50"/>
  <c r="P10" i="50"/>
  <c r="L19" i="50"/>
  <c r="P9" i="50"/>
  <c r="L17" i="50"/>
  <c r="P7" i="50"/>
  <c r="C7" i="51"/>
  <c r="D7" i="51" s="1"/>
  <c r="E7" i="51" s="1"/>
  <c r="C6" i="50"/>
  <c r="L20" i="51"/>
  <c r="L18" i="51"/>
  <c r="L16" i="51"/>
  <c r="L35" i="50"/>
  <c r="L54" i="50"/>
  <c r="L6" i="50"/>
  <c r="L34" i="50"/>
  <c r="L8" i="50"/>
  <c r="P8" i="50" s="1"/>
  <c r="L56" i="50"/>
  <c r="L38" i="50"/>
  <c r="N125" i="56" l="1"/>
  <c r="G124" i="56"/>
  <c r="G125" i="56" s="1"/>
  <c r="L125" i="56"/>
  <c r="F124" i="56"/>
  <c r="F125" i="56" s="1"/>
  <c r="C108" i="62"/>
  <c r="H124" i="56"/>
  <c r="E84" i="59"/>
  <c r="K19" i="55"/>
  <c r="E87" i="64" s="1"/>
  <c r="G18" i="55"/>
  <c r="V86" i="63" s="1"/>
  <c r="F20" i="68"/>
  <c r="E20" i="82"/>
  <c r="F20" i="84"/>
  <c r="H19" i="84"/>
  <c r="H14" i="84"/>
  <c r="H17" i="84"/>
  <c r="E19" i="73"/>
  <c r="E19" i="70"/>
  <c r="E19" i="68"/>
  <c r="E21" i="81"/>
  <c r="E19" i="85"/>
  <c r="F19" i="96"/>
  <c r="E20" i="66"/>
  <c r="H18" i="84"/>
  <c r="F19" i="87"/>
  <c r="E21" i="94"/>
  <c r="F20" i="94"/>
  <c r="E20" i="80"/>
  <c r="F19" i="81"/>
  <c r="F20" i="73"/>
  <c r="E20" i="95"/>
  <c r="E20" i="67"/>
  <c r="H15" i="84"/>
  <c r="E19" i="72"/>
  <c r="F21" i="95"/>
  <c r="F19" i="70"/>
  <c r="E20" i="84"/>
  <c r="G15" i="84" s="1"/>
  <c r="G17" i="84"/>
  <c r="F19" i="85"/>
  <c r="E21" i="87"/>
  <c r="F20" i="66"/>
  <c r="H16" i="84"/>
  <c r="F20" i="67"/>
  <c r="F19" i="72"/>
  <c r="E20" i="96"/>
  <c r="F19" i="80"/>
  <c r="P17" i="50"/>
  <c r="P20" i="50"/>
  <c r="P54" i="50"/>
  <c r="P35" i="50"/>
  <c r="P16" i="51"/>
  <c r="P38" i="50"/>
  <c r="P18" i="51"/>
  <c r="P56" i="50"/>
  <c r="P20" i="51"/>
  <c r="P19" i="50"/>
  <c r="P34" i="50"/>
  <c r="H18" i="55"/>
  <c r="E86" i="63" s="1"/>
  <c r="L19" i="55"/>
  <c r="F87" i="64" s="1"/>
  <c r="N18" i="55"/>
  <c r="W86" i="65" s="1"/>
  <c r="M18" i="55"/>
  <c r="V86" i="65" s="1"/>
  <c r="M173" i="62"/>
  <c r="Q60" i="57" s="1"/>
  <c r="M172" i="62"/>
  <c r="Q59" i="57" s="1"/>
  <c r="M168" i="62"/>
  <c r="Q55" i="57" s="1"/>
  <c r="M171" i="62"/>
  <c r="Q58" i="57" s="1"/>
  <c r="M174" i="62"/>
  <c r="Q61" i="57" s="1"/>
  <c r="M175" i="62"/>
  <c r="Q62" i="57" s="1"/>
  <c r="M166" i="62"/>
  <c r="Q53" i="57" s="1"/>
  <c r="M169" i="62"/>
  <c r="Q56" i="57" s="1"/>
  <c r="M167" i="62"/>
  <c r="Q54" i="57" s="1"/>
  <c r="Q52" i="57"/>
  <c r="L167" i="62"/>
  <c r="P54" i="57" s="1"/>
  <c r="L175" i="62"/>
  <c r="P62" i="57" s="1"/>
  <c r="L169" i="62"/>
  <c r="P56" i="57" s="1"/>
  <c r="L171" i="62"/>
  <c r="P58" i="57" s="1"/>
  <c r="L172" i="62"/>
  <c r="P59" i="57" s="1"/>
  <c r="L174" i="62"/>
  <c r="P61" i="57" s="1"/>
  <c r="L173" i="62"/>
  <c r="P60" i="57" s="1"/>
  <c r="L168" i="62"/>
  <c r="P55" i="57" s="1"/>
  <c r="L166" i="62"/>
  <c r="P53" i="57" s="1"/>
  <c r="P52" i="57"/>
  <c r="J97" i="62"/>
  <c r="J181" i="62"/>
  <c r="N70" i="57" s="1"/>
  <c r="J113" i="62"/>
  <c r="J55" i="62"/>
  <c r="N59" i="56" s="1"/>
  <c r="N8" i="56"/>
  <c r="K10" i="65"/>
  <c r="L10" i="65"/>
  <c r="K10" i="64"/>
  <c r="L10" i="64"/>
  <c r="K10" i="63"/>
  <c r="H40" i="62"/>
  <c r="L38" i="56" s="1"/>
  <c r="H48" i="62"/>
  <c r="L46" i="56" s="1"/>
  <c r="H88" i="62"/>
  <c r="L92" i="56" s="1"/>
  <c r="L10" i="63"/>
  <c r="H45" i="62"/>
  <c r="L43" i="56" s="1"/>
  <c r="H85" i="62"/>
  <c r="L89" i="56" s="1"/>
  <c r="H96" i="62"/>
  <c r="H39" i="62"/>
  <c r="H47" i="62"/>
  <c r="L45" i="56" s="1"/>
  <c r="H87" i="62"/>
  <c r="L91" i="56" s="1"/>
  <c r="H210" i="62"/>
  <c r="H41" i="62"/>
  <c r="L39" i="56" s="1"/>
  <c r="H42" i="62"/>
  <c r="L40" i="56" s="1"/>
  <c r="H44" i="62"/>
  <c r="L42" i="56" s="1"/>
  <c r="H82" i="62"/>
  <c r="H84" i="62"/>
  <c r="L88" i="56" s="1"/>
  <c r="H226" i="62"/>
  <c r="H231" i="62"/>
  <c r="H43" i="62"/>
  <c r="L41" i="56" s="1"/>
  <c r="H46" i="62"/>
  <c r="L44" i="56" s="1"/>
  <c r="H54" i="62"/>
  <c r="H83" i="62"/>
  <c r="L87" i="56" s="1"/>
  <c r="H86" i="62"/>
  <c r="L90" i="56" s="1"/>
  <c r="H89" i="62"/>
  <c r="L93" i="56" s="1"/>
  <c r="H90" i="62"/>
  <c r="L94" i="56" s="1"/>
  <c r="H112" i="62"/>
  <c r="L128" i="56" s="1"/>
  <c r="H91" i="62"/>
  <c r="L95" i="56" s="1"/>
  <c r="H180" i="62"/>
  <c r="L7" i="56"/>
  <c r="I43" i="62"/>
  <c r="M41" i="56" s="1"/>
  <c r="I83" i="62"/>
  <c r="M87" i="56" s="1"/>
  <c r="I91" i="62"/>
  <c r="M95" i="56" s="1"/>
  <c r="I40" i="62"/>
  <c r="M38" i="56" s="1"/>
  <c r="I48" i="62"/>
  <c r="M46" i="56" s="1"/>
  <c r="I88" i="62"/>
  <c r="M92" i="56" s="1"/>
  <c r="I42" i="62"/>
  <c r="M40" i="56" s="1"/>
  <c r="I82" i="62"/>
  <c r="M86" i="56" s="1"/>
  <c r="I90" i="62"/>
  <c r="M94" i="56" s="1"/>
  <c r="I180" i="62"/>
  <c r="I226" i="62"/>
  <c r="I39" i="62"/>
  <c r="M37" i="56" s="1"/>
  <c r="I210" i="62"/>
  <c r="I41" i="62"/>
  <c r="M39" i="56" s="1"/>
  <c r="I44" i="62"/>
  <c r="M42" i="56" s="1"/>
  <c r="I45" i="62"/>
  <c r="M43" i="56" s="1"/>
  <c r="I47" i="62"/>
  <c r="M45" i="56" s="1"/>
  <c r="I84" i="62"/>
  <c r="M88" i="56" s="1"/>
  <c r="I85" i="62"/>
  <c r="M89" i="56" s="1"/>
  <c r="I87" i="62"/>
  <c r="M91" i="56" s="1"/>
  <c r="I231" i="62"/>
  <c r="I46" i="62"/>
  <c r="M44" i="56" s="1"/>
  <c r="I54" i="62"/>
  <c r="M58" i="56" s="1"/>
  <c r="I86" i="62"/>
  <c r="M90" i="56" s="1"/>
  <c r="I89" i="62"/>
  <c r="M93" i="56" s="1"/>
  <c r="I96" i="62"/>
  <c r="M110" i="56" s="1"/>
  <c r="I112" i="62"/>
  <c r="M128" i="56" s="1"/>
  <c r="M7" i="56"/>
  <c r="F86" i="63"/>
  <c r="E173" i="62"/>
  <c r="I60" i="57" s="1"/>
  <c r="E172" i="62"/>
  <c r="I59" i="57" s="1"/>
  <c r="E166" i="62"/>
  <c r="I53" i="57" s="1"/>
  <c r="E167" i="62"/>
  <c r="I54" i="57" s="1"/>
  <c r="E169" i="62"/>
  <c r="I56" i="57" s="1"/>
  <c r="E168" i="62"/>
  <c r="I55" i="57" s="1"/>
  <c r="E171" i="62"/>
  <c r="I58" i="57" s="1"/>
  <c r="E174" i="62"/>
  <c r="I61" i="57" s="1"/>
  <c r="E175" i="62"/>
  <c r="I62" i="57" s="1"/>
  <c r="I52" i="57"/>
  <c r="D44" i="62"/>
  <c r="D84" i="62"/>
  <c r="D112" i="62"/>
  <c r="D210" i="62"/>
  <c r="D231" i="62"/>
  <c r="C11" i="62"/>
  <c r="D41" i="62"/>
  <c r="D54" i="62"/>
  <c r="D89" i="62"/>
  <c r="D43" i="62"/>
  <c r="D83" i="62"/>
  <c r="D91" i="62"/>
  <c r="D42" i="62"/>
  <c r="D45" i="62"/>
  <c r="D46" i="62"/>
  <c r="D48" i="62"/>
  <c r="D82" i="62"/>
  <c r="D85" i="62"/>
  <c r="D86" i="62"/>
  <c r="D88" i="62"/>
  <c r="D226" i="62"/>
  <c r="D39" i="62"/>
  <c r="D47" i="62"/>
  <c r="D87" i="62"/>
  <c r="D90" i="62"/>
  <c r="D96" i="62"/>
  <c r="D180" i="62"/>
  <c r="D40" i="62"/>
  <c r="H7" i="56"/>
  <c r="F87" i="63"/>
  <c r="Q149" i="65"/>
  <c r="E39" i="62"/>
  <c r="I37" i="56" s="1"/>
  <c r="E47" i="62"/>
  <c r="I45" i="56" s="1"/>
  <c r="E87" i="62"/>
  <c r="I91" i="56" s="1"/>
  <c r="E44" i="62"/>
  <c r="I42" i="56" s="1"/>
  <c r="E84" i="62"/>
  <c r="I88" i="56" s="1"/>
  <c r="E112" i="62"/>
  <c r="I128" i="56" s="1"/>
  <c r="E210" i="62"/>
  <c r="E231" i="62"/>
  <c r="E46" i="62"/>
  <c r="I44" i="56" s="1"/>
  <c r="E86" i="62"/>
  <c r="I90" i="56" s="1"/>
  <c r="E40" i="62"/>
  <c r="I38" i="56" s="1"/>
  <c r="E41" i="62"/>
  <c r="I39" i="56" s="1"/>
  <c r="E43" i="62"/>
  <c r="I41" i="56" s="1"/>
  <c r="E83" i="62"/>
  <c r="I87" i="56" s="1"/>
  <c r="E42" i="62"/>
  <c r="I40" i="56" s="1"/>
  <c r="E45" i="62"/>
  <c r="I43" i="56" s="1"/>
  <c r="E48" i="62"/>
  <c r="I46" i="56" s="1"/>
  <c r="E54" i="62"/>
  <c r="I58" i="56" s="1"/>
  <c r="E82" i="62"/>
  <c r="I86" i="56" s="1"/>
  <c r="E85" i="62"/>
  <c r="I89" i="56" s="1"/>
  <c r="E88" i="62"/>
  <c r="I92" i="56" s="1"/>
  <c r="E89" i="62"/>
  <c r="I93" i="56" s="1"/>
  <c r="E91" i="62"/>
  <c r="I95" i="56" s="1"/>
  <c r="E226" i="62"/>
  <c r="E90" i="62"/>
  <c r="I94" i="56" s="1"/>
  <c r="E96" i="62"/>
  <c r="I110" i="56" s="1"/>
  <c r="E180" i="62"/>
  <c r="I7" i="56"/>
  <c r="K167" i="62"/>
  <c r="O54" i="57" s="1"/>
  <c r="K175" i="62"/>
  <c r="O62" i="57" s="1"/>
  <c r="K172" i="62"/>
  <c r="O59" i="57" s="1"/>
  <c r="K166" i="62"/>
  <c r="O53" i="57" s="1"/>
  <c r="K174" i="62"/>
  <c r="O61" i="57" s="1"/>
  <c r="K171" i="62"/>
  <c r="O58" i="57" s="1"/>
  <c r="K173" i="62"/>
  <c r="O60" i="57" s="1"/>
  <c r="K169" i="62"/>
  <c r="O56" i="57" s="1"/>
  <c r="K168" i="62"/>
  <c r="O55" i="57" s="1"/>
  <c r="O52" i="57"/>
  <c r="H113" i="62"/>
  <c r="H181" i="62"/>
  <c r="L70" i="57" s="1"/>
  <c r="H55" i="62"/>
  <c r="L59" i="56" s="1"/>
  <c r="H97" i="62"/>
  <c r="L8" i="56"/>
  <c r="M97" i="62"/>
  <c r="Q111" i="56" s="1"/>
  <c r="M181" i="62"/>
  <c r="Q70" i="57" s="1"/>
  <c r="M113" i="62"/>
  <c r="M55" i="62"/>
  <c r="Q59" i="56" s="1"/>
  <c r="Q8" i="56"/>
  <c r="I181" i="62"/>
  <c r="M70" i="57" s="1"/>
  <c r="I55" i="62"/>
  <c r="M59" i="56" s="1"/>
  <c r="I113" i="62"/>
  <c r="I97" i="62"/>
  <c r="M111" i="56" s="1"/>
  <c r="M8" i="56"/>
  <c r="L49" i="57"/>
  <c r="L48" i="57"/>
  <c r="F48" i="57" s="1"/>
  <c r="D26" i="57"/>
  <c r="D167" i="62"/>
  <c r="D175" i="62"/>
  <c r="D169" i="62"/>
  <c r="C165" i="62"/>
  <c r="D166" i="62"/>
  <c r="D168" i="62"/>
  <c r="D171" i="62"/>
  <c r="D172" i="62"/>
  <c r="D174" i="62"/>
  <c r="D173" i="62"/>
  <c r="H52" i="57"/>
  <c r="G113" i="62"/>
  <c r="G55" i="62"/>
  <c r="K59" i="56" s="1"/>
  <c r="G97" i="62"/>
  <c r="K111" i="56" s="1"/>
  <c r="G181" i="62"/>
  <c r="K70" i="57" s="1"/>
  <c r="K8" i="56"/>
  <c r="L58" i="65"/>
  <c r="K58" i="65"/>
  <c r="K58" i="64"/>
  <c r="L58" i="63"/>
  <c r="K58" i="63"/>
  <c r="L58" i="64"/>
  <c r="L109" i="56"/>
  <c r="N42" i="62"/>
  <c r="R40" i="56" s="1"/>
  <c r="N82" i="62"/>
  <c r="R86" i="56" s="1"/>
  <c r="N90" i="62"/>
  <c r="R94" i="56" s="1"/>
  <c r="N180" i="62"/>
  <c r="N226" i="62"/>
  <c r="N39" i="62"/>
  <c r="R37" i="56" s="1"/>
  <c r="N47" i="62"/>
  <c r="R45" i="56" s="1"/>
  <c r="N87" i="62"/>
  <c r="R91" i="56" s="1"/>
  <c r="N41" i="62"/>
  <c r="R39" i="56" s="1"/>
  <c r="N54" i="62"/>
  <c r="R58" i="56" s="1"/>
  <c r="N89" i="62"/>
  <c r="R93" i="56" s="1"/>
  <c r="N96" i="62"/>
  <c r="R110" i="56" s="1"/>
  <c r="N210" i="62"/>
  <c r="N40" i="62"/>
  <c r="R38" i="56" s="1"/>
  <c r="N43" i="62"/>
  <c r="R41" i="56" s="1"/>
  <c r="N44" i="62"/>
  <c r="R42" i="56" s="1"/>
  <c r="N46" i="62"/>
  <c r="R44" i="56" s="1"/>
  <c r="N45" i="62"/>
  <c r="R43" i="56" s="1"/>
  <c r="N48" i="62"/>
  <c r="R46" i="56" s="1"/>
  <c r="N85" i="62"/>
  <c r="R89" i="56" s="1"/>
  <c r="N83" i="62"/>
  <c r="R87" i="56" s="1"/>
  <c r="N88" i="62"/>
  <c r="R92" i="56" s="1"/>
  <c r="N86" i="62"/>
  <c r="R90" i="56" s="1"/>
  <c r="N91" i="62"/>
  <c r="R95" i="56" s="1"/>
  <c r="N112" i="62"/>
  <c r="R128" i="56" s="1"/>
  <c r="N84" i="62"/>
  <c r="R88" i="56" s="1"/>
  <c r="N231" i="62"/>
  <c r="R7" i="56"/>
  <c r="H49" i="57"/>
  <c r="H48" i="57"/>
  <c r="V87" i="63"/>
  <c r="D87" i="63"/>
  <c r="E86" i="64"/>
  <c r="W86" i="64"/>
  <c r="L181" i="62"/>
  <c r="P70" i="57" s="1"/>
  <c r="L113" i="62"/>
  <c r="L97" i="62"/>
  <c r="P111" i="56" s="1"/>
  <c r="L55" i="62"/>
  <c r="P59" i="56" s="1"/>
  <c r="P8" i="56"/>
  <c r="F42" i="62"/>
  <c r="J40" i="56" s="1"/>
  <c r="F82" i="62"/>
  <c r="J86" i="56" s="1"/>
  <c r="F90" i="62"/>
  <c r="J94" i="56" s="1"/>
  <c r="F180" i="62"/>
  <c r="F226" i="62"/>
  <c r="F39" i="62"/>
  <c r="J37" i="56" s="1"/>
  <c r="F47" i="62"/>
  <c r="J45" i="56" s="1"/>
  <c r="F87" i="62"/>
  <c r="J91" i="56" s="1"/>
  <c r="F41" i="62"/>
  <c r="J39" i="56" s="1"/>
  <c r="F54" i="62"/>
  <c r="J58" i="56" s="1"/>
  <c r="F89" i="62"/>
  <c r="J93" i="56" s="1"/>
  <c r="F40" i="62"/>
  <c r="J38" i="56" s="1"/>
  <c r="F43" i="62"/>
  <c r="J41" i="56" s="1"/>
  <c r="F44" i="62"/>
  <c r="J42" i="56" s="1"/>
  <c r="F46" i="62"/>
  <c r="J44" i="56" s="1"/>
  <c r="F83" i="62"/>
  <c r="J87" i="56" s="1"/>
  <c r="F84" i="62"/>
  <c r="J88" i="56" s="1"/>
  <c r="F86" i="62"/>
  <c r="J90" i="56" s="1"/>
  <c r="F231" i="62"/>
  <c r="F45" i="62"/>
  <c r="J43" i="56" s="1"/>
  <c r="F48" i="62"/>
  <c r="J46" i="56" s="1"/>
  <c r="F85" i="62"/>
  <c r="J89" i="56" s="1"/>
  <c r="F88" i="62"/>
  <c r="J92" i="56" s="1"/>
  <c r="F91" i="62"/>
  <c r="J95" i="56" s="1"/>
  <c r="F112" i="62"/>
  <c r="J128" i="56" s="1"/>
  <c r="F96" i="62"/>
  <c r="J110" i="56" s="1"/>
  <c r="F210" i="62"/>
  <c r="J7" i="56"/>
  <c r="N109" i="56"/>
  <c r="O171" i="62"/>
  <c r="S58" i="57" s="1"/>
  <c r="O168" i="62"/>
  <c r="S55" i="57" s="1"/>
  <c r="O167" i="62"/>
  <c r="S54" i="57" s="1"/>
  <c r="O166" i="62"/>
  <c r="S53" i="57" s="1"/>
  <c r="O169" i="62"/>
  <c r="S56" i="57" s="1"/>
  <c r="O172" i="62"/>
  <c r="S59" i="57" s="1"/>
  <c r="O173" i="62"/>
  <c r="S60" i="57" s="1"/>
  <c r="O175" i="62"/>
  <c r="S62" i="57" s="1"/>
  <c r="O174" i="62"/>
  <c r="S61" i="57" s="1"/>
  <c r="S52" i="57"/>
  <c r="I169" i="62"/>
  <c r="M56" i="57" s="1"/>
  <c r="I166" i="62"/>
  <c r="M53" i="57" s="1"/>
  <c r="I174" i="62"/>
  <c r="M61" i="57" s="1"/>
  <c r="I168" i="62"/>
  <c r="M55" i="57" s="1"/>
  <c r="I172" i="62"/>
  <c r="M59" i="57" s="1"/>
  <c r="I175" i="62"/>
  <c r="M62" i="57" s="1"/>
  <c r="I173" i="62"/>
  <c r="M60" i="57" s="1"/>
  <c r="I167" i="62"/>
  <c r="M54" i="57" s="1"/>
  <c r="I171" i="62"/>
  <c r="M58" i="57" s="1"/>
  <c r="M52" i="57"/>
  <c r="C95" i="62"/>
  <c r="H109" i="56"/>
  <c r="J19" i="55"/>
  <c r="S19" i="55" s="1"/>
  <c r="J18" i="55"/>
  <c r="K41" i="62"/>
  <c r="O39" i="56" s="1"/>
  <c r="K54" i="62"/>
  <c r="O58" i="56" s="1"/>
  <c r="K89" i="62"/>
  <c r="O93" i="56" s="1"/>
  <c r="K46" i="62"/>
  <c r="O44" i="56" s="1"/>
  <c r="K86" i="62"/>
  <c r="O90" i="56" s="1"/>
  <c r="K40" i="62"/>
  <c r="O38" i="56" s="1"/>
  <c r="K48" i="62"/>
  <c r="O46" i="56" s="1"/>
  <c r="K88" i="62"/>
  <c r="O92" i="56" s="1"/>
  <c r="K180" i="62"/>
  <c r="K210" i="62"/>
  <c r="K39" i="62"/>
  <c r="O37" i="56" s="1"/>
  <c r="K42" i="62"/>
  <c r="O40" i="56" s="1"/>
  <c r="K43" i="62"/>
  <c r="O41" i="56" s="1"/>
  <c r="K45" i="62"/>
  <c r="O43" i="56" s="1"/>
  <c r="K82" i="62"/>
  <c r="O86" i="56" s="1"/>
  <c r="K83" i="62"/>
  <c r="O87" i="56" s="1"/>
  <c r="K85" i="62"/>
  <c r="O89" i="56" s="1"/>
  <c r="K226" i="62"/>
  <c r="K91" i="62"/>
  <c r="O95" i="56" s="1"/>
  <c r="K44" i="62"/>
  <c r="O42" i="56" s="1"/>
  <c r="K90" i="62"/>
  <c r="O94" i="56" s="1"/>
  <c r="K231" i="62"/>
  <c r="K84" i="62"/>
  <c r="O88" i="56" s="1"/>
  <c r="K47" i="62"/>
  <c r="O45" i="56" s="1"/>
  <c r="K96" i="62"/>
  <c r="O110" i="56" s="1"/>
  <c r="K87" i="62"/>
  <c r="O91" i="56" s="1"/>
  <c r="K112" i="62"/>
  <c r="O128" i="56" s="1"/>
  <c r="O7" i="56"/>
  <c r="Q149" i="64"/>
  <c r="O19" i="55"/>
  <c r="O18" i="55"/>
  <c r="F168" i="62"/>
  <c r="J55" i="57" s="1"/>
  <c r="F173" i="62"/>
  <c r="J60" i="57" s="1"/>
  <c r="F167" i="62"/>
  <c r="J54" i="57" s="1"/>
  <c r="F175" i="62"/>
  <c r="J62" i="57" s="1"/>
  <c r="F166" i="62"/>
  <c r="J53" i="57" s="1"/>
  <c r="F169" i="62"/>
  <c r="J56" i="57" s="1"/>
  <c r="F171" i="62"/>
  <c r="J58" i="57" s="1"/>
  <c r="F174" i="62"/>
  <c r="J61" i="57" s="1"/>
  <c r="F172" i="62"/>
  <c r="J59" i="57" s="1"/>
  <c r="J52" i="57"/>
  <c r="N55" i="62"/>
  <c r="R59" i="56" s="1"/>
  <c r="N113" i="62"/>
  <c r="N181" i="62"/>
  <c r="R70" i="57" s="1"/>
  <c r="N97" i="62"/>
  <c r="R111" i="56" s="1"/>
  <c r="R8" i="56"/>
  <c r="E86" i="59"/>
  <c r="G171" i="62"/>
  <c r="K58" i="57" s="1"/>
  <c r="G168" i="62"/>
  <c r="K55" i="57" s="1"/>
  <c r="G167" i="62"/>
  <c r="K54" i="57" s="1"/>
  <c r="G166" i="62"/>
  <c r="K53" i="57" s="1"/>
  <c r="G169" i="62"/>
  <c r="K56" i="57" s="1"/>
  <c r="G173" i="62"/>
  <c r="K60" i="57" s="1"/>
  <c r="G172" i="62"/>
  <c r="K59" i="57" s="1"/>
  <c r="G174" i="62"/>
  <c r="K61" i="57" s="1"/>
  <c r="G175" i="62"/>
  <c r="K62" i="57" s="1"/>
  <c r="K52" i="57"/>
  <c r="K97" i="62"/>
  <c r="O111" i="56" s="1"/>
  <c r="K181" i="62"/>
  <c r="O70" i="57" s="1"/>
  <c r="K113" i="62"/>
  <c r="K55" i="62"/>
  <c r="O59" i="56" s="1"/>
  <c r="O8" i="56"/>
  <c r="O113" i="62"/>
  <c r="O55" i="62"/>
  <c r="S59" i="56" s="1"/>
  <c r="O97" i="62"/>
  <c r="S111" i="56" s="1"/>
  <c r="O181" i="62"/>
  <c r="S70" i="57" s="1"/>
  <c r="S8" i="56"/>
  <c r="O45" i="62"/>
  <c r="S43" i="56" s="1"/>
  <c r="O85" i="62"/>
  <c r="S89" i="56" s="1"/>
  <c r="O96" i="62"/>
  <c r="S110" i="56" s="1"/>
  <c r="O42" i="62"/>
  <c r="S40" i="56" s="1"/>
  <c r="O82" i="62"/>
  <c r="S86" i="56" s="1"/>
  <c r="O90" i="62"/>
  <c r="S94" i="56" s="1"/>
  <c r="O180" i="62"/>
  <c r="O226" i="62"/>
  <c r="O44" i="62"/>
  <c r="S42" i="56" s="1"/>
  <c r="O84" i="62"/>
  <c r="S88" i="56" s="1"/>
  <c r="O112" i="62"/>
  <c r="S128" i="56" s="1"/>
  <c r="O210" i="62"/>
  <c r="O231" i="62"/>
  <c r="O48" i="62"/>
  <c r="S46" i="56" s="1"/>
  <c r="O88" i="62"/>
  <c r="S92" i="56" s="1"/>
  <c r="O91" i="62"/>
  <c r="S95" i="56" s="1"/>
  <c r="O39" i="62"/>
  <c r="S37" i="56" s="1"/>
  <c r="O41" i="62"/>
  <c r="S39" i="56" s="1"/>
  <c r="O46" i="62"/>
  <c r="S44" i="56" s="1"/>
  <c r="O83" i="62"/>
  <c r="S87" i="56" s="1"/>
  <c r="O47" i="62"/>
  <c r="S45" i="56" s="1"/>
  <c r="S7" i="56"/>
  <c r="O43" i="62"/>
  <c r="S41" i="56" s="1"/>
  <c r="O86" i="62"/>
  <c r="S90" i="56" s="1"/>
  <c r="O54" i="62"/>
  <c r="S58" i="56" s="1"/>
  <c r="O40" i="62"/>
  <c r="S38" i="56" s="1"/>
  <c r="O87" i="62"/>
  <c r="S91" i="56" s="1"/>
  <c r="O89" i="62"/>
  <c r="S93" i="56" s="1"/>
  <c r="M39" i="62"/>
  <c r="Q37" i="56" s="1"/>
  <c r="M47" i="62"/>
  <c r="Q45" i="56" s="1"/>
  <c r="M87" i="62"/>
  <c r="Q91" i="56" s="1"/>
  <c r="M44" i="62"/>
  <c r="Q42" i="56" s="1"/>
  <c r="M84" i="62"/>
  <c r="Q88" i="56" s="1"/>
  <c r="M112" i="62"/>
  <c r="Q128" i="56" s="1"/>
  <c r="M210" i="62"/>
  <c r="M231" i="62"/>
  <c r="M46" i="62"/>
  <c r="Q44" i="56" s="1"/>
  <c r="M86" i="62"/>
  <c r="Q90" i="56" s="1"/>
  <c r="M180" i="62"/>
  <c r="M42" i="62"/>
  <c r="Q40" i="56" s="1"/>
  <c r="M45" i="62"/>
  <c r="Q43" i="56" s="1"/>
  <c r="M41" i="62"/>
  <c r="Q39" i="56" s="1"/>
  <c r="M48" i="62"/>
  <c r="Q46" i="56" s="1"/>
  <c r="M85" i="62"/>
  <c r="Q89" i="56" s="1"/>
  <c r="M90" i="62"/>
  <c r="Q94" i="56" s="1"/>
  <c r="M83" i="62"/>
  <c r="Q87" i="56" s="1"/>
  <c r="M88" i="62"/>
  <c r="Q92" i="56" s="1"/>
  <c r="M96" i="62"/>
  <c r="Q110" i="56" s="1"/>
  <c r="M226" i="62"/>
  <c r="M91" i="62"/>
  <c r="Q95" i="56" s="1"/>
  <c r="M54" i="62"/>
  <c r="Q58" i="56" s="1"/>
  <c r="M40" i="62"/>
  <c r="Q38" i="56" s="1"/>
  <c r="M43" i="62"/>
  <c r="Q41" i="56" s="1"/>
  <c r="M89" i="62"/>
  <c r="Q93" i="56" s="1"/>
  <c r="M82" i="62"/>
  <c r="Q86" i="56" s="1"/>
  <c r="Q7" i="56"/>
  <c r="V87" i="65"/>
  <c r="D87" i="65"/>
  <c r="G45" i="62"/>
  <c r="K43" i="56" s="1"/>
  <c r="G85" i="62"/>
  <c r="K89" i="56" s="1"/>
  <c r="G96" i="62"/>
  <c r="K110" i="56" s="1"/>
  <c r="G42" i="62"/>
  <c r="K40" i="56" s="1"/>
  <c r="G82" i="62"/>
  <c r="K86" i="56" s="1"/>
  <c r="G90" i="62"/>
  <c r="K94" i="56" s="1"/>
  <c r="G180" i="62"/>
  <c r="G226" i="62"/>
  <c r="G44" i="62"/>
  <c r="K42" i="56" s="1"/>
  <c r="G84" i="62"/>
  <c r="K88" i="56" s="1"/>
  <c r="G112" i="62"/>
  <c r="K128" i="56" s="1"/>
  <c r="G210" i="62"/>
  <c r="G231" i="62"/>
  <c r="G41" i="62"/>
  <c r="K39" i="56" s="1"/>
  <c r="G39" i="62"/>
  <c r="K37" i="56" s="1"/>
  <c r="G40" i="62"/>
  <c r="K38" i="56" s="1"/>
  <c r="G43" i="62"/>
  <c r="K41" i="56" s="1"/>
  <c r="G46" i="62"/>
  <c r="K44" i="56" s="1"/>
  <c r="G47" i="62"/>
  <c r="K45" i="56" s="1"/>
  <c r="G54" i="62"/>
  <c r="K58" i="56" s="1"/>
  <c r="G83" i="62"/>
  <c r="K87" i="56" s="1"/>
  <c r="G86" i="62"/>
  <c r="K90" i="56" s="1"/>
  <c r="G87" i="62"/>
  <c r="K91" i="56" s="1"/>
  <c r="G89" i="62"/>
  <c r="K93" i="56" s="1"/>
  <c r="G48" i="62"/>
  <c r="K46" i="56" s="1"/>
  <c r="G88" i="62"/>
  <c r="K92" i="56" s="1"/>
  <c r="G91" i="62"/>
  <c r="K95" i="56" s="1"/>
  <c r="K7" i="56"/>
  <c r="E87" i="65"/>
  <c r="W87" i="65"/>
  <c r="E97" i="62"/>
  <c r="I111" i="56" s="1"/>
  <c r="E55" i="62"/>
  <c r="I59" i="56" s="1"/>
  <c r="E113" i="62"/>
  <c r="I8" i="56"/>
  <c r="E181" i="62"/>
  <c r="I70" i="57" s="1"/>
  <c r="J172" i="62"/>
  <c r="N59" i="57" s="1"/>
  <c r="J169" i="62"/>
  <c r="N56" i="57" s="1"/>
  <c r="J171" i="62"/>
  <c r="N58" i="57" s="1"/>
  <c r="J173" i="62"/>
  <c r="N60" i="57" s="1"/>
  <c r="J174" i="62"/>
  <c r="N61" i="57" s="1"/>
  <c r="J175" i="62"/>
  <c r="N62" i="57" s="1"/>
  <c r="J166" i="62"/>
  <c r="N53" i="57" s="1"/>
  <c r="J168" i="62"/>
  <c r="N55" i="57" s="1"/>
  <c r="J167" i="62"/>
  <c r="N54" i="57" s="1"/>
  <c r="N52" i="57"/>
  <c r="H166" i="62"/>
  <c r="L53" i="57" s="1"/>
  <c r="H174" i="62"/>
  <c r="L61" i="57" s="1"/>
  <c r="H171" i="62"/>
  <c r="L58" i="57" s="1"/>
  <c r="H173" i="62"/>
  <c r="L60" i="57" s="1"/>
  <c r="H167" i="62"/>
  <c r="L54" i="57" s="1"/>
  <c r="H168" i="62"/>
  <c r="L55" i="57" s="1"/>
  <c r="H175" i="62"/>
  <c r="L62" i="57" s="1"/>
  <c r="H169" i="62"/>
  <c r="L56" i="57" s="1"/>
  <c r="L52" i="57"/>
  <c r="H172" i="62"/>
  <c r="L59" i="57" s="1"/>
  <c r="D181" i="62"/>
  <c r="D55" i="62"/>
  <c r="D97" i="62"/>
  <c r="D113" i="62"/>
  <c r="C12" i="62"/>
  <c r="H8" i="56"/>
  <c r="F86" i="64"/>
  <c r="L44" i="62"/>
  <c r="P42" i="56" s="1"/>
  <c r="L84" i="62"/>
  <c r="P88" i="56" s="1"/>
  <c r="L112" i="62"/>
  <c r="P128" i="56" s="1"/>
  <c r="L210" i="62"/>
  <c r="L231" i="62"/>
  <c r="L41" i="62"/>
  <c r="P39" i="56" s="1"/>
  <c r="L54" i="62"/>
  <c r="P58" i="56" s="1"/>
  <c r="L89" i="62"/>
  <c r="P93" i="56" s="1"/>
  <c r="L43" i="62"/>
  <c r="P41" i="56" s="1"/>
  <c r="L83" i="62"/>
  <c r="P87" i="56" s="1"/>
  <c r="L91" i="62"/>
  <c r="P95" i="56" s="1"/>
  <c r="L180" i="62"/>
  <c r="L40" i="62"/>
  <c r="P38" i="56" s="1"/>
  <c r="L45" i="62"/>
  <c r="P43" i="56" s="1"/>
  <c r="L88" i="62"/>
  <c r="P92" i="56" s="1"/>
  <c r="L96" i="62"/>
  <c r="P110" i="56" s="1"/>
  <c r="L226" i="62"/>
  <c r="L42" i="62"/>
  <c r="P40" i="56" s="1"/>
  <c r="L46" i="62"/>
  <c r="P44" i="56" s="1"/>
  <c r="L86" i="62"/>
  <c r="P90" i="56" s="1"/>
  <c r="L82" i="62"/>
  <c r="P86" i="56" s="1"/>
  <c r="L87" i="62"/>
  <c r="P91" i="56" s="1"/>
  <c r="L90" i="62"/>
  <c r="P94" i="56" s="1"/>
  <c r="L85" i="62"/>
  <c r="P89" i="56" s="1"/>
  <c r="L47" i="62"/>
  <c r="P45" i="56" s="1"/>
  <c r="L39" i="62"/>
  <c r="P37" i="56" s="1"/>
  <c r="L48" i="62"/>
  <c r="P46" i="56" s="1"/>
  <c r="P7" i="56"/>
  <c r="F55" i="62"/>
  <c r="J59" i="56" s="1"/>
  <c r="F97" i="62"/>
  <c r="J111" i="56" s="1"/>
  <c r="F113" i="62"/>
  <c r="F181" i="62"/>
  <c r="J70" i="57" s="1"/>
  <c r="J8" i="56"/>
  <c r="M11" i="63"/>
  <c r="J46" i="62"/>
  <c r="N44" i="56" s="1"/>
  <c r="J86" i="62"/>
  <c r="N90" i="56" s="1"/>
  <c r="J43" i="62"/>
  <c r="N41" i="56" s="1"/>
  <c r="J83" i="62"/>
  <c r="N87" i="56" s="1"/>
  <c r="J91" i="62"/>
  <c r="N95" i="56" s="1"/>
  <c r="J45" i="62"/>
  <c r="N43" i="56" s="1"/>
  <c r="J85" i="62"/>
  <c r="N89" i="56" s="1"/>
  <c r="J96" i="62"/>
  <c r="J180" i="62"/>
  <c r="J210" i="62"/>
  <c r="J39" i="62"/>
  <c r="J40" i="62"/>
  <c r="N38" i="56" s="1"/>
  <c r="J42" i="62"/>
  <c r="N40" i="56" s="1"/>
  <c r="J82" i="62"/>
  <c r="J226" i="62"/>
  <c r="J41" i="62"/>
  <c r="N39" i="56" s="1"/>
  <c r="J44" i="62"/>
  <c r="N42" i="56" s="1"/>
  <c r="J47" i="62"/>
  <c r="N45" i="56" s="1"/>
  <c r="J48" i="62"/>
  <c r="N46" i="56" s="1"/>
  <c r="J84" i="62"/>
  <c r="N88" i="56" s="1"/>
  <c r="J87" i="62"/>
  <c r="N91" i="56" s="1"/>
  <c r="J88" i="62"/>
  <c r="N92" i="56" s="1"/>
  <c r="J90" i="62"/>
  <c r="N94" i="56" s="1"/>
  <c r="J231" i="62"/>
  <c r="J54" i="62"/>
  <c r="J89" i="62"/>
  <c r="N93" i="56" s="1"/>
  <c r="J112" i="62"/>
  <c r="N128" i="56" s="1"/>
  <c r="N7" i="56"/>
  <c r="N168" i="62"/>
  <c r="R55" i="57" s="1"/>
  <c r="N173" i="62"/>
  <c r="R60" i="57" s="1"/>
  <c r="N167" i="62"/>
  <c r="R54" i="57" s="1"/>
  <c r="N175" i="62"/>
  <c r="R62" i="57" s="1"/>
  <c r="N166" i="62"/>
  <c r="R53" i="57" s="1"/>
  <c r="N169" i="62"/>
  <c r="R56" i="57" s="1"/>
  <c r="N172" i="62"/>
  <c r="R59" i="57" s="1"/>
  <c r="N171" i="62"/>
  <c r="R58" i="57" s="1"/>
  <c r="N174" i="62"/>
  <c r="R61" i="57" s="1"/>
  <c r="R52" i="57"/>
  <c r="E87" i="63"/>
  <c r="W87" i="63"/>
  <c r="Q149" i="63"/>
  <c r="L16" i="50"/>
  <c r="P6" i="50"/>
  <c r="C8" i="51"/>
  <c r="D6" i="50"/>
  <c r="E6" i="50" s="1"/>
  <c r="C7" i="50"/>
  <c r="C9" i="51"/>
  <c r="D8" i="51"/>
  <c r="L18" i="50"/>
  <c r="D86" i="63" l="1"/>
  <c r="Q9" i="56"/>
  <c r="Q50" i="56" s="1"/>
  <c r="H125" i="56"/>
  <c r="E124" i="56"/>
  <c r="W87" i="64"/>
  <c r="T19" i="55"/>
  <c r="U19" i="55"/>
  <c r="D86" i="65"/>
  <c r="S18" i="55"/>
  <c r="K60" i="56"/>
  <c r="K99" i="56" s="1"/>
  <c r="S112" i="56"/>
  <c r="F58" i="57"/>
  <c r="Q112" i="56"/>
  <c r="O112" i="56"/>
  <c r="Q60" i="56"/>
  <c r="Q99" i="56" s="1"/>
  <c r="F93" i="56"/>
  <c r="F90" i="56"/>
  <c r="I60" i="56"/>
  <c r="I99" i="56" s="1"/>
  <c r="F62" i="57"/>
  <c r="F59" i="56"/>
  <c r="F55" i="57"/>
  <c r="P112" i="56"/>
  <c r="W86" i="63"/>
  <c r="E20" i="72"/>
  <c r="G17" i="72" s="1"/>
  <c r="F20" i="80"/>
  <c r="F22" i="95"/>
  <c r="F20" i="81"/>
  <c r="F21" i="94"/>
  <c r="F20" i="87"/>
  <c r="E20" i="70"/>
  <c r="E21" i="96"/>
  <c r="E22" i="81"/>
  <c r="F20" i="70"/>
  <c r="E20" i="85"/>
  <c r="E20" i="73"/>
  <c r="E22" i="94"/>
  <c r="E21" i="82"/>
  <c r="E21" i="67"/>
  <c r="K2" i="84"/>
  <c r="G20" i="84"/>
  <c r="D22" i="84"/>
  <c r="D23" i="84" s="1"/>
  <c r="G7" i="84"/>
  <c r="G9" i="84"/>
  <c r="G8" i="84"/>
  <c r="G12" i="84"/>
  <c r="G10" i="84"/>
  <c r="G13" i="84"/>
  <c r="G11" i="84"/>
  <c r="G16" i="84"/>
  <c r="G18" i="84"/>
  <c r="G14" i="84"/>
  <c r="F21" i="73"/>
  <c r="F21" i="67"/>
  <c r="F21" i="66"/>
  <c r="G19" i="84"/>
  <c r="F20" i="96"/>
  <c r="E20" i="68"/>
  <c r="F20" i="72"/>
  <c r="H17" i="72" s="1"/>
  <c r="H19" i="72"/>
  <c r="E22" i="87"/>
  <c r="E21" i="80"/>
  <c r="E21" i="66"/>
  <c r="H20" i="84"/>
  <c r="K3" i="84"/>
  <c r="H7" i="84"/>
  <c r="H8" i="84"/>
  <c r="H9" i="84"/>
  <c r="H12" i="84"/>
  <c r="H13" i="84"/>
  <c r="H10" i="84"/>
  <c r="H11" i="84"/>
  <c r="G15" i="72"/>
  <c r="F20" i="85"/>
  <c r="E21" i="95"/>
  <c r="F21" i="68"/>
  <c r="P16" i="50"/>
  <c r="P18" i="50"/>
  <c r="R112" i="56"/>
  <c r="F56" i="57"/>
  <c r="O60" i="56"/>
  <c r="O99" i="56" s="1"/>
  <c r="F41" i="56"/>
  <c r="S60" i="56"/>
  <c r="S99" i="56" s="1"/>
  <c r="P60" i="56"/>
  <c r="P99" i="56" s="1"/>
  <c r="M60" i="56"/>
  <c r="M99" i="56" s="1"/>
  <c r="F95" i="56"/>
  <c r="G62" i="57"/>
  <c r="O96" i="56"/>
  <c r="O102" i="56" s="1"/>
  <c r="G59" i="57"/>
  <c r="G92" i="56"/>
  <c r="F61" i="57"/>
  <c r="J112" i="56"/>
  <c r="I112" i="56"/>
  <c r="M9" i="56"/>
  <c r="M50" i="56" s="1"/>
  <c r="G91" i="56"/>
  <c r="F53" i="57"/>
  <c r="R9" i="56"/>
  <c r="R50" i="56" s="1"/>
  <c r="M112" i="56"/>
  <c r="S63" i="57"/>
  <c r="G54" i="57"/>
  <c r="K112" i="56"/>
  <c r="G43" i="56"/>
  <c r="G95" i="56"/>
  <c r="O9" i="56"/>
  <c r="O50" i="56" s="1"/>
  <c r="Q63" i="57"/>
  <c r="T18" i="55"/>
  <c r="E86" i="65"/>
  <c r="N182" i="62"/>
  <c r="R71" i="57" s="1"/>
  <c r="R69" i="57"/>
  <c r="G55" i="57"/>
  <c r="R149" i="64"/>
  <c r="G46" i="56"/>
  <c r="F60" i="57"/>
  <c r="E114" i="62"/>
  <c r="I130" i="56" s="1"/>
  <c r="I129" i="56"/>
  <c r="J47" i="56"/>
  <c r="J53" i="56" s="1"/>
  <c r="C174" i="62"/>
  <c r="H61" i="57"/>
  <c r="E61" i="57" s="1"/>
  <c r="G42" i="56"/>
  <c r="J182" i="62"/>
  <c r="N71" i="57" s="1"/>
  <c r="N69" i="57"/>
  <c r="M233" i="62"/>
  <c r="Q133" i="57" s="1"/>
  <c r="M232" i="62"/>
  <c r="Q132" i="57" s="1"/>
  <c r="Q131" i="57"/>
  <c r="O211" i="62"/>
  <c r="S100" i="57"/>
  <c r="O114" i="62"/>
  <c r="S130" i="56" s="1"/>
  <c r="S129" i="56"/>
  <c r="K227" i="62"/>
  <c r="O125" i="57" s="1"/>
  <c r="O124" i="57"/>
  <c r="J9" i="56"/>
  <c r="J50" i="56" s="1"/>
  <c r="C86" i="62"/>
  <c r="H90" i="56"/>
  <c r="E90" i="56" s="1"/>
  <c r="C83" i="62"/>
  <c r="H87" i="56"/>
  <c r="E87" i="56" s="1"/>
  <c r="C112" i="62"/>
  <c r="H128" i="56"/>
  <c r="L59" i="65"/>
  <c r="K59" i="65"/>
  <c r="K59" i="64"/>
  <c r="L59" i="64"/>
  <c r="K59" i="63"/>
  <c r="L59" i="63"/>
  <c r="L110" i="56"/>
  <c r="F110" i="56" s="1"/>
  <c r="N111" i="56"/>
  <c r="G111" i="56" s="1"/>
  <c r="R63" i="57"/>
  <c r="J233" i="62"/>
  <c r="N133" i="57" s="1"/>
  <c r="J232" i="62"/>
  <c r="N132" i="57" s="1"/>
  <c r="N131" i="57"/>
  <c r="G39" i="56"/>
  <c r="N110" i="56"/>
  <c r="G110" i="56" s="1"/>
  <c r="X11" i="63"/>
  <c r="C11" i="63"/>
  <c r="P9" i="56"/>
  <c r="P50" i="56" s="1"/>
  <c r="L182" i="62"/>
  <c r="P71" i="57" s="1"/>
  <c r="P69" i="57"/>
  <c r="L211" i="62"/>
  <c r="P100" i="57"/>
  <c r="F52" i="57"/>
  <c r="L63" i="57"/>
  <c r="L65" i="57" s="1"/>
  <c r="G58" i="57"/>
  <c r="M211" i="62"/>
  <c r="Q100" i="57"/>
  <c r="K182" i="62"/>
  <c r="O71" i="57" s="1"/>
  <c r="O69" i="57"/>
  <c r="D87" i="64"/>
  <c r="V87" i="64"/>
  <c r="M63" i="57"/>
  <c r="M65" i="57" s="1"/>
  <c r="F211" i="62"/>
  <c r="J100" i="57"/>
  <c r="F233" i="62"/>
  <c r="J133" i="57" s="1"/>
  <c r="F232" i="62"/>
  <c r="J132" i="57" s="1"/>
  <c r="J131" i="57"/>
  <c r="R47" i="56"/>
  <c r="R53" i="56" s="1"/>
  <c r="C168" i="62"/>
  <c r="H55" i="57"/>
  <c r="E55" i="57" s="1"/>
  <c r="I114" i="62"/>
  <c r="M130" i="56" s="1"/>
  <c r="M129" i="56"/>
  <c r="F8" i="56"/>
  <c r="I9" i="56"/>
  <c r="I50" i="56" s="1"/>
  <c r="C96" i="62"/>
  <c r="H110" i="56"/>
  <c r="E110" i="56" s="1"/>
  <c r="C85" i="62"/>
  <c r="H89" i="56"/>
  <c r="E89" i="56" s="1"/>
  <c r="C43" i="62"/>
  <c r="H41" i="56"/>
  <c r="E41" i="56" s="1"/>
  <c r="C84" i="62"/>
  <c r="H88" i="56"/>
  <c r="E88" i="56" s="1"/>
  <c r="Q86" i="63"/>
  <c r="R86" i="63"/>
  <c r="M86" i="63"/>
  <c r="N86" i="63"/>
  <c r="O86" i="63"/>
  <c r="P86" i="63"/>
  <c r="F87" i="56"/>
  <c r="F42" i="56"/>
  <c r="F89" i="56"/>
  <c r="M227" i="62"/>
  <c r="Q125" i="57" s="1"/>
  <c r="Q124" i="57"/>
  <c r="S47" i="56"/>
  <c r="S53" i="56" s="1"/>
  <c r="K114" i="62"/>
  <c r="O130" i="56" s="1"/>
  <c r="O129" i="56"/>
  <c r="F87" i="65"/>
  <c r="C113" i="62"/>
  <c r="D114" i="62"/>
  <c r="H129" i="56"/>
  <c r="N232" i="62"/>
  <c r="R132" i="57" s="1"/>
  <c r="N233" i="62"/>
  <c r="R133" i="57" s="1"/>
  <c r="R131" i="57"/>
  <c r="G128" i="56"/>
  <c r="N37" i="56"/>
  <c r="F114" i="62"/>
  <c r="J130" i="56" s="1"/>
  <c r="J129" i="56"/>
  <c r="C55" i="62"/>
  <c r="H59" i="56"/>
  <c r="E59" i="56" s="1"/>
  <c r="K63" i="57"/>
  <c r="K65" i="57" s="1"/>
  <c r="C167" i="62"/>
  <c r="H54" i="57"/>
  <c r="E54" i="57" s="1"/>
  <c r="O63" i="57"/>
  <c r="N58" i="56"/>
  <c r="G44" i="56"/>
  <c r="P96" i="56"/>
  <c r="P102" i="56" s="1"/>
  <c r="L232" i="62"/>
  <c r="P132" i="57" s="1"/>
  <c r="P131" i="57"/>
  <c r="L233" i="62"/>
  <c r="P133" i="57" s="1"/>
  <c r="F59" i="57"/>
  <c r="G60" i="57"/>
  <c r="K9" i="56"/>
  <c r="K50" i="56" s="1"/>
  <c r="G211" i="62"/>
  <c r="K100" i="57"/>
  <c r="K211" i="62"/>
  <c r="O100" i="57"/>
  <c r="D86" i="64"/>
  <c r="V86" i="64"/>
  <c r="F182" i="62"/>
  <c r="J71" i="57" s="1"/>
  <c r="J69" i="57"/>
  <c r="C171" i="62"/>
  <c r="H58" i="57"/>
  <c r="U26" i="57"/>
  <c r="I182" i="62"/>
  <c r="M71" i="57" s="1"/>
  <c r="M69" i="57"/>
  <c r="L53" i="65"/>
  <c r="K53" i="65"/>
  <c r="K53" i="64"/>
  <c r="L53" i="64"/>
  <c r="K53" i="63"/>
  <c r="L53" i="63"/>
  <c r="L86" i="56"/>
  <c r="G94" i="56"/>
  <c r="J227" i="62"/>
  <c r="N124" i="57"/>
  <c r="G89" i="56"/>
  <c r="E8" i="56"/>
  <c r="N63" i="57"/>
  <c r="G52" i="57"/>
  <c r="G56" i="57"/>
  <c r="F86" i="65"/>
  <c r="J60" i="56"/>
  <c r="J99" i="56" s="1"/>
  <c r="J96" i="56"/>
  <c r="J102" i="56" s="1"/>
  <c r="N211" i="62"/>
  <c r="R100" i="57"/>
  <c r="N227" i="62"/>
  <c r="R125" i="57" s="1"/>
  <c r="R124" i="57"/>
  <c r="G114" i="62"/>
  <c r="K130" i="56" s="1"/>
  <c r="K129" i="56"/>
  <c r="C166" i="62"/>
  <c r="H53" i="57"/>
  <c r="E53" i="57" s="1"/>
  <c r="L60" i="65"/>
  <c r="K60" i="65"/>
  <c r="L60" i="63"/>
  <c r="K60" i="64"/>
  <c r="K60" i="63"/>
  <c r="L60" i="64"/>
  <c r="L111" i="56"/>
  <c r="F111" i="56" s="1"/>
  <c r="E182" i="62"/>
  <c r="I71" i="57" s="1"/>
  <c r="I69" i="57"/>
  <c r="I96" i="56"/>
  <c r="I102" i="56" s="1"/>
  <c r="M87" i="63"/>
  <c r="N87" i="63"/>
  <c r="O87" i="63"/>
  <c r="P87" i="63"/>
  <c r="Q87" i="63"/>
  <c r="R87" i="63"/>
  <c r="C90" i="62"/>
  <c r="H94" i="56"/>
  <c r="E94" i="56" s="1"/>
  <c r="C82" i="62"/>
  <c r="H86" i="56"/>
  <c r="C89" i="62"/>
  <c r="H93" i="56"/>
  <c r="E93" i="56" s="1"/>
  <c r="C44" i="62"/>
  <c r="H42" i="56"/>
  <c r="E42" i="56" s="1"/>
  <c r="M96" i="56"/>
  <c r="M102" i="56" s="1"/>
  <c r="L9" i="56"/>
  <c r="L50" i="56" s="1"/>
  <c r="F7" i="56"/>
  <c r="L33" i="65"/>
  <c r="K33" i="65"/>
  <c r="K35" i="64"/>
  <c r="L35" i="64"/>
  <c r="K35" i="63"/>
  <c r="L35" i="63"/>
  <c r="L58" i="56"/>
  <c r="F40" i="56"/>
  <c r="F43" i="56"/>
  <c r="P63" i="57"/>
  <c r="E109" i="56"/>
  <c r="C87" i="62"/>
  <c r="H91" i="56"/>
  <c r="E91" i="56" s="1"/>
  <c r="C48" i="62"/>
  <c r="H46" i="56"/>
  <c r="E46" i="56" s="1"/>
  <c r="C54" i="62"/>
  <c r="H58" i="56"/>
  <c r="K113" i="65"/>
  <c r="L113" i="65"/>
  <c r="K113" i="64"/>
  <c r="L113" i="63"/>
  <c r="L113" i="64"/>
  <c r="K113" i="63"/>
  <c r="H182" i="62"/>
  <c r="L71" i="57" s="1"/>
  <c r="L69" i="57"/>
  <c r="F44" i="56"/>
  <c r="F39" i="56"/>
  <c r="N86" i="56"/>
  <c r="P47" i="56"/>
  <c r="P53" i="56" s="1"/>
  <c r="G40" i="56"/>
  <c r="G227" i="62"/>
  <c r="K125" i="57" s="1"/>
  <c r="K124" i="57"/>
  <c r="E52" i="57"/>
  <c r="C169" i="62"/>
  <c r="H56" i="57"/>
  <c r="E56" i="57" s="1"/>
  <c r="F70" i="57"/>
  <c r="I47" i="56"/>
  <c r="I53" i="56" s="1"/>
  <c r="C47" i="62"/>
  <c r="H45" i="56"/>
  <c r="E45" i="56" s="1"/>
  <c r="C46" i="62"/>
  <c r="H44" i="56"/>
  <c r="E44" i="56" s="1"/>
  <c r="C41" i="62"/>
  <c r="H39" i="56"/>
  <c r="E39" i="56" s="1"/>
  <c r="K132" i="65"/>
  <c r="L132" i="65"/>
  <c r="L132" i="64"/>
  <c r="K132" i="64"/>
  <c r="H211" i="62"/>
  <c r="K132" i="63"/>
  <c r="L132" i="63"/>
  <c r="L100" i="57"/>
  <c r="F92" i="56"/>
  <c r="G8" i="56"/>
  <c r="G7" i="56"/>
  <c r="N9" i="56"/>
  <c r="N50" i="56" s="1"/>
  <c r="G88" i="56"/>
  <c r="G38" i="56"/>
  <c r="G87" i="56"/>
  <c r="M86" i="64"/>
  <c r="O86" i="64"/>
  <c r="N86" i="64"/>
  <c r="P86" i="64"/>
  <c r="Q86" i="64"/>
  <c r="R86" i="64"/>
  <c r="C97" i="62"/>
  <c r="H111" i="56"/>
  <c r="E111" i="56" s="1"/>
  <c r="F54" i="57"/>
  <c r="G53" i="57"/>
  <c r="K47" i="56"/>
  <c r="K53" i="56" s="1"/>
  <c r="G182" i="62"/>
  <c r="K71" i="57" s="1"/>
  <c r="K69" i="57"/>
  <c r="Q96" i="56"/>
  <c r="Q102" i="56" s="1"/>
  <c r="M182" i="62"/>
  <c r="Q71" i="57" s="1"/>
  <c r="Q69" i="57"/>
  <c r="O182" i="62"/>
  <c r="S71" i="57" s="1"/>
  <c r="S69" i="57"/>
  <c r="N114" i="62"/>
  <c r="R130" i="56" s="1"/>
  <c r="R129" i="56"/>
  <c r="G109" i="56"/>
  <c r="F19" i="55"/>
  <c r="Q19" i="55" s="1"/>
  <c r="R60" i="56"/>
  <c r="R99" i="56" s="1"/>
  <c r="R96" i="56"/>
  <c r="R102" i="56" s="1"/>
  <c r="C173" i="62"/>
  <c r="H60" i="57"/>
  <c r="E60" i="57" s="1"/>
  <c r="C175" i="62"/>
  <c r="H62" i="57"/>
  <c r="E62" i="57" s="1"/>
  <c r="H114" i="62"/>
  <c r="L129" i="56"/>
  <c r="E227" i="62"/>
  <c r="I125" i="57" s="1"/>
  <c r="I124" i="57"/>
  <c r="E233" i="62"/>
  <c r="I133" i="57" s="1"/>
  <c r="E232" i="62"/>
  <c r="I132" i="57" s="1"/>
  <c r="I131" i="57"/>
  <c r="H9" i="56"/>
  <c r="H50" i="56" s="1"/>
  <c r="E7" i="56"/>
  <c r="C39" i="62"/>
  <c r="H37" i="56"/>
  <c r="C45" i="62"/>
  <c r="H43" i="56"/>
  <c r="E43" i="56" s="1"/>
  <c r="P87" i="64"/>
  <c r="Q87" i="64"/>
  <c r="M87" i="64"/>
  <c r="N87" i="64"/>
  <c r="O87" i="64"/>
  <c r="R87" i="64"/>
  <c r="I232" i="62"/>
  <c r="M132" i="57" s="1"/>
  <c r="I233" i="62"/>
  <c r="M133" i="57" s="1"/>
  <c r="M131" i="57"/>
  <c r="I211" i="62"/>
  <c r="M100" i="57"/>
  <c r="F128" i="56"/>
  <c r="K141" i="65"/>
  <c r="L141" i="65"/>
  <c r="K141" i="64"/>
  <c r="L141" i="63"/>
  <c r="H232" i="62"/>
  <c r="L132" i="57" s="1"/>
  <c r="L141" i="64"/>
  <c r="K141" i="63"/>
  <c r="H233" i="62"/>
  <c r="L133" i="57" s="1"/>
  <c r="L131" i="57"/>
  <c r="F91" i="56"/>
  <c r="F46" i="56"/>
  <c r="G59" i="56"/>
  <c r="F94" i="56"/>
  <c r="K137" i="65"/>
  <c r="L137" i="65"/>
  <c r="L137" i="64"/>
  <c r="K137" i="64"/>
  <c r="K137" i="63"/>
  <c r="L137" i="63"/>
  <c r="H227" i="62"/>
  <c r="L124" i="57"/>
  <c r="F45" i="56"/>
  <c r="F38" i="56"/>
  <c r="J114" i="62"/>
  <c r="N129" i="56"/>
  <c r="L227" i="62"/>
  <c r="P125" i="57" s="1"/>
  <c r="P124" i="57"/>
  <c r="O227" i="62"/>
  <c r="S125" i="57" s="1"/>
  <c r="S124" i="57"/>
  <c r="K233" i="62"/>
  <c r="O133" i="57" s="1"/>
  <c r="K232" i="62"/>
  <c r="O132" i="57" s="1"/>
  <c r="O131" i="57"/>
  <c r="G41" i="56"/>
  <c r="S9" i="56"/>
  <c r="S50" i="56" s="1"/>
  <c r="M114" i="62"/>
  <c r="Q130" i="56" s="1"/>
  <c r="Q129" i="56"/>
  <c r="E211" i="62"/>
  <c r="I100" i="57"/>
  <c r="R149" i="65"/>
  <c r="C40" i="62"/>
  <c r="H38" i="56"/>
  <c r="E38" i="56" s="1"/>
  <c r="D227" i="62"/>
  <c r="C226" i="62"/>
  <c r="H124" i="57"/>
  <c r="C42" i="62"/>
  <c r="H40" i="56"/>
  <c r="E40" i="56" s="1"/>
  <c r="C231" i="62"/>
  <c r="D232" i="62"/>
  <c r="D233" i="62"/>
  <c r="H131" i="57"/>
  <c r="I63" i="57"/>
  <c r="M47" i="56"/>
  <c r="M53" i="56" s="1"/>
  <c r="R149" i="63"/>
  <c r="G93" i="56"/>
  <c r="G45" i="56"/>
  <c r="J211" i="62"/>
  <c r="N100" i="57"/>
  <c r="G90" i="56"/>
  <c r="C181" i="62"/>
  <c r="H70" i="57"/>
  <c r="E70" i="57" s="1"/>
  <c r="G61" i="57"/>
  <c r="G232" i="62"/>
  <c r="K132" i="57" s="1"/>
  <c r="G233" i="62"/>
  <c r="K133" i="57" s="1"/>
  <c r="K131" i="57"/>
  <c r="K96" i="56"/>
  <c r="K102" i="56" s="1"/>
  <c r="Q47" i="56"/>
  <c r="Q53" i="56" s="1"/>
  <c r="Q54" i="56" s="1"/>
  <c r="O232" i="62"/>
  <c r="S132" i="57" s="1"/>
  <c r="O233" i="62"/>
  <c r="S133" i="57" s="1"/>
  <c r="S131" i="57"/>
  <c r="S96" i="56"/>
  <c r="S102" i="56" s="1"/>
  <c r="J63" i="57"/>
  <c r="O47" i="56"/>
  <c r="O53" i="56" s="1"/>
  <c r="F227" i="62"/>
  <c r="J125" i="57" s="1"/>
  <c r="J124" i="57"/>
  <c r="L114" i="62"/>
  <c r="P130" i="56" s="1"/>
  <c r="P129" i="56"/>
  <c r="F109" i="56"/>
  <c r="C172" i="62"/>
  <c r="H59" i="57"/>
  <c r="E59" i="57" s="1"/>
  <c r="F18" i="55"/>
  <c r="Q18" i="55" s="1"/>
  <c r="D182" i="62"/>
  <c r="C180" i="62"/>
  <c r="H69" i="57"/>
  <c r="C88" i="62"/>
  <c r="H92" i="56"/>
  <c r="E92" i="56" s="1"/>
  <c r="C91" i="62"/>
  <c r="H95" i="56"/>
  <c r="E95" i="56" s="1"/>
  <c r="C210" i="62"/>
  <c r="D211" i="62"/>
  <c r="H100" i="57"/>
  <c r="U18" i="55"/>
  <c r="I227" i="62"/>
  <c r="M125" i="57" s="1"/>
  <c r="M124" i="57"/>
  <c r="F88" i="56"/>
  <c r="K28" i="65"/>
  <c r="K30" i="65" s="1"/>
  <c r="L28" i="65"/>
  <c r="L30" i="65" s="1"/>
  <c r="L28" i="63"/>
  <c r="L32" i="63" s="1"/>
  <c r="K28" i="63"/>
  <c r="K32" i="63" s="1"/>
  <c r="K28" i="64"/>
  <c r="K32" i="64" s="1"/>
  <c r="L28" i="64"/>
  <c r="L32" i="64" s="1"/>
  <c r="L37" i="56"/>
  <c r="G70" i="57"/>
  <c r="C8" i="50"/>
  <c r="D7" i="50"/>
  <c r="E7" i="50" s="1"/>
  <c r="E8" i="51"/>
  <c r="C10" i="51"/>
  <c r="D9" i="51"/>
  <c r="E9" i="51" s="1"/>
  <c r="K103" i="56" l="1"/>
  <c r="E125" i="56"/>
  <c r="D124" i="56"/>
  <c r="K131" i="56"/>
  <c r="M72" i="57"/>
  <c r="M97" i="57" s="1"/>
  <c r="F129" i="56"/>
  <c r="Q103" i="56"/>
  <c r="Q106" i="56" s="1"/>
  <c r="O54" i="56"/>
  <c r="I131" i="56"/>
  <c r="M131" i="56"/>
  <c r="J126" i="57"/>
  <c r="I103" i="56"/>
  <c r="J131" i="56"/>
  <c r="D90" i="56"/>
  <c r="U90" i="56" s="1"/>
  <c r="R72" i="57"/>
  <c r="R113" i="57" s="1"/>
  <c r="M103" i="56"/>
  <c r="R131" i="56"/>
  <c r="G9" i="56"/>
  <c r="G50" i="56" s="1"/>
  <c r="I72" i="57"/>
  <c r="I113" i="57" s="1"/>
  <c r="P103" i="56"/>
  <c r="F132" i="57"/>
  <c r="M134" i="57"/>
  <c r="R103" i="56"/>
  <c r="D44" i="56"/>
  <c r="U44" i="56" s="1"/>
  <c r="R126" i="57"/>
  <c r="O134" i="57"/>
  <c r="K126" i="57"/>
  <c r="S103" i="56"/>
  <c r="O103" i="56"/>
  <c r="J72" i="57"/>
  <c r="J113" i="57" s="1"/>
  <c r="H14" i="72"/>
  <c r="F22" i="67"/>
  <c r="F21" i="87"/>
  <c r="F21" i="81"/>
  <c r="F21" i="85"/>
  <c r="E22" i="82"/>
  <c r="E22" i="96"/>
  <c r="F22" i="66"/>
  <c r="E23" i="81"/>
  <c r="F21" i="70"/>
  <c r="F22" i="94"/>
  <c r="E22" i="66"/>
  <c r="K3" i="72"/>
  <c r="H20" i="72"/>
  <c r="H8" i="72"/>
  <c r="H7" i="72"/>
  <c r="H9" i="72"/>
  <c r="H11" i="72"/>
  <c r="H10" i="72"/>
  <c r="H12" i="72"/>
  <c r="H18" i="72"/>
  <c r="H16" i="72"/>
  <c r="H15" i="72"/>
  <c r="H13" i="72"/>
  <c r="E22" i="95"/>
  <c r="E21" i="68"/>
  <c r="F21" i="96"/>
  <c r="F22" i="73"/>
  <c r="E21" i="85"/>
  <c r="F21" i="80"/>
  <c r="E23" i="94"/>
  <c r="F22" i="68"/>
  <c r="F23" i="95"/>
  <c r="E22" i="67"/>
  <c r="E21" i="70"/>
  <c r="K2" i="72"/>
  <c r="G20" i="72"/>
  <c r="D22" i="72"/>
  <c r="D23" i="72" s="1"/>
  <c r="G7" i="72"/>
  <c r="G9" i="72"/>
  <c r="G8" i="72"/>
  <c r="G12" i="72"/>
  <c r="G14" i="72"/>
  <c r="G13" i="72"/>
  <c r="G10" i="72"/>
  <c r="G16" i="72"/>
  <c r="G11" i="72"/>
  <c r="G18" i="72"/>
  <c r="E22" i="80"/>
  <c r="E23" i="87"/>
  <c r="E21" i="73"/>
  <c r="G19" i="72"/>
  <c r="D111" i="56"/>
  <c r="U111" i="56" s="1"/>
  <c r="D95" i="56"/>
  <c r="U95" i="56" s="1"/>
  <c r="G71" i="57"/>
  <c r="D43" i="56"/>
  <c r="U43" i="56" s="1"/>
  <c r="O131" i="56"/>
  <c r="D62" i="57"/>
  <c r="U62" i="57" s="1"/>
  <c r="Q72" i="57"/>
  <c r="Q113" i="57" s="1"/>
  <c r="O72" i="57"/>
  <c r="O112" i="57" s="1"/>
  <c r="O126" i="57"/>
  <c r="D56" i="57"/>
  <c r="U56" i="57" s="1"/>
  <c r="J103" i="56"/>
  <c r="S131" i="56"/>
  <c r="F112" i="56"/>
  <c r="D88" i="56"/>
  <c r="U88" i="56" s="1"/>
  <c r="D55" i="57"/>
  <c r="U55" i="57" s="1"/>
  <c r="P131" i="56"/>
  <c r="D38" i="56"/>
  <c r="U38" i="56" s="1"/>
  <c r="Q126" i="57"/>
  <c r="D40" i="56"/>
  <c r="U40" i="56" s="1"/>
  <c r="L112" i="56"/>
  <c r="K134" i="57"/>
  <c r="M54" i="56"/>
  <c r="K72" i="57"/>
  <c r="K97" i="57" s="1"/>
  <c r="F9" i="56"/>
  <c r="F50" i="56" s="1"/>
  <c r="R54" i="56"/>
  <c r="I134" i="57"/>
  <c r="D59" i="56"/>
  <c r="U59" i="56" s="1"/>
  <c r="J134" i="57"/>
  <c r="P54" i="56"/>
  <c r="D42" i="56"/>
  <c r="U42" i="56" s="1"/>
  <c r="N112" i="56"/>
  <c r="G63" i="57"/>
  <c r="Q131" i="56"/>
  <c r="I126" i="57"/>
  <c r="G112" i="56"/>
  <c r="K61" i="65"/>
  <c r="L61" i="64"/>
  <c r="K61" i="64"/>
  <c r="L55" i="63"/>
  <c r="K55" i="63"/>
  <c r="L61" i="63"/>
  <c r="L55" i="64"/>
  <c r="K61" i="63"/>
  <c r="K55" i="64"/>
  <c r="K55" i="65"/>
  <c r="L55" i="65"/>
  <c r="L61" i="65"/>
  <c r="F124" i="57"/>
  <c r="K71" i="65"/>
  <c r="L71" i="65"/>
  <c r="K71" i="64"/>
  <c r="L71" i="64"/>
  <c r="L71" i="63"/>
  <c r="K71" i="63"/>
  <c r="L130" i="56"/>
  <c r="E58" i="57"/>
  <c r="D58" i="57" s="1"/>
  <c r="H63" i="57"/>
  <c r="H65" i="57" s="1"/>
  <c r="C86" i="64"/>
  <c r="U86" i="64" s="1"/>
  <c r="X86" i="64"/>
  <c r="E212" i="62"/>
  <c r="I101" i="57"/>
  <c r="C87" i="64"/>
  <c r="U87" i="64" s="1"/>
  <c r="X87" i="64"/>
  <c r="C227" i="62"/>
  <c r="H125" i="57"/>
  <c r="E125" i="57" s="1"/>
  <c r="K138" i="65"/>
  <c r="K139" i="65" s="1"/>
  <c r="L138" i="65"/>
  <c r="L139" i="65" s="1"/>
  <c r="K138" i="64"/>
  <c r="K139" i="64" s="1"/>
  <c r="L138" i="63"/>
  <c r="L139" i="63" s="1"/>
  <c r="L138" i="64"/>
  <c r="L139" i="64" s="1"/>
  <c r="K138" i="63"/>
  <c r="K139" i="63" s="1"/>
  <c r="L125" i="57"/>
  <c r="F125" i="57" s="1"/>
  <c r="D109" i="56"/>
  <c r="E112" i="56"/>
  <c r="G131" i="57"/>
  <c r="N134" i="57"/>
  <c r="E69" i="57"/>
  <c r="L47" i="56"/>
  <c r="L53" i="56" s="1"/>
  <c r="L54" i="56" s="1"/>
  <c r="F37" i="56"/>
  <c r="F47" i="56" s="1"/>
  <c r="F53" i="56" s="1"/>
  <c r="M126" i="57"/>
  <c r="D59" i="57"/>
  <c r="G100" i="57"/>
  <c r="C232" i="62"/>
  <c r="H132" i="57"/>
  <c r="E132" i="57" s="1"/>
  <c r="P126" i="57"/>
  <c r="F133" i="57"/>
  <c r="D45" i="56"/>
  <c r="U45" i="56" s="1"/>
  <c r="F71" i="57"/>
  <c r="E58" i="56"/>
  <c r="H60" i="56"/>
  <c r="H99" i="56" s="1"/>
  <c r="D91" i="56"/>
  <c r="U91" i="56" s="1"/>
  <c r="G212" i="62"/>
  <c r="K101" i="57"/>
  <c r="E129" i="56"/>
  <c r="C86" i="63"/>
  <c r="U86" i="63" s="1"/>
  <c r="X86" i="63"/>
  <c r="L212" i="62"/>
  <c r="P101" i="57"/>
  <c r="K54" i="56"/>
  <c r="G58" i="56"/>
  <c r="G60" i="56" s="1"/>
  <c r="G99" i="56" s="1"/>
  <c r="N60" i="56"/>
  <c r="N99" i="56" s="1"/>
  <c r="C114" i="62"/>
  <c r="H130" i="56"/>
  <c r="E130" i="56" s="1"/>
  <c r="D110" i="56"/>
  <c r="F63" i="57"/>
  <c r="F65" i="57" s="1"/>
  <c r="P72" i="57"/>
  <c r="D87" i="56"/>
  <c r="U87" i="56" s="1"/>
  <c r="J212" i="62"/>
  <c r="N101" i="57"/>
  <c r="E131" i="57"/>
  <c r="F100" i="57"/>
  <c r="D39" i="56"/>
  <c r="U39" i="56" s="1"/>
  <c r="D52" i="57"/>
  <c r="H112" i="56"/>
  <c r="D93" i="56"/>
  <c r="U93" i="56" s="1"/>
  <c r="D94" i="56"/>
  <c r="U94" i="56" s="1"/>
  <c r="D8" i="56"/>
  <c r="U8" i="56" s="1"/>
  <c r="R134" i="57"/>
  <c r="G133" i="57"/>
  <c r="O212" i="62"/>
  <c r="S101" i="57"/>
  <c r="M212" i="62"/>
  <c r="Q101" i="57"/>
  <c r="D212" i="62"/>
  <c r="C211" i="62"/>
  <c r="H101" i="57"/>
  <c r="D92" i="56"/>
  <c r="U92" i="56" s="1"/>
  <c r="H71" i="57"/>
  <c r="E71" i="57" s="1"/>
  <c r="C182" i="62"/>
  <c r="S134" i="57"/>
  <c r="S126" i="57"/>
  <c r="E9" i="56"/>
  <c r="E50" i="56" s="1"/>
  <c r="D7" i="56"/>
  <c r="S72" i="57"/>
  <c r="G86" i="56"/>
  <c r="G96" i="56" s="1"/>
  <c r="G102" i="56" s="1"/>
  <c r="N96" i="56"/>
  <c r="N102" i="56" s="1"/>
  <c r="N125" i="57"/>
  <c r="G125" i="57" s="1"/>
  <c r="K212" i="62"/>
  <c r="O101" i="57"/>
  <c r="P134" i="57"/>
  <c r="D41" i="56"/>
  <c r="U41" i="56" s="1"/>
  <c r="J54" i="56"/>
  <c r="Q134" i="57"/>
  <c r="I212" i="62"/>
  <c r="M101" i="57"/>
  <c r="C87" i="63"/>
  <c r="U87" i="63" s="1"/>
  <c r="X87" i="63"/>
  <c r="E100" i="57"/>
  <c r="E124" i="57"/>
  <c r="G129" i="56"/>
  <c r="D60" i="57"/>
  <c r="D46" i="56"/>
  <c r="U46" i="56" s="1"/>
  <c r="H96" i="56"/>
  <c r="H102" i="56" s="1"/>
  <c r="E86" i="56"/>
  <c r="R86" i="65"/>
  <c r="O86" i="65"/>
  <c r="P86" i="65"/>
  <c r="Q86" i="65"/>
  <c r="M86" i="65"/>
  <c r="N86" i="65"/>
  <c r="D54" i="57"/>
  <c r="F212" i="62"/>
  <c r="J101" i="57"/>
  <c r="D70" i="57"/>
  <c r="U70" i="57" s="1"/>
  <c r="C233" i="62"/>
  <c r="H133" i="57"/>
  <c r="E133" i="57" s="1"/>
  <c r="S54" i="56"/>
  <c r="N130" i="56"/>
  <c r="F131" i="57"/>
  <c r="L134" i="57"/>
  <c r="E37" i="56"/>
  <c r="H47" i="56"/>
  <c r="H53" i="56" s="1"/>
  <c r="H54" i="56" s="1"/>
  <c r="H212" i="62"/>
  <c r="L101" i="57"/>
  <c r="L72" i="57"/>
  <c r="F69" i="57"/>
  <c r="L60" i="56"/>
  <c r="L99" i="56" s="1"/>
  <c r="F58" i="56"/>
  <c r="F60" i="56" s="1"/>
  <c r="F99" i="56" s="1"/>
  <c r="D53" i="57"/>
  <c r="N212" i="62"/>
  <c r="R101" i="57"/>
  <c r="G124" i="57"/>
  <c r="F86" i="56"/>
  <c r="F96" i="56" s="1"/>
  <c r="F102" i="56" s="1"/>
  <c r="L96" i="56"/>
  <c r="L102" i="56" s="1"/>
  <c r="G37" i="56"/>
  <c r="G47" i="56" s="1"/>
  <c r="G53" i="56" s="1"/>
  <c r="N47" i="56"/>
  <c r="N53" i="56" s="1"/>
  <c r="N54" i="56" s="1"/>
  <c r="N87" i="65"/>
  <c r="O87" i="65"/>
  <c r="P87" i="65"/>
  <c r="Q87" i="65"/>
  <c r="R87" i="65"/>
  <c r="M87" i="65"/>
  <c r="D89" i="56"/>
  <c r="U89" i="56" s="1"/>
  <c r="I54" i="56"/>
  <c r="G132" i="57"/>
  <c r="E128" i="56"/>
  <c r="G69" i="57"/>
  <c r="N72" i="57"/>
  <c r="D61" i="57"/>
  <c r="D8" i="50"/>
  <c r="C9" i="50"/>
  <c r="D10" i="51"/>
  <c r="E10" i="51" s="1"/>
  <c r="C11" i="51"/>
  <c r="K106" i="56" l="1"/>
  <c r="K119" i="56" s="1"/>
  <c r="R106" i="56"/>
  <c r="R119" i="56" s="1"/>
  <c r="R133" i="56" s="1"/>
  <c r="U124" i="56"/>
  <c r="D125" i="56"/>
  <c r="U125" i="56" s="1"/>
  <c r="M113" i="57"/>
  <c r="J97" i="57"/>
  <c r="R97" i="57"/>
  <c r="I106" i="56"/>
  <c r="I119" i="56" s="1"/>
  <c r="I133" i="56" s="1"/>
  <c r="F101" i="57"/>
  <c r="M106" i="56"/>
  <c r="M119" i="56" s="1"/>
  <c r="M133" i="56" s="1"/>
  <c r="K133" i="56"/>
  <c r="P106" i="56"/>
  <c r="P119" i="56" s="1"/>
  <c r="P133" i="56" s="1"/>
  <c r="F103" i="56"/>
  <c r="O106" i="56"/>
  <c r="O119" i="56" s="1"/>
  <c r="O133" i="56" s="1"/>
  <c r="I97" i="57"/>
  <c r="G54" i="56"/>
  <c r="Q97" i="57"/>
  <c r="K113" i="57"/>
  <c r="S106" i="56"/>
  <c r="S119" i="56" s="1"/>
  <c r="S133" i="56" s="1"/>
  <c r="G72" i="57"/>
  <c r="G113" i="57" s="1"/>
  <c r="J106" i="56"/>
  <c r="E22" i="73"/>
  <c r="E24" i="87"/>
  <c r="F24" i="95"/>
  <c r="F23" i="68"/>
  <c r="E22" i="68"/>
  <c r="F23" i="66"/>
  <c r="E24" i="94"/>
  <c r="E23" i="96"/>
  <c r="F22" i="96"/>
  <c r="F23" i="73"/>
  <c r="E23" i="66"/>
  <c r="F23" i="94"/>
  <c r="F23" i="67"/>
  <c r="F22" i="81"/>
  <c r="E23" i="67"/>
  <c r="F22" i="80"/>
  <c r="F22" i="87"/>
  <c r="E23" i="80"/>
  <c r="E22" i="85"/>
  <c r="E22" i="70"/>
  <c r="E23" i="95"/>
  <c r="F22" i="70"/>
  <c r="E23" i="82"/>
  <c r="F22" i="85"/>
  <c r="E24" i="81"/>
  <c r="O97" i="57"/>
  <c r="F54" i="56"/>
  <c r="H134" i="57"/>
  <c r="F134" i="57"/>
  <c r="G101" i="57"/>
  <c r="H131" i="56"/>
  <c r="F72" i="57"/>
  <c r="F113" i="57" s="1"/>
  <c r="D71" i="57"/>
  <c r="U71" i="57" s="1"/>
  <c r="H126" i="57"/>
  <c r="E63" i="57"/>
  <c r="G126" i="57"/>
  <c r="N103" i="56"/>
  <c r="N106" i="56" s="1"/>
  <c r="F126" i="57"/>
  <c r="C212" i="62"/>
  <c r="D213" i="62"/>
  <c r="H103" i="57" s="1"/>
  <c r="H102" i="57"/>
  <c r="O213" i="62"/>
  <c r="S103" i="57" s="1"/>
  <c r="S102" i="57"/>
  <c r="G213" i="62"/>
  <c r="K103" i="57" s="1"/>
  <c r="K102" i="57"/>
  <c r="E72" i="57"/>
  <c r="D69" i="57"/>
  <c r="U61" i="57"/>
  <c r="G130" i="56"/>
  <c r="G131" i="56" s="1"/>
  <c r="N131" i="56"/>
  <c r="D131" i="57"/>
  <c r="E134" i="57"/>
  <c r="U58" i="57"/>
  <c r="L126" i="57"/>
  <c r="I213" i="62"/>
  <c r="M103" i="57" s="1"/>
  <c r="M102" i="57"/>
  <c r="D86" i="56"/>
  <c r="E96" i="56"/>
  <c r="E102" i="56" s="1"/>
  <c r="J213" i="62"/>
  <c r="N103" i="57" s="1"/>
  <c r="N102" i="57"/>
  <c r="L213" i="62"/>
  <c r="P103" i="57" s="1"/>
  <c r="P102" i="57"/>
  <c r="G134" i="57"/>
  <c r="E213" i="62"/>
  <c r="I103" i="57" s="1"/>
  <c r="I102" i="57"/>
  <c r="M213" i="62"/>
  <c r="Q103" i="57" s="1"/>
  <c r="Q102" i="57"/>
  <c r="F130" i="56"/>
  <c r="F131" i="56" s="1"/>
  <c r="L131" i="56"/>
  <c r="L103" i="56"/>
  <c r="L106" i="56" s="1"/>
  <c r="L119" i="56" s="1"/>
  <c r="C86" i="65"/>
  <c r="X86" i="65"/>
  <c r="N126" i="57"/>
  <c r="Q119" i="56"/>
  <c r="Q133" i="56" s="1"/>
  <c r="F213" i="62"/>
  <c r="J103" i="57" s="1"/>
  <c r="J102" i="57"/>
  <c r="D100" i="57"/>
  <c r="K213" i="62"/>
  <c r="O103" i="57" s="1"/>
  <c r="O102" i="57"/>
  <c r="P113" i="57"/>
  <c r="P97" i="57"/>
  <c r="H103" i="56"/>
  <c r="H106" i="56" s="1"/>
  <c r="H119" i="56" s="1"/>
  <c r="N213" i="62"/>
  <c r="R103" i="57" s="1"/>
  <c r="R102" i="57"/>
  <c r="N113" i="57"/>
  <c r="N97" i="57"/>
  <c r="U60" i="57"/>
  <c r="U59" i="57"/>
  <c r="E47" i="56"/>
  <c r="E53" i="56" s="1"/>
  <c r="E54" i="56" s="1"/>
  <c r="D37" i="56"/>
  <c r="S113" i="57"/>
  <c r="S97" i="57"/>
  <c r="U52" i="57"/>
  <c r="D63" i="57"/>
  <c r="D58" i="56"/>
  <c r="E60" i="56"/>
  <c r="E99" i="56" s="1"/>
  <c r="H213" i="62"/>
  <c r="L103" i="57" s="1"/>
  <c r="L102" i="57"/>
  <c r="U53" i="57"/>
  <c r="L113" i="57"/>
  <c r="L97" i="57"/>
  <c r="D128" i="56"/>
  <c r="E131" i="56"/>
  <c r="D133" i="57"/>
  <c r="U133" i="57" s="1"/>
  <c r="U54" i="57"/>
  <c r="D124" i="57"/>
  <c r="E126" i="57"/>
  <c r="D9" i="56"/>
  <c r="U7" i="56"/>
  <c r="E101" i="57"/>
  <c r="U110" i="56"/>
  <c r="G103" i="56"/>
  <c r="D129" i="56"/>
  <c r="U129" i="56" s="1"/>
  <c r="D132" i="57"/>
  <c r="U132" i="57" s="1"/>
  <c r="C87" i="65"/>
  <c r="U87" i="65" s="1"/>
  <c r="X87" i="65"/>
  <c r="H72" i="57"/>
  <c r="D112" i="56"/>
  <c r="U112" i="56" s="1"/>
  <c r="U109" i="56"/>
  <c r="D125" i="57"/>
  <c r="U125" i="57" s="1"/>
  <c r="C10" i="50"/>
  <c r="D9" i="50"/>
  <c r="E9" i="50" s="1"/>
  <c r="E8" i="50"/>
  <c r="C13" i="51"/>
  <c r="D11" i="51"/>
  <c r="E11" i="51" s="1"/>
  <c r="F103" i="57" l="1"/>
  <c r="E103" i="57"/>
  <c r="G103" i="57"/>
  <c r="F106" i="56"/>
  <c r="F119" i="56" s="1"/>
  <c r="F133" i="56" s="1"/>
  <c r="G106" i="56"/>
  <c r="G119" i="56" s="1"/>
  <c r="G133" i="56" s="1"/>
  <c r="E142" i="62"/>
  <c r="I27" i="57" s="1"/>
  <c r="J119" i="56"/>
  <c r="J133" i="56" s="1"/>
  <c r="F142" i="62"/>
  <c r="J27" i="57" s="1"/>
  <c r="J34" i="57" s="1"/>
  <c r="J65" i="57" s="1"/>
  <c r="G97" i="57"/>
  <c r="D101" i="57"/>
  <c r="U101" i="57" s="1"/>
  <c r="H133" i="56"/>
  <c r="E24" i="66"/>
  <c r="F23" i="96"/>
  <c r="E24" i="96"/>
  <c r="F24" i="66"/>
  <c r="F25" i="95"/>
  <c r="E25" i="81"/>
  <c r="F23" i="70"/>
  <c r="E23" i="85"/>
  <c r="F23" i="87"/>
  <c r="E25" i="94"/>
  <c r="E24" i="67"/>
  <c r="F24" i="73"/>
  <c r="F24" i="68"/>
  <c r="E24" i="95"/>
  <c r="E23" i="70"/>
  <c r="F24" i="67"/>
  <c r="E23" i="73"/>
  <c r="E24" i="80"/>
  <c r="E24" i="82"/>
  <c r="F23" i="80"/>
  <c r="E23" i="68"/>
  <c r="F23" i="85"/>
  <c r="F23" i="81"/>
  <c r="F24" i="94"/>
  <c r="E25" i="87"/>
  <c r="L152" i="62"/>
  <c r="P37" i="57" s="1"/>
  <c r="P46" i="57" s="1"/>
  <c r="P48" i="57" s="1"/>
  <c r="N153" i="62"/>
  <c r="R38" i="57" s="1"/>
  <c r="O152" i="62"/>
  <c r="S37" i="57" s="1"/>
  <c r="K152" i="62"/>
  <c r="O37" i="57" s="1"/>
  <c r="O46" i="57" s="1"/>
  <c r="O49" i="57" s="1"/>
  <c r="O154" i="62"/>
  <c r="S39" i="57" s="1"/>
  <c r="G39" i="57" s="1"/>
  <c r="D39" i="57" s="1"/>
  <c r="N119" i="56"/>
  <c r="N133" i="56" s="1"/>
  <c r="F102" i="57"/>
  <c r="O153" i="62"/>
  <c r="S38" i="57" s="1"/>
  <c r="N152" i="62"/>
  <c r="R37" i="57" s="1"/>
  <c r="F97" i="57"/>
  <c r="J152" i="62"/>
  <c r="N37" i="57" s="1"/>
  <c r="M152" i="62"/>
  <c r="Q37" i="57" s="1"/>
  <c r="Q46" i="57" s="1"/>
  <c r="Q65" i="57" s="1"/>
  <c r="L133" i="56"/>
  <c r="D96" i="56"/>
  <c r="U86" i="56"/>
  <c r="D50" i="56"/>
  <c r="U9" i="56"/>
  <c r="U58" i="56"/>
  <c r="D60" i="56"/>
  <c r="E214" i="62"/>
  <c r="I104" i="57"/>
  <c r="G102" i="57"/>
  <c r="I214" i="62"/>
  <c r="M104" i="57"/>
  <c r="H113" i="57"/>
  <c r="H97" i="57"/>
  <c r="U128" i="56"/>
  <c r="H214" i="62"/>
  <c r="L104" i="57"/>
  <c r="J214" i="62"/>
  <c r="N104" i="57"/>
  <c r="G214" i="62"/>
  <c r="K104" i="57"/>
  <c r="D134" i="57"/>
  <c r="U131" i="57"/>
  <c r="D72" i="57"/>
  <c r="U72" i="57" s="1"/>
  <c r="U69" i="57"/>
  <c r="O214" i="62"/>
  <c r="S104" i="57"/>
  <c r="D130" i="56"/>
  <c r="U130" i="56" s="1"/>
  <c r="U63" i="57"/>
  <c r="N214" i="62"/>
  <c r="R104" i="57"/>
  <c r="K214" i="62"/>
  <c r="O104" i="57"/>
  <c r="L214" i="62"/>
  <c r="P104" i="57"/>
  <c r="E113" i="57"/>
  <c r="E97" i="57"/>
  <c r="E102" i="57"/>
  <c r="U124" i="57"/>
  <c r="D126" i="57"/>
  <c r="D47" i="56"/>
  <c r="U37" i="56"/>
  <c r="U100" i="57"/>
  <c r="C213" i="62"/>
  <c r="D214" i="62"/>
  <c r="H104" i="57"/>
  <c r="F214" i="62"/>
  <c r="J104" i="57"/>
  <c r="E103" i="56"/>
  <c r="E106" i="56" s="1"/>
  <c r="E119" i="56" s="1"/>
  <c r="E133" i="56" s="1"/>
  <c r="U86" i="65"/>
  <c r="M214" i="62"/>
  <c r="Q104" i="57"/>
  <c r="D10" i="50"/>
  <c r="E10" i="50" s="1"/>
  <c r="C11" i="50"/>
  <c r="D13" i="51"/>
  <c r="E13" i="51" s="1"/>
  <c r="C14" i="51"/>
  <c r="D103" i="57" l="1"/>
  <c r="U103" i="57" s="1"/>
  <c r="C154" i="62"/>
  <c r="J49" i="57"/>
  <c r="J48" i="57"/>
  <c r="P65" i="57"/>
  <c r="P49" i="57"/>
  <c r="Q49" i="57"/>
  <c r="Q48" i="57"/>
  <c r="O65" i="57"/>
  <c r="O48" i="57"/>
  <c r="R46" i="57"/>
  <c r="R65" i="57" s="1"/>
  <c r="F24" i="81"/>
  <c r="E25" i="82"/>
  <c r="F24" i="96"/>
  <c r="F25" i="73"/>
  <c r="E24" i="70"/>
  <c r="E26" i="81"/>
  <c r="F25" i="66"/>
  <c r="E24" i="85"/>
  <c r="E26" i="87"/>
  <c r="F24" i="80"/>
  <c r="F25" i="68"/>
  <c r="E25" i="66"/>
  <c r="E25" i="67"/>
  <c r="F25" i="94"/>
  <c r="E24" i="68"/>
  <c r="E25" i="80"/>
  <c r="F25" i="67"/>
  <c r="F24" i="87"/>
  <c r="E25" i="96"/>
  <c r="E25" i="95"/>
  <c r="F26" i="95"/>
  <c r="F24" i="70"/>
  <c r="F24" i="85"/>
  <c r="E24" i="73"/>
  <c r="E26" i="94"/>
  <c r="D102" i="57"/>
  <c r="U102" i="57" s="1"/>
  <c r="D97" i="57"/>
  <c r="C152" i="62"/>
  <c r="G38" i="57"/>
  <c r="D38" i="57" s="1"/>
  <c r="O32" i="55" s="1"/>
  <c r="C153" i="62"/>
  <c r="F215" i="62"/>
  <c r="J105" i="57"/>
  <c r="G104" i="57"/>
  <c r="G215" i="62"/>
  <c r="K105" i="57"/>
  <c r="J215" i="62"/>
  <c r="N105" i="57"/>
  <c r="E27" i="57"/>
  <c r="I34" i="57"/>
  <c r="U96" i="56"/>
  <c r="D102" i="56"/>
  <c r="U102" i="56" s="1"/>
  <c r="I215" i="62"/>
  <c r="M105" i="57"/>
  <c r="N46" i="57"/>
  <c r="G37" i="57"/>
  <c r="U47" i="56"/>
  <c r="D53" i="56"/>
  <c r="U53" i="56" s="1"/>
  <c r="U134" i="57"/>
  <c r="D215" i="62"/>
  <c r="C214" i="62"/>
  <c r="H105" i="57"/>
  <c r="L215" i="62"/>
  <c r="P105" i="57"/>
  <c r="H215" i="62"/>
  <c r="L105" i="57"/>
  <c r="K215" i="62"/>
  <c r="O105" i="57"/>
  <c r="E215" i="62"/>
  <c r="I105" i="57"/>
  <c r="U60" i="56"/>
  <c r="D99" i="56"/>
  <c r="U126" i="57"/>
  <c r="D113" i="57"/>
  <c r="M215" i="62"/>
  <c r="Q105" i="57"/>
  <c r="N215" i="62"/>
  <c r="R105" i="57"/>
  <c r="U50" i="56"/>
  <c r="U39" i="57"/>
  <c r="L33" i="55"/>
  <c r="I33" i="55"/>
  <c r="N33" i="55"/>
  <c r="K33" i="55"/>
  <c r="J33" i="55"/>
  <c r="M33" i="55"/>
  <c r="G33" i="55"/>
  <c r="H33" i="55"/>
  <c r="O33" i="55"/>
  <c r="E104" i="57"/>
  <c r="S46" i="57"/>
  <c r="O215" i="62"/>
  <c r="S105" i="57"/>
  <c r="F104" i="57"/>
  <c r="D131" i="56"/>
  <c r="U131" i="56" s="1"/>
  <c r="D11" i="50"/>
  <c r="E11" i="50" s="1"/>
  <c r="C13" i="50"/>
  <c r="C15" i="51"/>
  <c r="D14" i="51"/>
  <c r="E14" i="51" s="1"/>
  <c r="R49" i="57" l="1"/>
  <c r="R48" i="57"/>
  <c r="L32" i="55"/>
  <c r="F100" i="64" s="1"/>
  <c r="F105" i="57"/>
  <c r="F25" i="85"/>
  <c r="E25" i="68"/>
  <c r="E26" i="66"/>
  <c r="G26" i="87"/>
  <c r="K2" i="87"/>
  <c r="G9" i="87"/>
  <c r="G10" i="87"/>
  <c r="G12" i="87"/>
  <c r="D28" i="87"/>
  <c r="G7" i="87"/>
  <c r="G11" i="87"/>
  <c r="G8" i="87"/>
  <c r="G14" i="87"/>
  <c r="G13" i="87"/>
  <c r="G15" i="87"/>
  <c r="G18" i="87"/>
  <c r="G16" i="87"/>
  <c r="G19" i="87"/>
  <c r="G24" i="87"/>
  <c r="G17" i="87"/>
  <c r="G21" i="87"/>
  <c r="F25" i="80"/>
  <c r="E25" i="70"/>
  <c r="H25" i="73"/>
  <c r="F26" i="73"/>
  <c r="H24" i="73" s="1"/>
  <c r="H21" i="73"/>
  <c r="F27" i="95"/>
  <c r="E27" i="94"/>
  <c r="E25" i="73"/>
  <c r="F26" i="94"/>
  <c r="G20" i="87"/>
  <c r="E25" i="85"/>
  <c r="F25" i="81"/>
  <c r="F26" i="68"/>
  <c r="G22" i="87"/>
  <c r="E27" i="81"/>
  <c r="E26" i="82"/>
  <c r="E26" i="80"/>
  <c r="F25" i="70"/>
  <c r="H23" i="73"/>
  <c r="E26" i="96"/>
  <c r="E26" i="67"/>
  <c r="H22" i="73"/>
  <c r="F26" i="67"/>
  <c r="G23" i="87"/>
  <c r="H20" i="73"/>
  <c r="F25" i="96"/>
  <c r="F25" i="87"/>
  <c r="E26" i="95"/>
  <c r="G25" i="87"/>
  <c r="F26" i="66"/>
  <c r="H19" i="73"/>
  <c r="H32" i="55"/>
  <c r="W100" i="63" s="1"/>
  <c r="G32" i="55"/>
  <c r="V100" i="63" s="1"/>
  <c r="J32" i="55"/>
  <c r="D100" i="64" s="1"/>
  <c r="K32" i="55"/>
  <c r="W100" i="64" s="1"/>
  <c r="M32" i="55"/>
  <c r="D100" i="65" s="1"/>
  <c r="N32" i="55"/>
  <c r="W100" i="65" s="1"/>
  <c r="I32" i="55"/>
  <c r="F100" i="63" s="1"/>
  <c r="D54" i="56"/>
  <c r="U38" i="57"/>
  <c r="N216" i="62"/>
  <c r="R106" i="57"/>
  <c r="U99" i="56"/>
  <c r="D103" i="56"/>
  <c r="U103" i="56" s="1"/>
  <c r="G216" i="62"/>
  <c r="K106" i="57"/>
  <c r="U113" i="57"/>
  <c r="F101" i="64"/>
  <c r="H216" i="62"/>
  <c r="L106" i="57"/>
  <c r="G46" i="57"/>
  <c r="D37" i="57"/>
  <c r="D104" i="57"/>
  <c r="W101" i="63"/>
  <c r="E101" i="63"/>
  <c r="T33" i="55"/>
  <c r="N48" i="57"/>
  <c r="N49" i="57"/>
  <c r="N65" i="57"/>
  <c r="F101" i="65"/>
  <c r="D101" i="63"/>
  <c r="V101" i="63"/>
  <c r="F33" i="55"/>
  <c r="Q33" i="55" s="1"/>
  <c r="S33" i="55"/>
  <c r="K216" i="62"/>
  <c r="O106" i="57"/>
  <c r="L216" i="62"/>
  <c r="P106" i="57"/>
  <c r="I216" i="62"/>
  <c r="M106" i="57"/>
  <c r="I49" i="57"/>
  <c r="I48" i="57"/>
  <c r="E48" i="57" s="1"/>
  <c r="I65" i="57"/>
  <c r="F100" i="65"/>
  <c r="F101" i="63"/>
  <c r="U33" i="55"/>
  <c r="D101" i="65"/>
  <c r="V101" i="65"/>
  <c r="E105" i="57"/>
  <c r="D27" i="57"/>
  <c r="E34" i="57"/>
  <c r="F216" i="62"/>
  <c r="J106" i="57"/>
  <c r="O216" i="62"/>
  <c r="S106" i="57"/>
  <c r="V101" i="64"/>
  <c r="D101" i="64"/>
  <c r="M216" i="62"/>
  <c r="Q106" i="57"/>
  <c r="G105" i="57"/>
  <c r="E101" i="65"/>
  <c r="W101" i="65"/>
  <c r="S48" i="57"/>
  <c r="S49" i="57"/>
  <c r="S65" i="57"/>
  <c r="W101" i="64"/>
  <c r="E101" i="64"/>
  <c r="E216" i="62"/>
  <c r="I106" i="57"/>
  <c r="C215" i="62"/>
  <c r="D216" i="62"/>
  <c r="H106" i="57"/>
  <c r="J216" i="62"/>
  <c r="N106" i="57"/>
  <c r="D13" i="50"/>
  <c r="E13" i="50" s="1"/>
  <c r="C14" i="50"/>
  <c r="D15" i="51"/>
  <c r="E15" i="51" s="1"/>
  <c r="C16" i="51"/>
  <c r="E100" i="64" l="1"/>
  <c r="V100" i="64"/>
  <c r="U32" i="55"/>
  <c r="D106" i="56"/>
  <c r="D119" i="56" s="1"/>
  <c r="E27" i="66"/>
  <c r="E27" i="82"/>
  <c r="F26" i="81"/>
  <c r="E27" i="96"/>
  <c r="F26" i="85"/>
  <c r="E26" i="85"/>
  <c r="G25" i="73"/>
  <c r="E26" i="73"/>
  <c r="G19" i="73" s="1"/>
  <c r="G23" i="73"/>
  <c r="E28" i="94"/>
  <c r="F28" i="95"/>
  <c r="F27" i="66"/>
  <c r="F26" i="87"/>
  <c r="H25" i="87"/>
  <c r="F27" i="68"/>
  <c r="E27" i="67"/>
  <c r="F26" i="70"/>
  <c r="E27" i="80"/>
  <c r="E28" i="81"/>
  <c r="D29" i="87"/>
  <c r="E26" i="68"/>
  <c r="F27" i="67"/>
  <c r="E27" i="95"/>
  <c r="F26" i="96"/>
  <c r="F27" i="94"/>
  <c r="H26" i="73"/>
  <c r="K3" i="73"/>
  <c r="H7" i="73"/>
  <c r="H9" i="73"/>
  <c r="H8" i="73"/>
  <c r="H11" i="73"/>
  <c r="H13" i="73"/>
  <c r="H10" i="73"/>
  <c r="H12" i="73"/>
  <c r="H14" i="73"/>
  <c r="H15" i="73"/>
  <c r="H16" i="73"/>
  <c r="H17" i="73"/>
  <c r="H18" i="73"/>
  <c r="E26" i="70"/>
  <c r="F26" i="80"/>
  <c r="U54" i="56"/>
  <c r="V100" i="65"/>
  <c r="T32" i="55"/>
  <c r="F32" i="55"/>
  <c r="Q32" i="55" s="1"/>
  <c r="E100" i="65"/>
  <c r="E100" i="63"/>
  <c r="S32" i="55"/>
  <c r="D100" i="63"/>
  <c r="F217" i="62"/>
  <c r="J107" i="57"/>
  <c r="M100" i="64"/>
  <c r="O100" i="64"/>
  <c r="P100" i="64"/>
  <c r="Q100" i="64"/>
  <c r="R100" i="64"/>
  <c r="N100" i="64"/>
  <c r="N217" i="62"/>
  <c r="R107" i="57"/>
  <c r="U106" i="56"/>
  <c r="G106" i="57"/>
  <c r="P101" i="63"/>
  <c r="R101" i="63"/>
  <c r="Q101" i="63"/>
  <c r="N101" i="63"/>
  <c r="O101" i="63"/>
  <c r="M101" i="63"/>
  <c r="L217" i="62"/>
  <c r="P107" i="57"/>
  <c r="U104" i="57"/>
  <c r="F106" i="57"/>
  <c r="D217" i="62"/>
  <c r="C216" i="62"/>
  <c r="H107" i="57"/>
  <c r="H217" i="62"/>
  <c r="L107" i="57"/>
  <c r="J217" i="62"/>
  <c r="N107" i="57"/>
  <c r="O217" i="62"/>
  <c r="S107" i="57"/>
  <c r="R100" i="65"/>
  <c r="N100" i="65"/>
  <c r="M100" i="65"/>
  <c r="O100" i="65"/>
  <c r="Q100" i="65"/>
  <c r="P100" i="65"/>
  <c r="I217" i="62"/>
  <c r="M107" i="57"/>
  <c r="K217" i="62"/>
  <c r="O107" i="57"/>
  <c r="P101" i="65"/>
  <c r="M101" i="65"/>
  <c r="Q101" i="65"/>
  <c r="R101" i="65"/>
  <c r="N101" i="65"/>
  <c r="O101" i="65"/>
  <c r="U37" i="57"/>
  <c r="D46" i="57"/>
  <c r="E217" i="62"/>
  <c r="I107" i="57"/>
  <c r="E106" i="57"/>
  <c r="M217" i="62"/>
  <c r="Q107" i="57"/>
  <c r="E49" i="57"/>
  <c r="E65" i="57"/>
  <c r="D105" i="57"/>
  <c r="U105" i="57" s="1"/>
  <c r="M100" i="63"/>
  <c r="N100" i="63"/>
  <c r="O100" i="63"/>
  <c r="Q100" i="63"/>
  <c r="P100" i="63"/>
  <c r="R100" i="63"/>
  <c r="G49" i="57"/>
  <c r="G65" i="57"/>
  <c r="U27" i="57"/>
  <c r="M21" i="55"/>
  <c r="L21" i="55"/>
  <c r="H21" i="55"/>
  <c r="N21" i="55"/>
  <c r="O21" i="55"/>
  <c r="I21" i="55"/>
  <c r="J21" i="55"/>
  <c r="K21" i="55"/>
  <c r="G21" i="55"/>
  <c r="D34" i="57"/>
  <c r="G48" i="57"/>
  <c r="D48" i="57" s="1"/>
  <c r="N101" i="64"/>
  <c r="M101" i="64"/>
  <c r="P101" i="64"/>
  <c r="Q101" i="64"/>
  <c r="O101" i="64"/>
  <c r="R101" i="64"/>
  <c r="G217" i="62"/>
  <c r="K107" i="57"/>
  <c r="D14" i="50"/>
  <c r="E14" i="50" s="1"/>
  <c r="C15" i="50"/>
  <c r="D16" i="51"/>
  <c r="E16" i="51" s="1"/>
  <c r="C17" i="51"/>
  <c r="E28" i="80" l="1"/>
  <c r="F29" i="95"/>
  <c r="E27" i="85"/>
  <c r="E28" i="96"/>
  <c r="F27" i="81"/>
  <c r="E29" i="94"/>
  <c r="G26" i="73"/>
  <c r="K2" i="73"/>
  <c r="G8" i="73"/>
  <c r="D28" i="73"/>
  <c r="D29" i="73" s="1"/>
  <c r="G7" i="73"/>
  <c r="G13" i="73"/>
  <c r="G9" i="73"/>
  <c r="G11" i="73"/>
  <c r="G10" i="73"/>
  <c r="G12" i="73"/>
  <c r="G14" i="73"/>
  <c r="G15" i="73"/>
  <c r="G21" i="73"/>
  <c r="G17" i="73"/>
  <c r="G16" i="73"/>
  <c r="G24" i="73"/>
  <c r="G22" i="73"/>
  <c r="F27" i="85"/>
  <c r="E28" i="66"/>
  <c r="F28" i="68"/>
  <c r="F28" i="66"/>
  <c r="E27" i="70"/>
  <c r="F27" i="70"/>
  <c r="F28" i="94"/>
  <c r="F27" i="96"/>
  <c r="F28" i="67"/>
  <c r="F27" i="80"/>
  <c r="E29" i="81"/>
  <c r="E28" i="67"/>
  <c r="K3" i="87"/>
  <c r="H26" i="87"/>
  <c r="H7" i="87"/>
  <c r="H9" i="87"/>
  <c r="H8" i="87"/>
  <c r="H10" i="87"/>
  <c r="H11" i="87"/>
  <c r="H12" i="87"/>
  <c r="H17" i="87"/>
  <c r="H13" i="87"/>
  <c r="H15" i="87"/>
  <c r="H14" i="87"/>
  <c r="H16" i="87"/>
  <c r="H18" i="87"/>
  <c r="H22" i="87"/>
  <c r="H24" i="87"/>
  <c r="H20" i="87"/>
  <c r="H23" i="87"/>
  <c r="H21" i="87"/>
  <c r="H19" i="87"/>
  <c r="G20" i="73"/>
  <c r="E28" i="95"/>
  <c r="E27" i="68"/>
  <c r="G18" i="73"/>
  <c r="E28" i="82"/>
  <c r="I218" i="62"/>
  <c r="M109" i="57" s="1"/>
  <c r="M108" i="57"/>
  <c r="G218" i="62"/>
  <c r="K109" i="57" s="1"/>
  <c r="K108" i="57"/>
  <c r="F89" i="63"/>
  <c r="X89" i="63"/>
  <c r="U21" i="55"/>
  <c r="D218" i="62"/>
  <c r="C217" i="62"/>
  <c r="H108" i="57"/>
  <c r="F89" i="65"/>
  <c r="X89" i="65"/>
  <c r="G107" i="57"/>
  <c r="D133" i="56"/>
  <c r="U133" i="56" s="1"/>
  <c r="U119" i="56"/>
  <c r="C100" i="64"/>
  <c r="U100" i="64" s="1"/>
  <c r="X100" i="64"/>
  <c r="D106" i="57"/>
  <c r="U106" i="57" s="1"/>
  <c r="U46" i="57"/>
  <c r="D65" i="57"/>
  <c r="U65" i="57" s="1"/>
  <c r="C101" i="65"/>
  <c r="U101" i="65" s="1"/>
  <c r="X101" i="65"/>
  <c r="J218" i="62"/>
  <c r="N109" i="57" s="1"/>
  <c r="N108" i="57"/>
  <c r="F107" i="57"/>
  <c r="C100" i="63"/>
  <c r="U100" i="63" s="1"/>
  <c r="X100" i="63"/>
  <c r="E89" i="63"/>
  <c r="W89" i="63"/>
  <c r="T21" i="55"/>
  <c r="C100" i="65"/>
  <c r="U100" i="65" s="1"/>
  <c r="X100" i="65"/>
  <c r="H218" i="62"/>
  <c r="L109" i="57" s="1"/>
  <c r="L108" i="57"/>
  <c r="L218" i="62"/>
  <c r="P109" i="57" s="1"/>
  <c r="P108" i="57"/>
  <c r="F218" i="62"/>
  <c r="J109" i="57" s="1"/>
  <c r="J108" i="57"/>
  <c r="O218" i="62"/>
  <c r="S109" i="57" s="1"/>
  <c r="S108" i="57"/>
  <c r="E89" i="65"/>
  <c r="W89" i="65"/>
  <c r="U34" i="57"/>
  <c r="D49" i="57"/>
  <c r="F89" i="64"/>
  <c r="X89" i="64"/>
  <c r="C101" i="63"/>
  <c r="U101" i="63" s="1"/>
  <c r="X101" i="63"/>
  <c r="M218" i="62"/>
  <c r="Q109" i="57" s="1"/>
  <c r="Q108" i="57"/>
  <c r="C101" i="64"/>
  <c r="U101" i="64" s="1"/>
  <c r="X101" i="64"/>
  <c r="D89" i="63"/>
  <c r="F21" i="55"/>
  <c r="S21" i="55"/>
  <c r="D89" i="65"/>
  <c r="E218" i="62"/>
  <c r="I109" i="57" s="1"/>
  <c r="I108" i="57"/>
  <c r="K218" i="62"/>
  <c r="O109" i="57" s="1"/>
  <c r="O108" i="57"/>
  <c r="E107" i="57"/>
  <c r="N218" i="62"/>
  <c r="R109" i="57" s="1"/>
  <c r="R108" i="57"/>
  <c r="D89" i="64"/>
  <c r="E89" i="64"/>
  <c r="W89" i="64"/>
  <c r="C16" i="50"/>
  <c r="D15" i="50"/>
  <c r="E15" i="50" s="1"/>
  <c r="C18" i="51"/>
  <c r="D18" i="51" s="1"/>
  <c r="E18" i="51" s="1"/>
  <c r="D17" i="51"/>
  <c r="E17" i="51" s="1"/>
  <c r="E29" i="95" l="1"/>
  <c r="F29" i="67"/>
  <c r="F29" i="94"/>
  <c r="F28" i="70"/>
  <c r="F29" i="68"/>
  <c r="F28" i="85"/>
  <c r="E28" i="68"/>
  <c r="E29" i="96"/>
  <c r="E29" i="80"/>
  <c r="F29" i="66"/>
  <c r="E29" i="82"/>
  <c r="E30" i="81"/>
  <c r="F28" i="96"/>
  <c r="F28" i="81"/>
  <c r="E29" i="66"/>
  <c r="E28" i="70"/>
  <c r="E28" i="85"/>
  <c r="F28" i="80"/>
  <c r="E30" i="94"/>
  <c r="E29" i="67"/>
  <c r="F30" i="95"/>
  <c r="Q110" i="57"/>
  <c r="Q116" i="57" s="1"/>
  <c r="Q117" i="57" s="1"/>
  <c r="Q128" i="57" s="1"/>
  <c r="Q136" i="57" s="1"/>
  <c r="P110" i="57"/>
  <c r="P116" i="57" s="1"/>
  <c r="P117" i="57" s="1"/>
  <c r="P128" i="57" s="1"/>
  <c r="P136" i="57" s="1"/>
  <c r="F108" i="57"/>
  <c r="K110" i="57"/>
  <c r="K116" i="57" s="1"/>
  <c r="K117" i="57" s="1"/>
  <c r="K128" i="57" s="1"/>
  <c r="K136" i="57" s="1"/>
  <c r="Q21" i="55"/>
  <c r="E108" i="57"/>
  <c r="G89" i="64"/>
  <c r="J89" i="64"/>
  <c r="I89" i="64"/>
  <c r="H89" i="64"/>
  <c r="D107" i="57"/>
  <c r="G89" i="63"/>
  <c r="H89" i="63"/>
  <c r="I89" i="63"/>
  <c r="J89" i="63"/>
  <c r="J110" i="57"/>
  <c r="J116" i="57" s="1"/>
  <c r="J117" i="57" s="1"/>
  <c r="J128" i="57" s="1"/>
  <c r="J136" i="57" s="1"/>
  <c r="F109" i="57"/>
  <c r="L110" i="57"/>
  <c r="L116" i="57" s="1"/>
  <c r="L117" i="57" s="1"/>
  <c r="L128" i="57" s="1"/>
  <c r="L136" i="57" s="1"/>
  <c r="C218" i="62"/>
  <c r="H109" i="57"/>
  <c r="O110" i="57"/>
  <c r="O116" i="57" s="1"/>
  <c r="O117" i="57" s="1"/>
  <c r="O128" i="57" s="1"/>
  <c r="O136" i="57" s="1"/>
  <c r="G108" i="57"/>
  <c r="M110" i="57"/>
  <c r="M116" i="57" s="1"/>
  <c r="M117" i="57" s="1"/>
  <c r="M128" i="57" s="1"/>
  <c r="M136" i="57" s="1"/>
  <c r="G109" i="57"/>
  <c r="N110" i="57"/>
  <c r="N116" i="57" s="1"/>
  <c r="N117" i="57" s="1"/>
  <c r="N128" i="57" s="1"/>
  <c r="N136" i="57" s="1"/>
  <c r="I110" i="57"/>
  <c r="I116" i="57" s="1"/>
  <c r="I117" i="57" s="1"/>
  <c r="I128" i="57" s="1"/>
  <c r="I136" i="57" s="1"/>
  <c r="G89" i="65"/>
  <c r="H89" i="65"/>
  <c r="I89" i="65"/>
  <c r="J89" i="65"/>
  <c r="R110" i="57"/>
  <c r="R116" i="57" s="1"/>
  <c r="R117" i="57" s="1"/>
  <c r="R128" i="57" s="1"/>
  <c r="R136" i="57" s="1"/>
  <c r="S110" i="57"/>
  <c r="S116" i="57" s="1"/>
  <c r="S117" i="57" s="1"/>
  <c r="S128" i="57" s="1"/>
  <c r="S136" i="57" s="1"/>
  <c r="C17" i="50"/>
  <c r="D16" i="50"/>
  <c r="E16" i="50" s="1"/>
  <c r="F110" i="57" l="1"/>
  <c r="F116" i="57" s="1"/>
  <c r="F117" i="57" s="1"/>
  <c r="F128" i="57" s="1"/>
  <c r="F136" i="57" s="1"/>
  <c r="E30" i="80"/>
  <c r="F29" i="70"/>
  <c r="E30" i="67"/>
  <c r="F31" i="95"/>
  <c r="E30" i="66"/>
  <c r="E30" i="82"/>
  <c r="E30" i="96"/>
  <c r="E31" i="94"/>
  <c r="F29" i="80"/>
  <c r="E29" i="70"/>
  <c r="E31" i="81"/>
  <c r="F29" i="85"/>
  <c r="F29" i="96"/>
  <c r="F30" i="66"/>
  <c r="F30" i="67"/>
  <c r="F30" i="68"/>
  <c r="F30" i="94"/>
  <c r="E30" i="95"/>
  <c r="F29" i="81"/>
  <c r="E29" i="85"/>
  <c r="E29" i="68"/>
  <c r="C89" i="64"/>
  <c r="V89" i="64"/>
  <c r="E109" i="57"/>
  <c r="H110" i="57"/>
  <c r="H116" i="57" s="1"/>
  <c r="H117" i="57" s="1"/>
  <c r="H128" i="57" s="1"/>
  <c r="H136" i="57" s="1"/>
  <c r="C89" i="63"/>
  <c r="V89" i="63"/>
  <c r="D108" i="57"/>
  <c r="U108" i="57" s="1"/>
  <c r="G110" i="57"/>
  <c r="G116" i="57" s="1"/>
  <c r="G117" i="57" s="1"/>
  <c r="G128" i="57" s="1"/>
  <c r="G136" i="57" s="1"/>
  <c r="U107" i="57"/>
  <c r="C89" i="65"/>
  <c r="V89" i="65"/>
  <c r="C18" i="50"/>
  <c r="D18" i="50" s="1"/>
  <c r="E18" i="50" s="1"/>
  <c r="D17" i="50"/>
  <c r="E17" i="50" s="1"/>
  <c r="F30" i="81" l="1"/>
  <c r="F30" i="80"/>
  <c r="E31" i="82"/>
  <c r="F32" i="95"/>
  <c r="F30" i="96"/>
  <c r="F31" i="67"/>
  <c r="E32" i="81"/>
  <c r="F30" i="70"/>
  <c r="E31" i="80"/>
  <c r="E31" i="95"/>
  <c r="F31" i="68"/>
  <c r="E32" i="94"/>
  <c r="E31" i="96"/>
  <c r="E31" i="66"/>
  <c r="E30" i="70"/>
  <c r="E31" i="67"/>
  <c r="E30" i="68"/>
  <c r="F31" i="94"/>
  <c r="F31" i="66"/>
  <c r="F30" i="85"/>
  <c r="E30" i="85"/>
  <c r="U89" i="64"/>
  <c r="U89" i="63"/>
  <c r="U89" i="65"/>
  <c r="D109" i="57"/>
  <c r="E110" i="57"/>
  <c r="E116" i="57" s="1"/>
  <c r="C4" i="22"/>
  <c r="B6" i="49"/>
  <c r="M46" i="47"/>
  <c r="Q46" i="47" s="1"/>
  <c r="M45" i="47"/>
  <c r="M44" i="47"/>
  <c r="M43" i="47"/>
  <c r="Q43" i="47" s="1"/>
  <c r="M28" i="47"/>
  <c r="M27" i="47"/>
  <c r="M26" i="47"/>
  <c r="M25" i="47"/>
  <c r="Q25" i="47" s="1"/>
  <c r="M46" i="46"/>
  <c r="M45" i="46"/>
  <c r="M44" i="46"/>
  <c r="M43" i="46"/>
  <c r="Q43" i="46" s="1"/>
  <c r="M28" i="46"/>
  <c r="M27" i="46"/>
  <c r="M26" i="46"/>
  <c r="M25" i="46"/>
  <c r="Q25" i="46" s="1"/>
  <c r="M46" i="45"/>
  <c r="M45" i="45"/>
  <c r="M44" i="45"/>
  <c r="M43" i="45"/>
  <c r="M29" i="45"/>
  <c r="M28" i="45"/>
  <c r="M27" i="45"/>
  <c r="M26" i="45"/>
  <c r="M25" i="45"/>
  <c r="Q25" i="45" s="1"/>
  <c r="L47" i="44"/>
  <c r="P47" i="44" s="1"/>
  <c r="L46" i="44"/>
  <c r="L45" i="44"/>
  <c r="L44" i="44"/>
  <c r="P44" i="44" s="1"/>
  <c r="L43" i="44"/>
  <c r="L29" i="44"/>
  <c r="L28" i="44"/>
  <c r="L27" i="44"/>
  <c r="P27" i="44" s="1"/>
  <c r="L26" i="44"/>
  <c r="L25" i="44"/>
  <c r="M47" i="43"/>
  <c r="Q47" i="43" s="1"/>
  <c r="M46" i="43"/>
  <c r="M45" i="43"/>
  <c r="M44" i="43"/>
  <c r="M43" i="43"/>
  <c r="M29" i="43"/>
  <c r="M28" i="43"/>
  <c r="M27" i="43"/>
  <c r="M26" i="43"/>
  <c r="M25" i="43"/>
  <c r="J13" i="47"/>
  <c r="J13" i="46"/>
  <c r="J13" i="45"/>
  <c r="I13" i="44"/>
  <c r="J13" i="43"/>
  <c r="J13" i="39"/>
  <c r="J13" i="38"/>
  <c r="J13" i="37"/>
  <c r="I13" i="36"/>
  <c r="J14" i="32"/>
  <c r="I13" i="31"/>
  <c r="P20" i="32"/>
  <c r="M50" i="32"/>
  <c r="M49" i="32"/>
  <c r="M48" i="32"/>
  <c r="R48" i="32" s="1"/>
  <c r="M47" i="32"/>
  <c r="M46" i="32"/>
  <c r="R46" i="32" s="1"/>
  <c r="M30" i="32"/>
  <c r="R30" i="32" s="1"/>
  <c r="M29" i="32"/>
  <c r="R29" i="32" s="1"/>
  <c r="M28" i="32"/>
  <c r="R28" i="32" s="1"/>
  <c r="M27" i="32"/>
  <c r="R27" i="32" s="1"/>
  <c r="M26" i="32"/>
  <c r="R26" i="32" s="1"/>
  <c r="E32" i="95" l="1"/>
  <c r="F32" i="67"/>
  <c r="E31" i="85"/>
  <c r="G25" i="85"/>
  <c r="G26" i="85"/>
  <c r="G28" i="85"/>
  <c r="G24" i="85"/>
  <c r="E32" i="82"/>
  <c r="F31" i="80"/>
  <c r="F32" i="66"/>
  <c r="H28" i="85"/>
  <c r="E32" i="66"/>
  <c r="F33" i="95"/>
  <c r="E33" i="94"/>
  <c r="F31" i="81"/>
  <c r="F32" i="94"/>
  <c r="E32" i="96"/>
  <c r="F32" i="68"/>
  <c r="E33" i="81"/>
  <c r="F31" i="96"/>
  <c r="E32" i="80"/>
  <c r="G27" i="85"/>
  <c r="E31" i="68"/>
  <c r="H30" i="85"/>
  <c r="F31" i="85"/>
  <c r="H26" i="85" s="1"/>
  <c r="H23" i="85"/>
  <c r="G23" i="85"/>
  <c r="E32" i="67"/>
  <c r="G30" i="70"/>
  <c r="E31" i="70"/>
  <c r="G24" i="70"/>
  <c r="F31" i="70"/>
  <c r="H27" i="70" s="1"/>
  <c r="H30" i="70"/>
  <c r="D116" i="57"/>
  <c r="E117" i="57"/>
  <c r="E128" i="57" s="1"/>
  <c r="E136" i="57" s="1"/>
  <c r="U109" i="57"/>
  <c r="D110" i="57"/>
  <c r="M7" i="47"/>
  <c r="Q26" i="47"/>
  <c r="M54" i="43"/>
  <c r="Q45" i="43"/>
  <c r="L52" i="44"/>
  <c r="P43" i="44"/>
  <c r="M37" i="45"/>
  <c r="Q28" i="45"/>
  <c r="M36" i="46"/>
  <c r="Q27" i="46"/>
  <c r="M8" i="47"/>
  <c r="Q27" i="47"/>
  <c r="M35" i="46"/>
  <c r="Q26" i="46"/>
  <c r="M55" i="43"/>
  <c r="Q46" i="43"/>
  <c r="M38" i="45"/>
  <c r="Q29" i="45"/>
  <c r="M37" i="46"/>
  <c r="Q28" i="46"/>
  <c r="M37" i="47"/>
  <c r="Q28" i="47"/>
  <c r="M34" i="43"/>
  <c r="Q25" i="43"/>
  <c r="M35" i="43"/>
  <c r="Q26" i="43"/>
  <c r="L54" i="44"/>
  <c r="P45" i="44"/>
  <c r="M52" i="45"/>
  <c r="Q43" i="45"/>
  <c r="M59" i="32"/>
  <c r="R49" i="32"/>
  <c r="M36" i="43"/>
  <c r="Q27" i="43"/>
  <c r="L34" i="44"/>
  <c r="P25" i="44"/>
  <c r="L55" i="44"/>
  <c r="P46" i="44"/>
  <c r="M53" i="45"/>
  <c r="Q44" i="45"/>
  <c r="M53" i="46"/>
  <c r="Q44" i="46"/>
  <c r="M53" i="47"/>
  <c r="Q44" i="47"/>
  <c r="L38" i="44"/>
  <c r="P29" i="44"/>
  <c r="M57" i="32"/>
  <c r="R47" i="32"/>
  <c r="M60" i="32"/>
  <c r="R50" i="32"/>
  <c r="M37" i="43"/>
  <c r="Q28" i="43"/>
  <c r="L35" i="44"/>
  <c r="P26" i="44"/>
  <c r="M54" i="45"/>
  <c r="Q45" i="45"/>
  <c r="M54" i="46"/>
  <c r="Q45" i="46"/>
  <c r="M54" i="47"/>
  <c r="Q45" i="47"/>
  <c r="M53" i="43"/>
  <c r="Q44" i="43"/>
  <c r="M38" i="43"/>
  <c r="Q29" i="43"/>
  <c r="M55" i="45"/>
  <c r="Q46" i="45"/>
  <c r="M55" i="46"/>
  <c r="Q46" i="46"/>
  <c r="M36" i="45"/>
  <c r="Q27" i="45"/>
  <c r="M52" i="43"/>
  <c r="Q43" i="43"/>
  <c r="L37" i="44"/>
  <c r="P28" i="44"/>
  <c r="M35" i="45"/>
  <c r="Q26" i="45"/>
  <c r="M29" i="46"/>
  <c r="M10" i="32"/>
  <c r="L7" i="44"/>
  <c r="L6" i="44"/>
  <c r="L8" i="44"/>
  <c r="L53" i="44"/>
  <c r="M6" i="47"/>
  <c r="M36" i="32"/>
  <c r="M6" i="45"/>
  <c r="M38" i="32"/>
  <c r="L36" i="44"/>
  <c r="M10" i="43"/>
  <c r="M47" i="46"/>
  <c r="M39" i="32"/>
  <c r="M37" i="32"/>
  <c r="M7" i="46"/>
  <c r="M52" i="47"/>
  <c r="M6" i="46"/>
  <c r="M7" i="45"/>
  <c r="M34" i="45"/>
  <c r="M9" i="46"/>
  <c r="M7" i="43"/>
  <c r="L10" i="44"/>
  <c r="M8" i="46"/>
  <c r="M52" i="46"/>
  <c r="M9" i="47"/>
  <c r="M58" i="32"/>
  <c r="L9" i="44"/>
  <c r="M56" i="32"/>
  <c r="M8" i="32"/>
  <c r="M8" i="43"/>
  <c r="M29" i="47"/>
  <c r="Q29" i="47" s="1"/>
  <c r="M9" i="32"/>
  <c r="M7" i="32"/>
  <c r="M9" i="43"/>
  <c r="M34" i="47"/>
  <c r="M56" i="43"/>
  <c r="L56" i="44"/>
  <c r="M9" i="45"/>
  <c r="M34" i="46"/>
  <c r="M47" i="47"/>
  <c r="M36" i="47"/>
  <c r="M40" i="32"/>
  <c r="M8" i="45"/>
  <c r="M47" i="45"/>
  <c r="Q47" i="45" s="1"/>
  <c r="M35" i="47"/>
  <c r="M6" i="32"/>
  <c r="M55" i="47"/>
  <c r="M6" i="43"/>
  <c r="M56" i="37"/>
  <c r="M55" i="37"/>
  <c r="M54" i="37"/>
  <c r="M53" i="37"/>
  <c r="M52" i="37"/>
  <c r="M47" i="37"/>
  <c r="Q47" i="37" s="1"/>
  <c r="M46" i="37"/>
  <c r="Q46" i="37" s="1"/>
  <c r="M45" i="37"/>
  <c r="Q45" i="37" s="1"/>
  <c r="M44" i="37"/>
  <c r="Q44" i="37" s="1"/>
  <c r="M43" i="37"/>
  <c r="Q43" i="37" s="1"/>
  <c r="M38" i="37"/>
  <c r="M37" i="37"/>
  <c r="M36" i="37"/>
  <c r="M35" i="37"/>
  <c r="M34" i="37"/>
  <c r="M29" i="37"/>
  <c r="Q29" i="37" s="1"/>
  <c r="M28" i="37"/>
  <c r="Q28" i="37" s="1"/>
  <c r="M27" i="37"/>
  <c r="Q27" i="37" s="1"/>
  <c r="M26" i="37"/>
  <c r="Q26" i="37" s="1"/>
  <c r="M25" i="37"/>
  <c r="Q25" i="37" s="1"/>
  <c r="L56" i="36"/>
  <c r="L55" i="36"/>
  <c r="L54" i="36"/>
  <c r="L53" i="36"/>
  <c r="L52" i="36"/>
  <c r="L47" i="36"/>
  <c r="P47" i="36" s="1"/>
  <c r="L46" i="36"/>
  <c r="P46" i="36" s="1"/>
  <c r="L45" i="36"/>
  <c r="P45" i="36" s="1"/>
  <c r="L44" i="36"/>
  <c r="P44" i="36" s="1"/>
  <c r="L43" i="36"/>
  <c r="P43" i="36" s="1"/>
  <c r="L38" i="36"/>
  <c r="L37" i="36"/>
  <c r="L36" i="36"/>
  <c r="L35" i="36"/>
  <c r="L34" i="36"/>
  <c r="L29" i="36"/>
  <c r="P29" i="36" s="1"/>
  <c r="L28" i="36"/>
  <c r="P28" i="36" s="1"/>
  <c r="L27" i="36"/>
  <c r="P27" i="36" s="1"/>
  <c r="L26" i="36"/>
  <c r="P26" i="36" s="1"/>
  <c r="L25" i="36"/>
  <c r="P25" i="36" s="1"/>
  <c r="M56" i="38"/>
  <c r="M55" i="38"/>
  <c r="M54" i="38"/>
  <c r="M53" i="38"/>
  <c r="M52" i="38"/>
  <c r="M47" i="38"/>
  <c r="Q47" i="38" s="1"/>
  <c r="M46" i="38"/>
  <c r="Q46" i="38" s="1"/>
  <c r="M45" i="38"/>
  <c r="Q45" i="38" s="1"/>
  <c r="M44" i="38"/>
  <c r="Q44" i="38" s="1"/>
  <c r="M43" i="38"/>
  <c r="Q43" i="38" s="1"/>
  <c r="M38" i="38"/>
  <c r="M37" i="38"/>
  <c r="M36" i="38"/>
  <c r="M35" i="38"/>
  <c r="M34" i="38"/>
  <c r="M29" i="38"/>
  <c r="M28" i="38"/>
  <c r="M27" i="38"/>
  <c r="M26" i="38"/>
  <c r="Q26" i="38" s="1"/>
  <c r="M25" i="38"/>
  <c r="Q25" i="38" s="1"/>
  <c r="M56" i="39"/>
  <c r="M55" i="39"/>
  <c r="M54" i="39"/>
  <c r="M53" i="39"/>
  <c r="M52" i="39"/>
  <c r="M47" i="39"/>
  <c r="Q47" i="39" s="1"/>
  <c r="M46" i="39"/>
  <c r="Q46" i="39" s="1"/>
  <c r="M45" i="39"/>
  <c r="Q45" i="39" s="1"/>
  <c r="M44" i="39"/>
  <c r="Q44" i="39" s="1"/>
  <c r="M43" i="39"/>
  <c r="Q43" i="39" s="1"/>
  <c r="M38" i="39"/>
  <c r="M37" i="39"/>
  <c r="M36" i="39"/>
  <c r="M35" i="39"/>
  <c r="M34" i="39"/>
  <c r="M29" i="39"/>
  <c r="Q29" i="39" s="1"/>
  <c r="M28" i="39"/>
  <c r="M27" i="39"/>
  <c r="M26" i="39"/>
  <c r="Q26" i="39" s="1"/>
  <c r="M25" i="39"/>
  <c r="Q25" i="39" s="1"/>
  <c r="L38" i="31"/>
  <c r="L37" i="31"/>
  <c r="L36" i="31"/>
  <c r="L35" i="31"/>
  <c r="L34" i="31"/>
  <c r="L56" i="31"/>
  <c r="L55" i="31"/>
  <c r="L54" i="31"/>
  <c r="L53" i="31"/>
  <c r="L52" i="31"/>
  <c r="L47" i="31"/>
  <c r="P47" i="31" s="1"/>
  <c r="L46" i="31"/>
  <c r="P46" i="31" s="1"/>
  <c r="L45" i="31"/>
  <c r="P45" i="31" s="1"/>
  <c r="L44" i="31"/>
  <c r="P44" i="31" s="1"/>
  <c r="L43" i="31"/>
  <c r="P43" i="31" s="1"/>
  <c r="L29" i="31"/>
  <c r="P29" i="31" s="1"/>
  <c r="L28" i="31"/>
  <c r="P28" i="31" s="1"/>
  <c r="L27" i="31"/>
  <c r="P27" i="31" s="1"/>
  <c r="L26" i="31"/>
  <c r="P26" i="31" s="1"/>
  <c r="L25" i="31"/>
  <c r="P25" i="31" s="1"/>
  <c r="R40" i="32" l="1"/>
  <c r="X40" i="32"/>
  <c r="R57" i="32"/>
  <c r="X57" i="32"/>
  <c r="P52" i="31"/>
  <c r="R56" i="32"/>
  <c r="X56" i="32"/>
  <c r="Q36" i="45"/>
  <c r="Q36" i="46"/>
  <c r="P54" i="31"/>
  <c r="Q35" i="37"/>
  <c r="Q55" i="37"/>
  <c r="R58" i="32"/>
  <c r="X58" i="32"/>
  <c r="R37" i="32"/>
  <c r="X37" i="32"/>
  <c r="Q55" i="46"/>
  <c r="Q54" i="45"/>
  <c r="Q53" i="47"/>
  <c r="R59" i="32"/>
  <c r="X59" i="32"/>
  <c r="Q37" i="46"/>
  <c r="Q37" i="45"/>
  <c r="P34" i="44"/>
  <c r="Q36" i="47"/>
  <c r="Q53" i="37"/>
  <c r="Q34" i="46"/>
  <c r="P52" i="36"/>
  <c r="Q36" i="37"/>
  <c r="Q56" i="37"/>
  <c r="P56" i="44"/>
  <c r="R39" i="32"/>
  <c r="X39" i="32"/>
  <c r="Q52" i="37"/>
  <c r="P53" i="44"/>
  <c r="P53" i="31"/>
  <c r="Q54" i="37"/>
  <c r="P55" i="31"/>
  <c r="P56" i="31"/>
  <c r="P53" i="36"/>
  <c r="Q37" i="37"/>
  <c r="Q52" i="46"/>
  <c r="Q55" i="45"/>
  <c r="P35" i="44"/>
  <c r="Q53" i="46"/>
  <c r="Q52" i="45"/>
  <c r="Q38" i="45"/>
  <c r="P52" i="44"/>
  <c r="Q37" i="47"/>
  <c r="Q34" i="37"/>
  <c r="P34" i="31"/>
  <c r="P34" i="36"/>
  <c r="P54" i="36"/>
  <c r="Q38" i="37"/>
  <c r="Q55" i="47"/>
  <c r="Q34" i="47"/>
  <c r="Q54" i="47"/>
  <c r="Q52" i="47"/>
  <c r="Q54" i="46"/>
  <c r="P38" i="44"/>
  <c r="P35" i="31"/>
  <c r="P35" i="36"/>
  <c r="P55" i="36"/>
  <c r="P36" i="44"/>
  <c r="Q35" i="45"/>
  <c r="Q53" i="45"/>
  <c r="P54" i="44"/>
  <c r="P36" i="31"/>
  <c r="P36" i="36"/>
  <c r="P56" i="36"/>
  <c r="R38" i="32"/>
  <c r="X38" i="32"/>
  <c r="Q35" i="47"/>
  <c r="P37" i="36"/>
  <c r="P37" i="44"/>
  <c r="R60" i="32"/>
  <c r="X60" i="32"/>
  <c r="P55" i="44"/>
  <c r="Q35" i="46"/>
  <c r="P37" i="31"/>
  <c r="P38" i="31"/>
  <c r="P38" i="36"/>
  <c r="Q34" i="45"/>
  <c r="R36" i="32"/>
  <c r="X36" i="32"/>
  <c r="H26" i="70"/>
  <c r="G31" i="70"/>
  <c r="K2" i="70"/>
  <c r="D33" i="70"/>
  <c r="D34" i="70" s="1"/>
  <c r="G10" i="70"/>
  <c r="G9" i="70"/>
  <c r="G7" i="70"/>
  <c r="G12" i="70"/>
  <c r="G8" i="70"/>
  <c r="G14" i="70"/>
  <c r="G11" i="70"/>
  <c r="G13" i="70"/>
  <c r="G16" i="70"/>
  <c r="G15" i="70"/>
  <c r="G19" i="70"/>
  <c r="G17" i="70"/>
  <c r="G18" i="70"/>
  <c r="G22" i="70"/>
  <c r="G25" i="70"/>
  <c r="G21" i="70"/>
  <c r="G23" i="70"/>
  <c r="G20" i="70"/>
  <c r="G27" i="70"/>
  <c r="G29" i="70"/>
  <c r="G26" i="70"/>
  <c r="G28" i="70"/>
  <c r="E33" i="67"/>
  <c r="E32" i="68"/>
  <c r="E33" i="96"/>
  <c r="F33" i="67"/>
  <c r="H28" i="70"/>
  <c r="E33" i="80"/>
  <c r="E34" i="81"/>
  <c r="E34" i="94"/>
  <c r="K2" i="85"/>
  <c r="G31" i="85"/>
  <c r="D33" i="85"/>
  <c r="D34" i="85" s="1"/>
  <c r="G9" i="85"/>
  <c r="G7" i="85"/>
  <c r="G8" i="85"/>
  <c r="G10" i="85"/>
  <c r="G12" i="85"/>
  <c r="G11" i="85"/>
  <c r="G13" i="85"/>
  <c r="G15" i="85"/>
  <c r="G16" i="85"/>
  <c r="G14" i="85"/>
  <c r="G18" i="85"/>
  <c r="G20" i="85"/>
  <c r="G19" i="85"/>
  <c r="G17" i="85"/>
  <c r="G22" i="85"/>
  <c r="G21" i="85"/>
  <c r="G29" i="85"/>
  <c r="F33" i="68"/>
  <c r="F33" i="94"/>
  <c r="E33" i="66"/>
  <c r="G30" i="85"/>
  <c r="E33" i="95"/>
  <c r="K3" i="70"/>
  <c r="H31" i="70"/>
  <c r="H7" i="70"/>
  <c r="H8" i="70"/>
  <c r="H10" i="70"/>
  <c r="H13" i="70"/>
  <c r="H9" i="70"/>
  <c r="H11" i="70"/>
  <c r="H16" i="70"/>
  <c r="H14" i="70"/>
  <c r="H12" i="70"/>
  <c r="H19" i="70"/>
  <c r="H17" i="70"/>
  <c r="H15" i="70"/>
  <c r="H20" i="70"/>
  <c r="H18" i="70"/>
  <c r="H23" i="70"/>
  <c r="H21" i="70"/>
  <c r="H24" i="70"/>
  <c r="H22" i="70"/>
  <c r="H29" i="70"/>
  <c r="H25" i="70"/>
  <c r="F33" i="66"/>
  <c r="E33" i="82"/>
  <c r="K3" i="85"/>
  <c r="H31" i="85"/>
  <c r="H7" i="85"/>
  <c r="H8" i="85"/>
  <c r="H9" i="85"/>
  <c r="H11" i="85"/>
  <c r="H10" i="85"/>
  <c r="H15" i="85"/>
  <c r="H13" i="85"/>
  <c r="H12" i="85"/>
  <c r="H14" i="85"/>
  <c r="H17" i="85"/>
  <c r="H19" i="85"/>
  <c r="H16" i="85"/>
  <c r="H18" i="85"/>
  <c r="H21" i="85"/>
  <c r="H20" i="85"/>
  <c r="H22" i="85"/>
  <c r="H27" i="85"/>
  <c r="H29" i="85"/>
  <c r="H25" i="85"/>
  <c r="H24" i="85"/>
  <c r="F32" i="96"/>
  <c r="F32" i="81"/>
  <c r="F34" i="95"/>
  <c r="F32" i="80"/>
  <c r="Q56" i="43"/>
  <c r="Q38" i="43"/>
  <c r="Q37" i="43"/>
  <c r="Q54" i="43"/>
  <c r="Q53" i="43"/>
  <c r="Q34" i="43"/>
  <c r="Q55" i="43"/>
  <c r="Q35" i="43"/>
  <c r="Q52" i="43"/>
  <c r="Q36" i="43"/>
  <c r="Q52" i="39"/>
  <c r="Q38" i="39"/>
  <c r="Q53" i="39"/>
  <c r="Q54" i="39"/>
  <c r="Q55" i="39"/>
  <c r="Q34" i="39"/>
  <c r="Q35" i="39"/>
  <c r="Q36" i="39"/>
  <c r="Q37" i="39"/>
  <c r="Q56" i="39"/>
  <c r="U110" i="57"/>
  <c r="U116" i="57"/>
  <c r="D117" i="57"/>
  <c r="M38" i="46"/>
  <c r="Q29" i="46"/>
  <c r="M8" i="38"/>
  <c r="Q27" i="38"/>
  <c r="M18" i="46"/>
  <c r="Q8" i="46"/>
  <c r="M17" i="46"/>
  <c r="Q7" i="46"/>
  <c r="M16" i="45"/>
  <c r="Q6" i="45"/>
  <c r="M9" i="38"/>
  <c r="Q28" i="38"/>
  <c r="M19" i="45"/>
  <c r="Q9" i="45"/>
  <c r="M18" i="43"/>
  <c r="Q8" i="43"/>
  <c r="L20" i="44"/>
  <c r="P10" i="44"/>
  <c r="M16" i="47"/>
  <c r="Q6" i="47"/>
  <c r="M17" i="43"/>
  <c r="Q7" i="43"/>
  <c r="M16" i="43"/>
  <c r="Q6" i="43"/>
  <c r="M10" i="38"/>
  <c r="Q29" i="38"/>
  <c r="M19" i="46"/>
  <c r="Q9" i="46"/>
  <c r="M56" i="46"/>
  <c r="Q47" i="46"/>
  <c r="L18" i="44"/>
  <c r="P8" i="44"/>
  <c r="M56" i="47"/>
  <c r="Q47" i="47"/>
  <c r="M8" i="39"/>
  <c r="Q27" i="39"/>
  <c r="M18" i="45"/>
  <c r="Q8" i="45"/>
  <c r="L19" i="44"/>
  <c r="P9" i="44"/>
  <c r="M20" i="43"/>
  <c r="Q10" i="43"/>
  <c r="L16" i="44"/>
  <c r="P6" i="44"/>
  <c r="M18" i="47"/>
  <c r="Q8" i="47"/>
  <c r="M19" i="43"/>
  <c r="Q9" i="43"/>
  <c r="M17" i="45"/>
  <c r="Q7" i="45"/>
  <c r="L17" i="44"/>
  <c r="P7" i="44"/>
  <c r="M9" i="39"/>
  <c r="Q28" i="39"/>
  <c r="M19" i="47"/>
  <c r="Q9" i="47"/>
  <c r="M16" i="46"/>
  <c r="Q6" i="46"/>
  <c r="M17" i="47"/>
  <c r="Q7" i="47"/>
  <c r="M18" i="32"/>
  <c r="R8" i="32"/>
  <c r="M16" i="32"/>
  <c r="R6" i="32"/>
  <c r="M19" i="32"/>
  <c r="R9" i="32"/>
  <c r="M20" i="32"/>
  <c r="R10" i="32"/>
  <c r="M17" i="32"/>
  <c r="R7" i="32"/>
  <c r="M7" i="39"/>
  <c r="M10" i="39"/>
  <c r="M7" i="38"/>
  <c r="M6" i="38"/>
  <c r="M6" i="37"/>
  <c r="M7" i="37"/>
  <c r="M6" i="39"/>
  <c r="M9" i="37"/>
  <c r="M8" i="37"/>
  <c r="M10" i="37"/>
  <c r="M10" i="46"/>
  <c r="L10" i="36"/>
  <c r="P10" i="36" s="1"/>
  <c r="M10" i="45"/>
  <c r="M56" i="45"/>
  <c r="L6" i="36"/>
  <c r="P6" i="36" s="1"/>
  <c r="L7" i="36"/>
  <c r="P7" i="36" s="1"/>
  <c r="L8" i="36"/>
  <c r="P8" i="36" s="1"/>
  <c r="M10" i="47"/>
  <c r="M38" i="47"/>
  <c r="L9" i="36"/>
  <c r="P9" i="36" s="1"/>
  <c r="P25" i="47"/>
  <c r="P29" i="47"/>
  <c r="P44" i="47"/>
  <c r="P26" i="47"/>
  <c r="P45" i="47"/>
  <c r="P27" i="47"/>
  <c r="P46" i="47"/>
  <c r="P28" i="47"/>
  <c r="P43" i="47"/>
  <c r="P47" i="47"/>
  <c r="A68" i="15"/>
  <c r="B68" i="15"/>
  <c r="B63" i="15"/>
  <c r="Q38" i="47" l="1"/>
  <c r="R19" i="32"/>
  <c r="X19" i="32"/>
  <c r="Q56" i="46"/>
  <c r="P20" i="44"/>
  <c r="Q18" i="46"/>
  <c r="P17" i="44"/>
  <c r="R16" i="32"/>
  <c r="X16" i="32"/>
  <c r="Q19" i="46"/>
  <c r="R18" i="32"/>
  <c r="X18" i="32"/>
  <c r="Q19" i="45"/>
  <c r="Q17" i="45"/>
  <c r="Q38" i="46"/>
  <c r="P19" i="44"/>
  <c r="Q56" i="45"/>
  <c r="R17" i="32"/>
  <c r="X17" i="32"/>
  <c r="Q16" i="46"/>
  <c r="Q18" i="47"/>
  <c r="Q56" i="47"/>
  <c r="Q16" i="45"/>
  <c r="Q18" i="45"/>
  <c r="Q17" i="47"/>
  <c r="R20" i="32"/>
  <c r="X20" i="32"/>
  <c r="Q19" i="47"/>
  <c r="P16" i="44"/>
  <c r="P18" i="44"/>
  <c r="Q16" i="47"/>
  <c r="Q17" i="46"/>
  <c r="F34" i="68"/>
  <c r="E34" i="96"/>
  <c r="F33" i="96"/>
  <c r="E33" i="68"/>
  <c r="F33" i="81"/>
  <c r="E34" i="82"/>
  <c r="F34" i="94"/>
  <c r="E35" i="81"/>
  <c r="E34" i="67"/>
  <c r="F34" i="66"/>
  <c r="E34" i="80"/>
  <c r="F34" i="67"/>
  <c r="F33" i="80"/>
  <c r="E35" i="94"/>
  <c r="F35" i="95"/>
  <c r="E34" i="95"/>
  <c r="E34" i="66"/>
  <c r="Q18" i="43"/>
  <c r="Q19" i="43"/>
  <c r="Q16" i="43"/>
  <c r="Q17" i="43"/>
  <c r="Q20" i="43"/>
  <c r="U117" i="57"/>
  <c r="D128" i="57"/>
  <c r="D136" i="57" s="1"/>
  <c r="U136" i="57" s="1"/>
  <c r="M16" i="39"/>
  <c r="Q6" i="39"/>
  <c r="M17" i="37"/>
  <c r="Q7" i="37"/>
  <c r="M20" i="45"/>
  <c r="Q10" i="45"/>
  <c r="M16" i="37"/>
  <c r="Q6" i="37"/>
  <c r="M18" i="39"/>
  <c r="Q8" i="39"/>
  <c r="M16" i="38"/>
  <c r="Q6" i="38"/>
  <c r="M20" i="38"/>
  <c r="Q10" i="38"/>
  <c r="M19" i="38"/>
  <c r="Q9" i="38"/>
  <c r="M18" i="38"/>
  <c r="Q8" i="38"/>
  <c r="M17" i="38"/>
  <c r="Q7" i="38"/>
  <c r="M20" i="47"/>
  <c r="Q10" i="47"/>
  <c r="M20" i="37"/>
  <c r="Q10" i="37"/>
  <c r="M20" i="39"/>
  <c r="Q10" i="39"/>
  <c r="M19" i="39"/>
  <c r="Q9" i="39"/>
  <c r="M19" i="37"/>
  <c r="Q9" i="37"/>
  <c r="M20" i="46"/>
  <c r="Q10" i="46"/>
  <c r="M18" i="37"/>
  <c r="Q8" i="37"/>
  <c r="M17" i="39"/>
  <c r="Q7" i="39"/>
  <c r="L17" i="36"/>
  <c r="L20" i="36"/>
  <c r="L16" i="36"/>
  <c r="L19" i="36"/>
  <c r="L18" i="36"/>
  <c r="P17" i="36" l="1"/>
  <c r="Q18" i="37"/>
  <c r="Q20" i="47"/>
  <c r="P18" i="36"/>
  <c r="Q19" i="37"/>
  <c r="Q20" i="45"/>
  <c r="P16" i="36"/>
  <c r="Q17" i="37"/>
  <c r="Q20" i="37"/>
  <c r="P19" i="36"/>
  <c r="P20" i="36"/>
  <c r="Q20" i="46"/>
  <c r="Q16" i="37"/>
  <c r="F36" i="95"/>
  <c r="F34" i="96"/>
  <c r="E35" i="95"/>
  <c r="E35" i="80"/>
  <c r="E35" i="67"/>
  <c r="E35" i="82"/>
  <c r="F35" i="67"/>
  <c r="F35" i="66"/>
  <c r="F35" i="94"/>
  <c r="E34" i="68"/>
  <c r="E35" i="66"/>
  <c r="E36" i="94"/>
  <c r="F34" i="81"/>
  <c r="E35" i="96"/>
  <c r="F34" i="80"/>
  <c r="E36" i="81"/>
  <c r="F35" i="68"/>
  <c r="Q17" i="39"/>
  <c r="Q18" i="39"/>
  <c r="Q19" i="39"/>
  <c r="Q20" i="39"/>
  <c r="Q16" i="39"/>
  <c r="G18" i="47"/>
  <c r="B18" i="47"/>
  <c r="F18" i="47" s="1"/>
  <c r="B17" i="47"/>
  <c r="F17" i="47" s="1"/>
  <c r="B16" i="47"/>
  <c r="F16" i="47" s="1"/>
  <c r="G15" i="47"/>
  <c r="B15" i="47"/>
  <c r="F15" i="47" s="1"/>
  <c r="G14" i="47"/>
  <c r="B14" i="47"/>
  <c r="F14" i="47" s="1"/>
  <c r="G13" i="47"/>
  <c r="B13" i="47"/>
  <c r="F13" i="47" s="1"/>
  <c r="G11" i="47"/>
  <c r="B11" i="47"/>
  <c r="F11" i="47" s="1"/>
  <c r="P10" i="47"/>
  <c r="G10" i="47"/>
  <c r="B10" i="47"/>
  <c r="F10" i="47" s="1"/>
  <c r="P9" i="47"/>
  <c r="G9" i="47"/>
  <c r="B9" i="47"/>
  <c r="F9" i="47" s="1"/>
  <c r="P8" i="47"/>
  <c r="G8" i="47"/>
  <c r="B8" i="47"/>
  <c r="F8" i="47" s="1"/>
  <c r="P7" i="47"/>
  <c r="G7" i="47"/>
  <c r="B7" i="47"/>
  <c r="F7" i="47" s="1"/>
  <c r="P6" i="47"/>
  <c r="G6" i="47"/>
  <c r="B6" i="47"/>
  <c r="F6" i="47" s="1"/>
  <c r="G5" i="47"/>
  <c r="F5" i="47"/>
  <c r="C5" i="47"/>
  <c r="C6" i="47" s="1"/>
  <c r="G18" i="46"/>
  <c r="B18" i="46"/>
  <c r="F18" i="46" s="1"/>
  <c r="B17" i="46"/>
  <c r="F17" i="46" s="1"/>
  <c r="B16" i="46"/>
  <c r="F16" i="46" s="1"/>
  <c r="G15" i="46"/>
  <c r="B15" i="46"/>
  <c r="F15" i="46" s="1"/>
  <c r="G14" i="46"/>
  <c r="B14" i="46"/>
  <c r="F14" i="46" s="1"/>
  <c r="G13" i="46"/>
  <c r="B13" i="46"/>
  <c r="F13" i="46" s="1"/>
  <c r="G11" i="46"/>
  <c r="B11" i="46"/>
  <c r="F11" i="46" s="1"/>
  <c r="G10" i="46"/>
  <c r="B10" i="46"/>
  <c r="F10" i="46" s="1"/>
  <c r="G9" i="46"/>
  <c r="B9" i="46"/>
  <c r="F9" i="46" s="1"/>
  <c r="G8" i="46"/>
  <c r="B8" i="46"/>
  <c r="F8" i="46" s="1"/>
  <c r="G7" i="46"/>
  <c r="B7" i="46"/>
  <c r="F7" i="46" s="1"/>
  <c r="G6" i="46"/>
  <c r="B6" i="46"/>
  <c r="F6" i="46" s="1"/>
  <c r="G5" i="46"/>
  <c r="F5" i="46"/>
  <c r="C5" i="46"/>
  <c r="E5" i="46" s="1"/>
  <c r="G18" i="45"/>
  <c r="B18" i="45"/>
  <c r="F18" i="45" s="1"/>
  <c r="B17" i="45"/>
  <c r="F17" i="45" s="1"/>
  <c r="B16" i="45"/>
  <c r="F16" i="45" s="1"/>
  <c r="B15" i="45"/>
  <c r="F15" i="45" s="1"/>
  <c r="B14" i="45"/>
  <c r="F14" i="45" s="1"/>
  <c r="B13" i="45"/>
  <c r="F13" i="45" s="1"/>
  <c r="B11" i="45"/>
  <c r="F11" i="45" s="1"/>
  <c r="B10" i="45"/>
  <c r="F10" i="45" s="1"/>
  <c r="B9" i="45"/>
  <c r="F9" i="45" s="1"/>
  <c r="G8" i="45"/>
  <c r="B8" i="45"/>
  <c r="F8" i="45" s="1"/>
  <c r="B7" i="45"/>
  <c r="F7" i="45" s="1"/>
  <c r="B6" i="45"/>
  <c r="F6" i="45" s="1"/>
  <c r="G5" i="45"/>
  <c r="F5" i="45"/>
  <c r="C5" i="45"/>
  <c r="F18" i="44"/>
  <c r="B18" i="44"/>
  <c r="B17" i="44"/>
  <c r="B16" i="44"/>
  <c r="F15" i="44"/>
  <c r="B15" i="44"/>
  <c r="F14" i="44"/>
  <c r="B14" i="44"/>
  <c r="F13" i="44"/>
  <c r="B13" i="44"/>
  <c r="F11" i="44"/>
  <c r="B11" i="44"/>
  <c r="F10" i="44"/>
  <c r="B10" i="44"/>
  <c r="F9" i="44"/>
  <c r="B9" i="44"/>
  <c r="F8" i="44"/>
  <c r="B8" i="44"/>
  <c r="F7" i="44"/>
  <c r="B7" i="44"/>
  <c r="F6" i="44"/>
  <c r="B6" i="44"/>
  <c r="F5" i="44"/>
  <c r="C5" i="44"/>
  <c r="D5" i="44" s="1"/>
  <c r="G18" i="43"/>
  <c r="B18" i="43"/>
  <c r="B17" i="43"/>
  <c r="B16" i="43"/>
  <c r="G15" i="43"/>
  <c r="B15" i="43"/>
  <c r="G14" i="43"/>
  <c r="B14" i="43"/>
  <c r="G13" i="43"/>
  <c r="C13" i="43"/>
  <c r="E13" i="43" s="1"/>
  <c r="B13" i="43"/>
  <c r="G11" i="43"/>
  <c r="E11" i="43"/>
  <c r="B11" i="43"/>
  <c r="G10" i="43"/>
  <c r="E10" i="43"/>
  <c r="B10" i="43"/>
  <c r="G9" i="43"/>
  <c r="E9" i="43"/>
  <c r="B9" i="43"/>
  <c r="G8" i="43"/>
  <c r="E8" i="43"/>
  <c r="B8" i="43"/>
  <c r="G7" i="43"/>
  <c r="E7" i="43"/>
  <c r="B7" i="43"/>
  <c r="G6" i="43"/>
  <c r="E6" i="43"/>
  <c r="B6" i="43"/>
  <c r="G5" i="43"/>
  <c r="E5" i="43"/>
  <c r="F5" i="43" s="1"/>
  <c r="G18" i="39"/>
  <c r="B18" i="39"/>
  <c r="B17" i="39"/>
  <c r="B16" i="39"/>
  <c r="G15" i="39"/>
  <c r="B15" i="39"/>
  <c r="G14" i="39"/>
  <c r="B14" i="39"/>
  <c r="G13" i="39"/>
  <c r="B13" i="39"/>
  <c r="G11" i="39"/>
  <c r="B11" i="39"/>
  <c r="G10" i="39"/>
  <c r="B10" i="39"/>
  <c r="G9" i="39"/>
  <c r="B9" i="39"/>
  <c r="G8" i="39"/>
  <c r="B8" i="39"/>
  <c r="G7" i="39"/>
  <c r="B7" i="39"/>
  <c r="G6" i="39"/>
  <c r="B6" i="39"/>
  <c r="G5" i="39"/>
  <c r="C5" i="39"/>
  <c r="C6" i="39" s="1"/>
  <c r="G18" i="38"/>
  <c r="B18" i="38"/>
  <c r="F18" i="38" s="1"/>
  <c r="B17" i="38"/>
  <c r="F17" i="38" s="1"/>
  <c r="B16" i="38"/>
  <c r="F16" i="38" s="1"/>
  <c r="B15" i="38"/>
  <c r="F15" i="38" s="1"/>
  <c r="G14" i="38"/>
  <c r="B14" i="38"/>
  <c r="F14" i="38" s="1"/>
  <c r="G13" i="38"/>
  <c r="B13" i="38"/>
  <c r="F13" i="38" s="1"/>
  <c r="G11" i="38"/>
  <c r="B11" i="38"/>
  <c r="F11" i="38" s="1"/>
  <c r="G10" i="38"/>
  <c r="B10" i="38"/>
  <c r="F10" i="38" s="1"/>
  <c r="G9" i="38"/>
  <c r="B9" i="38"/>
  <c r="F9" i="38" s="1"/>
  <c r="G8" i="38"/>
  <c r="B8" i="38"/>
  <c r="F8" i="38" s="1"/>
  <c r="G7" i="38"/>
  <c r="B7" i="38"/>
  <c r="F7" i="38" s="1"/>
  <c r="G6" i="38"/>
  <c r="B6" i="38"/>
  <c r="F6" i="38" s="1"/>
  <c r="G5" i="38"/>
  <c r="F5" i="38"/>
  <c r="C5" i="38"/>
  <c r="G18" i="37"/>
  <c r="B18" i="37"/>
  <c r="F18" i="37" s="1"/>
  <c r="B17" i="37"/>
  <c r="F17" i="37" s="1"/>
  <c r="B16" i="37"/>
  <c r="F16" i="37" s="1"/>
  <c r="G15" i="37"/>
  <c r="B15" i="37"/>
  <c r="F15" i="37" s="1"/>
  <c r="G14" i="37"/>
  <c r="B14" i="37"/>
  <c r="F14" i="37" s="1"/>
  <c r="G13" i="37"/>
  <c r="B13" i="37"/>
  <c r="F13" i="37" s="1"/>
  <c r="G11" i="37"/>
  <c r="B11" i="37"/>
  <c r="F11" i="37" s="1"/>
  <c r="G10" i="37"/>
  <c r="B10" i="37"/>
  <c r="F10" i="37" s="1"/>
  <c r="G9" i="37"/>
  <c r="B9" i="37"/>
  <c r="F9" i="37" s="1"/>
  <c r="G8" i="37"/>
  <c r="B8" i="37"/>
  <c r="F8" i="37" s="1"/>
  <c r="G7" i="37"/>
  <c r="B7" i="37"/>
  <c r="F7" i="37" s="1"/>
  <c r="G6" i="37"/>
  <c r="B6" i="37"/>
  <c r="F6" i="37" s="1"/>
  <c r="G5" i="37"/>
  <c r="F5" i="37"/>
  <c r="C5" i="37"/>
  <c r="E5" i="37" s="1"/>
  <c r="F18" i="36"/>
  <c r="B18" i="36"/>
  <c r="B17" i="36"/>
  <c r="B16" i="36"/>
  <c r="F15" i="36"/>
  <c r="B15" i="36"/>
  <c r="F14" i="36"/>
  <c r="B14" i="36"/>
  <c r="F13" i="36"/>
  <c r="B13" i="36"/>
  <c r="F11" i="36"/>
  <c r="B11" i="36"/>
  <c r="F10" i="36"/>
  <c r="B10" i="36"/>
  <c r="F9" i="36"/>
  <c r="B9" i="36"/>
  <c r="F8" i="36"/>
  <c r="B8" i="36"/>
  <c r="F7" i="36"/>
  <c r="B7" i="36"/>
  <c r="F6" i="36"/>
  <c r="B6" i="36"/>
  <c r="F5" i="36"/>
  <c r="C5" i="36"/>
  <c r="C6" i="36" s="1"/>
  <c r="G18" i="32"/>
  <c r="B18" i="32"/>
  <c r="F18" i="32" s="1"/>
  <c r="B17" i="32"/>
  <c r="F17" i="32" s="1"/>
  <c r="P16" i="32"/>
  <c r="B16" i="32"/>
  <c r="F16" i="32" s="1"/>
  <c r="G15" i="32"/>
  <c r="B15" i="32"/>
  <c r="F15" i="32" s="1"/>
  <c r="G14" i="32"/>
  <c r="B14" i="32"/>
  <c r="F14" i="32" s="1"/>
  <c r="G13" i="32"/>
  <c r="B13" i="32"/>
  <c r="F13" i="32" s="1"/>
  <c r="G11" i="32"/>
  <c r="B11" i="32"/>
  <c r="F11" i="32" s="1"/>
  <c r="P10" i="32"/>
  <c r="G10" i="32"/>
  <c r="B10" i="32"/>
  <c r="F10" i="32" s="1"/>
  <c r="G9" i="32"/>
  <c r="B9" i="32"/>
  <c r="F9" i="32" s="1"/>
  <c r="G8" i="32"/>
  <c r="B8" i="32"/>
  <c r="F8" i="32" s="1"/>
  <c r="G7" i="32"/>
  <c r="B7" i="32"/>
  <c r="F7" i="32" s="1"/>
  <c r="P6" i="32"/>
  <c r="G6" i="32"/>
  <c r="C6" i="32"/>
  <c r="C7" i="32" s="1"/>
  <c r="B6" i="32"/>
  <c r="F6" i="32" s="1"/>
  <c r="G5" i="32"/>
  <c r="F5" i="32"/>
  <c r="E5" i="32"/>
  <c r="L20" i="31"/>
  <c r="L19" i="31"/>
  <c r="L18" i="31"/>
  <c r="F18" i="31"/>
  <c r="B18" i="31"/>
  <c r="L17" i="31"/>
  <c r="B17" i="31"/>
  <c r="L16" i="31"/>
  <c r="B16" i="31"/>
  <c r="F15" i="31"/>
  <c r="B15" i="31"/>
  <c r="F14" i="31"/>
  <c r="B14" i="31"/>
  <c r="F13" i="31"/>
  <c r="B13" i="31"/>
  <c r="F11" i="31"/>
  <c r="B11" i="31"/>
  <c r="L10" i="31"/>
  <c r="P10" i="31" s="1"/>
  <c r="F10" i="31"/>
  <c r="B10" i="31"/>
  <c r="L9" i="31"/>
  <c r="P9" i="31" s="1"/>
  <c r="F9" i="31"/>
  <c r="B9" i="31"/>
  <c r="L8" i="31"/>
  <c r="P8" i="31" s="1"/>
  <c r="F8" i="31"/>
  <c r="B8" i="31"/>
  <c r="L7" i="31"/>
  <c r="P7" i="31" s="1"/>
  <c r="F7" i="31"/>
  <c r="B7" i="31"/>
  <c r="L6" i="31"/>
  <c r="P6" i="31" s="1"/>
  <c r="F6" i="31"/>
  <c r="B6" i="31"/>
  <c r="F5" i="31"/>
  <c r="C5" i="31"/>
  <c r="C6" i="31" s="1"/>
  <c r="C7" i="31" s="1"/>
  <c r="D32" i="13"/>
  <c r="A30" i="11"/>
  <c r="A46" i="30"/>
  <c r="A47" i="30"/>
  <c r="A48" i="30"/>
  <c r="A49" i="30"/>
  <c r="A50" i="30"/>
  <c r="A51" i="30"/>
  <c r="A52" i="30"/>
  <c r="A53" i="30"/>
  <c r="A54" i="30"/>
  <c r="A55" i="30"/>
  <c r="A56" i="30"/>
  <c r="A57" i="30"/>
  <c r="A58" i="30"/>
  <c r="A59" i="30"/>
  <c r="A60" i="30"/>
  <c r="A61" i="30"/>
  <c r="A62" i="30"/>
  <c r="A63" i="30"/>
  <c r="A45" i="30"/>
  <c r="P16" i="31" l="1"/>
  <c r="P18" i="31"/>
  <c r="P19" i="31"/>
  <c r="P17" i="31"/>
  <c r="P20" i="31"/>
  <c r="E37" i="81"/>
  <c r="E36" i="95"/>
  <c r="F37" i="95"/>
  <c r="F36" i="94"/>
  <c r="F36" i="67"/>
  <c r="E36" i="67"/>
  <c r="E36" i="96"/>
  <c r="E37" i="94"/>
  <c r="F36" i="68"/>
  <c r="E35" i="68"/>
  <c r="F35" i="80"/>
  <c r="F36" i="66"/>
  <c r="E36" i="80"/>
  <c r="F35" i="81"/>
  <c r="F35" i="96"/>
  <c r="E36" i="66"/>
  <c r="E36" i="82"/>
  <c r="F7" i="43"/>
  <c r="F10" i="43"/>
  <c r="F9" i="43"/>
  <c r="C6" i="46"/>
  <c r="E6" i="46" s="1"/>
  <c r="C6" i="44"/>
  <c r="C7" i="44" s="1"/>
  <c r="F8" i="43"/>
  <c r="F13" i="43"/>
  <c r="F6" i="43"/>
  <c r="E5" i="39"/>
  <c r="F5" i="39" s="1"/>
  <c r="C6" i="37"/>
  <c r="E6" i="32"/>
  <c r="D6" i="36"/>
  <c r="E6" i="36" s="1"/>
  <c r="C7" i="36"/>
  <c r="D5" i="36"/>
  <c r="C7" i="46"/>
  <c r="E5" i="47"/>
  <c r="E7" i="32"/>
  <c r="C8" i="32"/>
  <c r="D7" i="31"/>
  <c r="E7" i="31" s="1"/>
  <c r="C8" i="31"/>
  <c r="C14" i="43"/>
  <c r="D5" i="31"/>
  <c r="E6" i="39"/>
  <c r="F6" i="39" s="1"/>
  <c r="C7" i="39"/>
  <c r="D6" i="31"/>
  <c r="E6" i="31" s="1"/>
  <c r="C7" i="37"/>
  <c r="E6" i="37"/>
  <c r="E5" i="45"/>
  <c r="C6" i="45"/>
  <c r="E5" i="38"/>
  <c r="C6" i="38"/>
  <c r="F11" i="43"/>
  <c r="E6" i="47"/>
  <c r="C7" i="47"/>
  <c r="E5" i="44"/>
  <c r="A29" i="11"/>
  <c r="F36" i="80" l="1"/>
  <c r="E37" i="67"/>
  <c r="F36" i="96"/>
  <c r="E36" i="68"/>
  <c r="E37" i="96"/>
  <c r="F37" i="94"/>
  <c r="E37" i="95"/>
  <c r="E37" i="82"/>
  <c r="F37" i="67"/>
  <c r="F37" i="66"/>
  <c r="E38" i="94"/>
  <c r="F38" i="95"/>
  <c r="E37" i="80"/>
  <c r="F37" i="68"/>
  <c r="E38" i="81"/>
  <c r="E37" i="66"/>
  <c r="F36" i="81"/>
  <c r="D6" i="44"/>
  <c r="E6" i="44" s="1"/>
  <c r="E5" i="36"/>
  <c r="D7" i="36"/>
  <c r="E7" i="36" s="1"/>
  <c r="C8" i="36"/>
  <c r="C8" i="46"/>
  <c r="E7" i="46"/>
  <c r="C8" i="47"/>
  <c r="E7" i="47"/>
  <c r="C8" i="44"/>
  <c r="D7" i="44"/>
  <c r="E7" i="44" s="1"/>
  <c r="E5" i="31"/>
  <c r="E6" i="45"/>
  <c r="C7" i="45"/>
  <c r="E8" i="32"/>
  <c r="C9" i="32"/>
  <c r="C8" i="37"/>
  <c r="E7" i="37"/>
  <c r="C15" i="43"/>
  <c r="E14" i="43"/>
  <c r="F14" i="43" s="1"/>
  <c r="C7" i="38"/>
  <c r="E6" i="38"/>
  <c r="E7" i="39"/>
  <c r="F7" i="39" s="1"/>
  <c r="C8" i="39"/>
  <c r="C9" i="31"/>
  <c r="D8" i="31"/>
  <c r="E39" i="81" l="1"/>
  <c r="E38" i="66"/>
  <c r="E38" i="80"/>
  <c r="F38" i="66"/>
  <c r="F37" i="96"/>
  <c r="F38" i="67"/>
  <c r="F37" i="80"/>
  <c r="E39" i="94"/>
  <c r="E38" i="82"/>
  <c r="F38" i="94"/>
  <c r="E38" i="96"/>
  <c r="E38" i="67"/>
  <c r="E37" i="68"/>
  <c r="F38" i="68"/>
  <c r="F37" i="81"/>
  <c r="F39" i="95"/>
  <c r="E38" i="95"/>
  <c r="D8" i="36"/>
  <c r="C9" i="36"/>
  <c r="E8" i="46"/>
  <c r="C9" i="46"/>
  <c r="E8" i="31"/>
  <c r="C8" i="38"/>
  <c r="E7" i="38"/>
  <c r="C9" i="37"/>
  <c r="E8" i="37"/>
  <c r="C8" i="45"/>
  <c r="E7" i="45"/>
  <c r="E8" i="39"/>
  <c r="C9" i="39"/>
  <c r="E9" i="32"/>
  <c r="C10" i="32"/>
  <c r="E15" i="43"/>
  <c r="F15" i="43" s="1"/>
  <c r="C16" i="43"/>
  <c r="D9" i="31"/>
  <c r="E9" i="31" s="1"/>
  <c r="C10" i="31"/>
  <c r="C9" i="44"/>
  <c r="D8" i="44"/>
  <c r="E8" i="47"/>
  <c r="C9" i="47"/>
  <c r="D34" i="27"/>
  <c r="E34" i="27"/>
  <c r="F39" i="94" l="1"/>
  <c r="F38" i="96"/>
  <c r="E39" i="66"/>
  <c r="E39" i="82"/>
  <c r="E38" i="68"/>
  <c r="E39" i="95"/>
  <c r="F38" i="81"/>
  <c r="E39" i="67"/>
  <c r="E40" i="94"/>
  <c r="E39" i="80"/>
  <c r="F39" i="67"/>
  <c r="F40" i="95"/>
  <c r="F39" i="68"/>
  <c r="F38" i="80"/>
  <c r="E39" i="96"/>
  <c r="F39" i="66"/>
  <c r="E40" i="81"/>
  <c r="D9" i="36"/>
  <c r="E9" i="36" s="1"/>
  <c r="C10" i="36"/>
  <c r="E8" i="36"/>
  <c r="E9" i="46"/>
  <c r="C10" i="46"/>
  <c r="C17" i="43"/>
  <c r="E16" i="43"/>
  <c r="F16" i="43" s="1"/>
  <c r="C10" i="37"/>
  <c r="E9" i="37"/>
  <c r="C10" i="39"/>
  <c r="E9" i="39"/>
  <c r="F9" i="39" s="1"/>
  <c r="F8" i="39"/>
  <c r="E8" i="38"/>
  <c r="C9" i="38"/>
  <c r="D10" i="31"/>
  <c r="E10" i="31" s="1"/>
  <c r="C11" i="31"/>
  <c r="D9" i="44"/>
  <c r="E9" i="44" s="1"/>
  <c r="C10" i="44"/>
  <c r="C9" i="45"/>
  <c r="E8" i="45"/>
  <c r="E9" i="47"/>
  <c r="C10" i="47"/>
  <c r="E8" i="44"/>
  <c r="E10" i="32"/>
  <c r="C11" i="32"/>
  <c r="CJ43" i="24"/>
  <c r="CK43" i="24"/>
  <c r="CL43" i="24"/>
  <c r="CM43" i="24"/>
  <c r="CN43" i="24"/>
  <c r="CO43" i="24"/>
  <c r="CP43" i="24"/>
  <c r="CQ43" i="24"/>
  <c r="CR43" i="24"/>
  <c r="CS43" i="24"/>
  <c r="CT43" i="24"/>
  <c r="CU43" i="24"/>
  <c r="CV43" i="24"/>
  <c r="CX43" i="24"/>
  <c r="CY43" i="24"/>
  <c r="CZ43" i="24"/>
  <c r="DA43" i="24"/>
  <c r="DB43" i="24"/>
  <c r="DC43" i="24"/>
  <c r="DD43" i="24"/>
  <c r="DE43" i="24"/>
  <c r="DF43" i="24"/>
  <c r="CJ26" i="24"/>
  <c r="CK26" i="24"/>
  <c r="CL26" i="24"/>
  <c r="CM26" i="24"/>
  <c r="CN26" i="24"/>
  <c r="CO26" i="24"/>
  <c r="CP26" i="24"/>
  <c r="CQ26" i="24"/>
  <c r="CR26" i="24"/>
  <c r="CS26" i="24"/>
  <c r="CT26" i="24"/>
  <c r="CU26" i="24"/>
  <c r="CV26" i="24"/>
  <c r="CX26" i="24"/>
  <c r="CY26" i="24"/>
  <c r="CZ26" i="24"/>
  <c r="DA26" i="24"/>
  <c r="DB26" i="24"/>
  <c r="DC26" i="24"/>
  <c r="DD26" i="24"/>
  <c r="DE26" i="24"/>
  <c r="DF26" i="24"/>
  <c r="CJ27" i="24"/>
  <c r="CK27" i="24"/>
  <c r="CL27" i="24"/>
  <c r="CM27" i="24"/>
  <c r="CN27" i="24"/>
  <c r="CO27" i="24"/>
  <c r="CP27" i="24"/>
  <c r="CQ27" i="24"/>
  <c r="CR27" i="24"/>
  <c r="CS27" i="24"/>
  <c r="CT27" i="24"/>
  <c r="CU27" i="24"/>
  <c r="CV27" i="24"/>
  <c r="CX27" i="24"/>
  <c r="CY27" i="24"/>
  <c r="CZ27" i="24"/>
  <c r="DA27" i="24"/>
  <c r="DB27" i="24"/>
  <c r="DC27" i="24"/>
  <c r="DD27" i="24"/>
  <c r="DE27" i="24"/>
  <c r="DF27" i="24"/>
  <c r="CJ28" i="24"/>
  <c r="CK28" i="24"/>
  <c r="CL28" i="24"/>
  <c r="CM28" i="24"/>
  <c r="CN28" i="24"/>
  <c r="CO28" i="24"/>
  <c r="CP28" i="24"/>
  <c r="CQ28" i="24"/>
  <c r="CR28" i="24"/>
  <c r="CS28" i="24"/>
  <c r="CT28" i="24"/>
  <c r="CU28" i="24"/>
  <c r="CV28" i="24"/>
  <c r="CX28" i="24"/>
  <c r="CY28" i="24"/>
  <c r="CZ28" i="24"/>
  <c r="DA28" i="24"/>
  <c r="DB28" i="24"/>
  <c r="DC28" i="24"/>
  <c r="DD28" i="24"/>
  <c r="DE28" i="24"/>
  <c r="DF28" i="24"/>
  <c r="CJ29" i="24"/>
  <c r="CK29" i="24"/>
  <c r="CL29" i="24"/>
  <c r="CM29" i="24"/>
  <c r="CN29" i="24"/>
  <c r="CO29" i="24"/>
  <c r="CP29" i="24"/>
  <c r="CQ29" i="24"/>
  <c r="CR29" i="24"/>
  <c r="CS29" i="24"/>
  <c r="CT29" i="24"/>
  <c r="CU29" i="24"/>
  <c r="CV29" i="24"/>
  <c r="CX29" i="24"/>
  <c r="CY29" i="24"/>
  <c r="CZ29" i="24"/>
  <c r="DA29" i="24"/>
  <c r="DB29" i="24"/>
  <c r="DC29" i="24"/>
  <c r="DD29" i="24"/>
  <c r="DE29" i="24"/>
  <c r="DF29" i="24"/>
  <c r="CJ30" i="24"/>
  <c r="CK30" i="24"/>
  <c r="CL30" i="24"/>
  <c r="CM30" i="24"/>
  <c r="CN30" i="24"/>
  <c r="CO30" i="24"/>
  <c r="CP30" i="24"/>
  <c r="CQ30" i="24"/>
  <c r="CR30" i="24"/>
  <c r="CS30" i="24"/>
  <c r="CT30" i="24"/>
  <c r="CU30" i="24"/>
  <c r="CV30" i="24"/>
  <c r="CX30" i="24"/>
  <c r="CY30" i="24"/>
  <c r="CZ30" i="24"/>
  <c r="DA30" i="24"/>
  <c r="DB30" i="24"/>
  <c r="DC30" i="24"/>
  <c r="DD30" i="24"/>
  <c r="DE30" i="24"/>
  <c r="DF30" i="24"/>
  <c r="CJ31" i="24"/>
  <c r="CK31" i="24"/>
  <c r="CL31" i="24"/>
  <c r="CM31" i="24"/>
  <c r="CN31" i="24"/>
  <c r="CO31" i="24"/>
  <c r="CP31" i="24"/>
  <c r="CQ31" i="24"/>
  <c r="CR31" i="24"/>
  <c r="CS31" i="24"/>
  <c r="CT31" i="24"/>
  <c r="CU31" i="24"/>
  <c r="CV31" i="24"/>
  <c r="CX31" i="24"/>
  <c r="CY31" i="24"/>
  <c r="CZ31" i="24"/>
  <c r="DA31" i="24"/>
  <c r="DB31" i="24"/>
  <c r="DC31" i="24"/>
  <c r="DD31" i="24"/>
  <c r="DE31" i="24"/>
  <c r="DF31" i="24"/>
  <c r="CJ32" i="24"/>
  <c r="CK32" i="24"/>
  <c r="CL32" i="24"/>
  <c r="CM32" i="24"/>
  <c r="CN32" i="24"/>
  <c r="CO32" i="24"/>
  <c r="CP32" i="24"/>
  <c r="CQ32" i="24"/>
  <c r="CR32" i="24"/>
  <c r="CS32" i="24"/>
  <c r="CT32" i="24"/>
  <c r="CU32" i="24"/>
  <c r="CV32" i="24"/>
  <c r="CX32" i="24"/>
  <c r="CY32" i="24"/>
  <c r="CZ32" i="24"/>
  <c r="DA32" i="24"/>
  <c r="DB32" i="24"/>
  <c r="DC32" i="24"/>
  <c r="DD32" i="24"/>
  <c r="DE32" i="24"/>
  <c r="DF32" i="24"/>
  <c r="CJ33" i="24"/>
  <c r="CK33" i="24"/>
  <c r="CL33" i="24"/>
  <c r="CM33" i="24"/>
  <c r="CN33" i="24"/>
  <c r="CO33" i="24"/>
  <c r="CP33" i="24"/>
  <c r="CQ33" i="24"/>
  <c r="CR33" i="24"/>
  <c r="CS33" i="24"/>
  <c r="CT33" i="24"/>
  <c r="CU33" i="24"/>
  <c r="CV33" i="24"/>
  <c r="CX33" i="24"/>
  <c r="CY33" i="24"/>
  <c r="CZ33" i="24"/>
  <c r="DA33" i="24"/>
  <c r="DB33" i="24"/>
  <c r="DC33" i="24"/>
  <c r="DD33" i="24"/>
  <c r="DE33" i="24"/>
  <c r="DF33" i="24"/>
  <c r="CJ34" i="24"/>
  <c r="CK34" i="24"/>
  <c r="CL34" i="24"/>
  <c r="CM34" i="24"/>
  <c r="CN34" i="24"/>
  <c r="CO34" i="24"/>
  <c r="CP34" i="24"/>
  <c r="CQ34" i="24"/>
  <c r="CR34" i="24"/>
  <c r="CS34" i="24"/>
  <c r="CT34" i="24"/>
  <c r="CU34" i="24"/>
  <c r="CV34" i="24"/>
  <c r="CX34" i="24"/>
  <c r="CY34" i="24"/>
  <c r="CZ34" i="24"/>
  <c r="DA34" i="24"/>
  <c r="DB34" i="24"/>
  <c r="DC34" i="24"/>
  <c r="DD34" i="24"/>
  <c r="DE34" i="24"/>
  <c r="DF34" i="24"/>
  <c r="CJ35" i="24"/>
  <c r="CK35" i="24"/>
  <c r="CL35" i="24"/>
  <c r="CM35" i="24"/>
  <c r="CN35" i="24"/>
  <c r="CO35" i="24"/>
  <c r="CP35" i="24"/>
  <c r="CQ35" i="24"/>
  <c r="CR35" i="24"/>
  <c r="CS35" i="24"/>
  <c r="CT35" i="24"/>
  <c r="CU35" i="24"/>
  <c r="CV35" i="24"/>
  <c r="CX35" i="24"/>
  <c r="CY35" i="24"/>
  <c r="CZ35" i="24"/>
  <c r="DA35" i="24"/>
  <c r="DB35" i="24"/>
  <c r="DC35" i="24"/>
  <c r="DD35" i="24"/>
  <c r="DE35" i="24"/>
  <c r="DF35" i="24"/>
  <c r="CJ36" i="24"/>
  <c r="CK36" i="24"/>
  <c r="CL36" i="24"/>
  <c r="CM36" i="24"/>
  <c r="CN36" i="24"/>
  <c r="CO36" i="24"/>
  <c r="CP36" i="24"/>
  <c r="CQ36" i="24"/>
  <c r="CR36" i="24"/>
  <c r="CS36" i="24"/>
  <c r="CT36" i="24"/>
  <c r="CU36" i="24"/>
  <c r="CV36" i="24"/>
  <c r="CX36" i="24"/>
  <c r="CY36" i="24"/>
  <c r="CZ36" i="24"/>
  <c r="DA36" i="24"/>
  <c r="DB36" i="24"/>
  <c r="DC36" i="24"/>
  <c r="DD36" i="24"/>
  <c r="DE36" i="24"/>
  <c r="DF36" i="24"/>
  <c r="CJ37" i="24"/>
  <c r="CK37" i="24"/>
  <c r="CL37" i="24"/>
  <c r="CM37" i="24"/>
  <c r="CO37" i="24"/>
  <c r="CP37" i="24"/>
  <c r="CQ37" i="24"/>
  <c r="CR37" i="24"/>
  <c r="CS37" i="24"/>
  <c r="CT37" i="24"/>
  <c r="CU37" i="24"/>
  <c r="CV37" i="24"/>
  <c r="CX37" i="24"/>
  <c r="CY37" i="24"/>
  <c r="CZ37" i="24"/>
  <c r="DA37" i="24"/>
  <c r="DB37" i="24"/>
  <c r="DD37" i="24"/>
  <c r="DE37" i="24"/>
  <c r="DF37" i="24"/>
  <c r="CJ38" i="24"/>
  <c r="CK38" i="24"/>
  <c r="CL38" i="24"/>
  <c r="CM38" i="24"/>
  <c r="CN38" i="24"/>
  <c r="CO38" i="24"/>
  <c r="CP38" i="24"/>
  <c r="CQ38" i="24"/>
  <c r="CR38" i="24"/>
  <c r="CS38" i="24"/>
  <c r="CT38" i="24"/>
  <c r="CU38" i="24"/>
  <c r="CV38" i="24"/>
  <c r="CX38" i="24"/>
  <c r="CY38" i="24"/>
  <c r="CZ38" i="24"/>
  <c r="DA38" i="24"/>
  <c r="DB38" i="24"/>
  <c r="DC38" i="24"/>
  <c r="DD38" i="24"/>
  <c r="DE38" i="24"/>
  <c r="DF38" i="24"/>
  <c r="CJ39" i="24"/>
  <c r="CK39" i="24"/>
  <c r="CL39" i="24"/>
  <c r="CM39" i="24"/>
  <c r="CN39" i="24"/>
  <c r="CO39" i="24"/>
  <c r="CP39" i="24"/>
  <c r="CQ39" i="24"/>
  <c r="CR39" i="24"/>
  <c r="CS39" i="24"/>
  <c r="CT39" i="24"/>
  <c r="CU39" i="24"/>
  <c r="CV39" i="24"/>
  <c r="CX39" i="24"/>
  <c r="CY39" i="24"/>
  <c r="CZ39" i="24"/>
  <c r="DA39" i="24"/>
  <c r="DB39" i="24"/>
  <c r="DC39" i="24"/>
  <c r="DD39" i="24"/>
  <c r="DE39" i="24"/>
  <c r="DF39" i="24"/>
  <c r="CJ40" i="24"/>
  <c r="CK40" i="24"/>
  <c r="CL40" i="24"/>
  <c r="CM40" i="24"/>
  <c r="CN40" i="24"/>
  <c r="CO40" i="24"/>
  <c r="CP40" i="24"/>
  <c r="CQ40" i="24"/>
  <c r="CR40" i="24"/>
  <c r="CS40" i="24"/>
  <c r="CT40" i="24"/>
  <c r="CU40" i="24"/>
  <c r="CV40" i="24"/>
  <c r="CX40" i="24"/>
  <c r="CY40" i="24"/>
  <c r="CZ40" i="24"/>
  <c r="DA40" i="24"/>
  <c r="DB40" i="24"/>
  <c r="DC40" i="24"/>
  <c r="DD40" i="24"/>
  <c r="DE40" i="24"/>
  <c r="DF40" i="24"/>
  <c r="CJ41" i="24"/>
  <c r="CK41" i="24"/>
  <c r="CL41" i="24"/>
  <c r="CM41" i="24"/>
  <c r="CN41" i="24"/>
  <c r="CO41" i="24"/>
  <c r="CP41" i="24"/>
  <c r="CQ41" i="24"/>
  <c r="CR41" i="24"/>
  <c r="CS41" i="24"/>
  <c r="CT41" i="24"/>
  <c r="CU41" i="24"/>
  <c r="CV41" i="24"/>
  <c r="CX41" i="24"/>
  <c r="CY41" i="24"/>
  <c r="CZ41" i="24"/>
  <c r="DA41" i="24"/>
  <c r="DB41" i="24"/>
  <c r="DC41" i="24"/>
  <c r="DD41" i="24"/>
  <c r="DE41" i="24"/>
  <c r="DF41" i="24"/>
  <c r="CJ42" i="24"/>
  <c r="CK42" i="24"/>
  <c r="CL42" i="24"/>
  <c r="CM42" i="24"/>
  <c r="CN42" i="24"/>
  <c r="CO42" i="24"/>
  <c r="CP42" i="24"/>
  <c r="CQ42" i="24"/>
  <c r="CR42" i="24"/>
  <c r="CS42" i="24"/>
  <c r="CT42" i="24"/>
  <c r="CU42" i="24"/>
  <c r="CV42" i="24"/>
  <c r="CX42" i="24"/>
  <c r="CY42" i="24"/>
  <c r="CZ42" i="24"/>
  <c r="DA42" i="24"/>
  <c r="DB42" i="24"/>
  <c r="DC42" i="24"/>
  <c r="DD42" i="24"/>
  <c r="DE42" i="24"/>
  <c r="DF42" i="24"/>
  <c r="CK25" i="24"/>
  <c r="CL25" i="24"/>
  <c r="CM25" i="24"/>
  <c r="CN25" i="24"/>
  <c r="CO25" i="24"/>
  <c r="CP25" i="24"/>
  <c r="CQ25" i="24"/>
  <c r="CR25" i="24"/>
  <c r="CS25" i="24"/>
  <c r="CT25" i="24"/>
  <c r="CU25" i="24"/>
  <c r="CV25" i="24"/>
  <c r="CX25" i="24"/>
  <c r="CY25" i="24"/>
  <c r="CZ25" i="24"/>
  <c r="DA25" i="24"/>
  <c r="DB25" i="24"/>
  <c r="DC25" i="24"/>
  <c r="DD25" i="24"/>
  <c r="DE25" i="24"/>
  <c r="DF25" i="24"/>
  <c r="CJ25" i="24"/>
  <c r="C1" i="24"/>
  <c r="D1" i="24" s="1"/>
  <c r="E1" i="24" s="1"/>
  <c r="F1" i="24" s="1"/>
  <c r="G1" i="24" s="1"/>
  <c r="H1" i="24" s="1"/>
  <c r="I1" i="24" s="1"/>
  <c r="J1" i="24" s="1"/>
  <c r="K1" i="24" s="1"/>
  <c r="L1" i="24" s="1"/>
  <c r="M1" i="24" s="1"/>
  <c r="N1" i="24" s="1"/>
  <c r="O1" i="24" s="1"/>
  <c r="P1" i="24" s="1"/>
  <c r="Q1" i="24" s="1"/>
  <c r="R1" i="24" s="1"/>
  <c r="S1" i="24" s="1"/>
  <c r="T1" i="24" s="1"/>
  <c r="U1" i="24" s="1"/>
  <c r="V1" i="24" s="1"/>
  <c r="W1" i="24" s="1"/>
  <c r="X1" i="24" s="1"/>
  <c r="Y1" i="24" s="1"/>
  <c r="Z1" i="24" s="1"/>
  <c r="AA1" i="24" s="1"/>
  <c r="AB1" i="24" s="1"/>
  <c r="AC1" i="24" s="1"/>
  <c r="AD1" i="24" s="1"/>
  <c r="AE1" i="24" s="1"/>
  <c r="AF1" i="24" s="1"/>
  <c r="AG1" i="24" s="1"/>
  <c r="AH1" i="24" s="1"/>
  <c r="AI1" i="24" s="1"/>
  <c r="AJ1" i="24" s="1"/>
  <c r="AK1" i="24" s="1"/>
  <c r="AL1" i="24" s="1"/>
  <c r="AM1" i="24" s="1"/>
  <c r="AN1" i="24" s="1"/>
  <c r="AO1" i="24" s="1"/>
  <c r="AP1" i="24" s="1"/>
  <c r="AQ1" i="24" s="1"/>
  <c r="AR1" i="24" s="1"/>
  <c r="AS1" i="24" s="1"/>
  <c r="AT1" i="24" s="1"/>
  <c r="AU1" i="24" s="1"/>
  <c r="AV1" i="24" s="1"/>
  <c r="AW1" i="24" s="1"/>
  <c r="AX1" i="24" s="1"/>
  <c r="AY1" i="24" s="1"/>
  <c r="AZ1" i="24" s="1"/>
  <c r="BA1" i="24" s="1"/>
  <c r="BB1" i="24" s="1"/>
  <c r="BC1" i="24" s="1"/>
  <c r="BD1" i="24" s="1"/>
  <c r="BE1" i="24" s="1"/>
  <c r="BF1" i="24" s="1"/>
  <c r="BG1" i="24" s="1"/>
  <c r="BH1" i="24" s="1"/>
  <c r="BI1" i="24" s="1"/>
  <c r="BJ1" i="24" s="1"/>
  <c r="BK1" i="24" s="1"/>
  <c r="BL1" i="24" s="1"/>
  <c r="BM1" i="24" s="1"/>
  <c r="BN1" i="24" s="1"/>
  <c r="BO1" i="24" s="1"/>
  <c r="BP1" i="24" s="1"/>
  <c r="BQ1" i="24" s="1"/>
  <c r="BR1" i="24" s="1"/>
  <c r="BS1" i="24" s="1"/>
  <c r="BT1" i="24" s="1"/>
  <c r="BU1" i="24" s="1"/>
  <c r="BV1" i="24" s="1"/>
  <c r="BW1" i="24" s="1"/>
  <c r="BX1" i="24" s="1"/>
  <c r="BY1" i="24" s="1"/>
  <c r="BZ1" i="24" s="1"/>
  <c r="CA1" i="24" s="1"/>
  <c r="CB1" i="24" s="1"/>
  <c r="CC1" i="24" s="1"/>
  <c r="CD1" i="24" s="1"/>
  <c r="CE1" i="24" s="1"/>
  <c r="CF1" i="24" s="1"/>
  <c r="CG1" i="24" s="1"/>
  <c r="CH1" i="24" s="1"/>
  <c r="CI1" i="24" s="1"/>
  <c r="CJ1" i="24" s="1"/>
  <c r="CK1" i="24" s="1"/>
  <c r="CL1" i="24" s="1"/>
  <c r="CM1" i="24" s="1"/>
  <c r="CN1" i="24" s="1"/>
  <c r="CO1" i="24" s="1"/>
  <c r="CP1" i="24" s="1"/>
  <c r="CQ1" i="24" s="1"/>
  <c r="CR1" i="24" s="1"/>
  <c r="CS1" i="24" s="1"/>
  <c r="CT1" i="24" s="1"/>
  <c r="CU1" i="24" s="1"/>
  <c r="CV1" i="24" s="1"/>
  <c r="B1" i="24"/>
  <c r="AT16" i="24"/>
  <c r="S120" i="20"/>
  <c r="U120" i="20"/>
  <c r="E40" i="95" l="1"/>
  <c r="E40" i="66"/>
  <c r="F40" i="67"/>
  <c r="E41" i="81"/>
  <c r="F39" i="96"/>
  <c r="F39" i="80"/>
  <c r="E40" i="82"/>
  <c r="F40" i="66"/>
  <c r="E40" i="96"/>
  <c r="F40" i="68"/>
  <c r="F41" i="95"/>
  <c r="F39" i="81"/>
  <c r="E40" i="80"/>
  <c r="F40" i="94"/>
  <c r="E41" i="94"/>
  <c r="E40" i="67"/>
  <c r="E39" i="68"/>
  <c r="C11" i="36"/>
  <c r="D10" i="36"/>
  <c r="E10" i="36" s="1"/>
  <c r="C11" i="46"/>
  <c r="E10" i="46"/>
  <c r="C11" i="39"/>
  <c r="E10" i="39"/>
  <c r="F10" i="39" s="1"/>
  <c r="C13" i="32"/>
  <c r="E11" i="32"/>
  <c r="E9" i="38"/>
  <c r="C10" i="38"/>
  <c r="D11" i="31"/>
  <c r="E11" i="31" s="1"/>
  <c r="C13" i="31"/>
  <c r="D10" i="44"/>
  <c r="E10" i="44" s="1"/>
  <c r="C11" i="44"/>
  <c r="C11" i="47"/>
  <c r="E10" i="47"/>
  <c r="C11" i="37"/>
  <c r="E10" i="37"/>
  <c r="E9" i="45"/>
  <c r="C10" i="45"/>
  <c r="C18" i="43"/>
  <c r="E18" i="43" s="1"/>
  <c r="F18" i="43" s="1"/>
  <c r="E17" i="43"/>
  <c r="F17" i="43" s="1"/>
  <c r="H10" i="13"/>
  <c r="E41" i="66" l="1"/>
  <c r="E41" i="80"/>
  <c r="F40" i="81"/>
  <c r="E41" i="96"/>
  <c r="F41" i="66"/>
  <c r="E40" i="68"/>
  <c r="E42" i="94"/>
  <c r="E41" i="67"/>
  <c r="F40" i="96"/>
  <c r="E42" i="81"/>
  <c r="E41" i="95"/>
  <c r="F42" i="95"/>
  <c r="F41" i="67"/>
  <c r="E41" i="82"/>
  <c r="F41" i="94"/>
  <c r="F41" i="68"/>
  <c r="F40" i="80"/>
  <c r="D11" i="36"/>
  <c r="E11" i="36" s="1"/>
  <c r="C13" i="36"/>
  <c r="E11" i="46"/>
  <c r="C13" i="46"/>
  <c r="C14" i="31"/>
  <c r="D13" i="31"/>
  <c r="E13" i="31" s="1"/>
  <c r="C13" i="44"/>
  <c r="D11" i="44"/>
  <c r="E11" i="44" s="1"/>
  <c r="C13" i="39"/>
  <c r="E11" i="39"/>
  <c r="F11" i="39" s="1"/>
  <c r="E11" i="37"/>
  <c r="C13" i="37"/>
  <c r="C11" i="38"/>
  <c r="E10" i="38"/>
  <c r="E13" i="32"/>
  <c r="C14" i="32"/>
  <c r="E10" i="45"/>
  <c r="C11" i="45"/>
  <c r="C13" i="47"/>
  <c r="E11" i="47"/>
  <c r="J11" i="11"/>
  <c r="M11" i="11"/>
  <c r="I64" i="15"/>
  <c r="F64" i="15" s="1"/>
  <c r="I69" i="15"/>
  <c r="F69" i="15" s="1"/>
  <c r="F72" i="15"/>
  <c r="C72" i="15"/>
  <c r="B72" i="15"/>
  <c r="F71" i="15"/>
  <c r="C71" i="15"/>
  <c r="B71" i="15"/>
  <c r="F70" i="15"/>
  <c r="C70" i="15"/>
  <c r="B70" i="15"/>
  <c r="C69" i="15"/>
  <c r="B69" i="15"/>
  <c r="C64" i="15"/>
  <c r="F67" i="15"/>
  <c r="C67" i="15"/>
  <c r="B67" i="15"/>
  <c r="F66" i="15"/>
  <c r="C66" i="15"/>
  <c r="B66" i="15"/>
  <c r="F65" i="15"/>
  <c r="C65" i="15"/>
  <c r="B65" i="15"/>
  <c r="B64" i="15"/>
  <c r="F42" i="67" l="1"/>
  <c r="F41" i="80"/>
  <c r="E42" i="66"/>
  <c r="E42" i="95"/>
  <c r="E42" i="96"/>
  <c r="F42" i="68"/>
  <c r="E42" i="82"/>
  <c r="E42" i="80"/>
  <c r="F43" i="95"/>
  <c r="E43" i="81"/>
  <c r="E42" i="67"/>
  <c r="E41" i="68"/>
  <c r="F42" i="66"/>
  <c r="F42" i="94"/>
  <c r="F41" i="81"/>
  <c r="F41" i="96"/>
  <c r="E43" i="94"/>
  <c r="C14" i="36"/>
  <c r="D13" i="36"/>
  <c r="E13" i="36" s="1"/>
  <c r="E13" i="46"/>
  <c r="C14" i="46"/>
  <c r="C13" i="45"/>
  <c r="E11" i="45"/>
  <c r="C13" i="38"/>
  <c r="E11" i="38"/>
  <c r="C14" i="39"/>
  <c r="E13" i="39"/>
  <c r="F13" i="39" s="1"/>
  <c r="C15" i="32"/>
  <c r="E14" i="32"/>
  <c r="C14" i="37"/>
  <c r="E13" i="37"/>
  <c r="D13" i="44"/>
  <c r="E13" i="44" s="1"/>
  <c r="C14" i="44"/>
  <c r="C15" i="31"/>
  <c r="D14" i="31"/>
  <c r="E14" i="31" s="1"/>
  <c r="E13" i="47"/>
  <c r="C14" i="47"/>
  <c r="F42" i="96" l="1"/>
  <c r="F42" i="80"/>
  <c r="E43" i="67"/>
  <c r="F44" i="95"/>
  <c r="E43" i="66"/>
  <c r="F43" i="66"/>
  <c r="E43" i="82"/>
  <c r="E44" i="94"/>
  <c r="F43" i="94"/>
  <c r="E43" i="96"/>
  <c r="F43" i="68"/>
  <c r="E43" i="95"/>
  <c r="F42" i="81"/>
  <c r="E42" i="68"/>
  <c r="E44" i="81"/>
  <c r="E43" i="80"/>
  <c r="F43" i="67"/>
  <c r="C15" i="36"/>
  <c r="D14" i="36"/>
  <c r="E14" i="36" s="1"/>
  <c r="E14" i="46"/>
  <c r="C15" i="46"/>
  <c r="D15" i="31"/>
  <c r="E15" i="31" s="1"/>
  <c r="C16" i="31"/>
  <c r="C14" i="45"/>
  <c r="E13" i="45"/>
  <c r="E14" i="39"/>
  <c r="F14" i="39" s="1"/>
  <c r="C15" i="39"/>
  <c r="E13" i="38"/>
  <c r="C14" i="38"/>
  <c r="C15" i="44"/>
  <c r="D14" i="44"/>
  <c r="E14" i="44" s="1"/>
  <c r="C15" i="37"/>
  <c r="E14" i="37"/>
  <c r="C15" i="47"/>
  <c r="E14" i="47"/>
  <c r="E15" i="32"/>
  <c r="C16" i="32"/>
  <c r="I118" i="20"/>
  <c r="H118" i="20"/>
  <c r="G118" i="20"/>
  <c r="B118" i="20"/>
  <c r="I117" i="20"/>
  <c r="H117" i="20"/>
  <c r="G117" i="20"/>
  <c r="B117" i="20"/>
  <c r="I116" i="20"/>
  <c r="H116" i="20"/>
  <c r="G116" i="20"/>
  <c r="B116" i="20"/>
  <c r="I115" i="20"/>
  <c r="H115" i="20"/>
  <c r="G115" i="20"/>
  <c r="B115" i="20"/>
  <c r="B114" i="20"/>
  <c r="B109" i="20"/>
  <c r="N109" i="20"/>
  <c r="B113" i="20"/>
  <c r="B112" i="20"/>
  <c r="B111" i="20"/>
  <c r="I113" i="20"/>
  <c r="H113" i="20"/>
  <c r="G113" i="20"/>
  <c r="I112" i="20"/>
  <c r="H112" i="20"/>
  <c r="G112" i="20"/>
  <c r="I111" i="20"/>
  <c r="H111" i="20"/>
  <c r="G111" i="20"/>
  <c r="I110" i="20"/>
  <c r="H110" i="20"/>
  <c r="G110" i="20"/>
  <c r="B110" i="20"/>
  <c r="E42" i="24"/>
  <c r="E43" i="24"/>
  <c r="E44" i="67" l="1"/>
  <c r="E45" i="81"/>
  <c r="F45" i="95"/>
  <c r="F44" i="94"/>
  <c r="F44" i="66"/>
  <c r="F43" i="96"/>
  <c r="E44" i="66"/>
  <c r="F44" i="68"/>
  <c r="E44" i="96"/>
  <c r="E45" i="94"/>
  <c r="E44" i="82"/>
  <c r="F43" i="80"/>
  <c r="E44" i="80"/>
  <c r="E43" i="68"/>
  <c r="F43" i="81"/>
  <c r="F44" i="67"/>
  <c r="E44" i="95"/>
  <c r="C16" i="36"/>
  <c r="D15" i="36"/>
  <c r="E15" i="36" s="1"/>
  <c r="E15" i="46"/>
  <c r="C16" i="46"/>
  <c r="C16" i="47"/>
  <c r="E15" i="47"/>
  <c r="E15" i="39"/>
  <c r="F15" i="39" s="1"/>
  <c r="C16" i="39"/>
  <c r="C15" i="45"/>
  <c r="E14" i="45"/>
  <c r="C17" i="31"/>
  <c r="D16" i="31"/>
  <c r="E16" i="31" s="1"/>
  <c r="C17" i="32"/>
  <c r="E16" i="32"/>
  <c r="C15" i="38"/>
  <c r="E14" i="38"/>
  <c r="E15" i="37"/>
  <c r="C16" i="37"/>
  <c r="D15" i="44"/>
  <c r="E15" i="44" s="1"/>
  <c r="C16" i="44"/>
  <c r="E44" i="68" l="1"/>
  <c r="F44" i="96"/>
  <c r="F45" i="66"/>
  <c r="E45" i="82"/>
  <c r="F45" i="68"/>
  <c r="F45" i="94"/>
  <c r="F44" i="80"/>
  <c r="E46" i="81"/>
  <c r="E46" i="94"/>
  <c r="F45" i="67"/>
  <c r="F44" i="81"/>
  <c r="E45" i="80"/>
  <c r="E45" i="67"/>
  <c r="E45" i="66"/>
  <c r="E45" i="95"/>
  <c r="E45" i="96"/>
  <c r="F46" i="95"/>
  <c r="C17" i="36"/>
  <c r="D16" i="36"/>
  <c r="E16" i="36" s="1"/>
  <c r="E16" i="46"/>
  <c r="C17" i="46"/>
  <c r="C17" i="44"/>
  <c r="D16" i="44"/>
  <c r="E16" i="44" s="1"/>
  <c r="D17" i="31"/>
  <c r="E17" i="31" s="1"/>
  <c r="C18" i="31"/>
  <c r="D18" i="31" s="1"/>
  <c r="E18" i="31" s="1"/>
  <c r="E15" i="45"/>
  <c r="C16" i="45"/>
  <c r="C17" i="37"/>
  <c r="E16" i="37"/>
  <c r="C17" i="39"/>
  <c r="E16" i="39"/>
  <c r="F16" i="39" s="1"/>
  <c r="C16" i="38"/>
  <c r="E15" i="38"/>
  <c r="E16" i="47"/>
  <c r="C17" i="47"/>
  <c r="C18" i="32"/>
  <c r="E18" i="32" s="1"/>
  <c r="E17" i="32"/>
  <c r="H42" i="24"/>
  <c r="I42" i="24"/>
  <c r="J42" i="24"/>
  <c r="K42" i="24"/>
  <c r="L42" i="24"/>
  <c r="N42" i="24"/>
  <c r="O42" i="24"/>
  <c r="P42" i="24"/>
  <c r="Q42" i="24"/>
  <c r="R42" i="24"/>
  <c r="S42" i="24"/>
  <c r="T42" i="24"/>
  <c r="U42" i="24"/>
  <c r="V42" i="24"/>
  <c r="W42" i="24"/>
  <c r="X42" i="24"/>
  <c r="Y42" i="24"/>
  <c r="Z42" i="24"/>
  <c r="AA42" i="24"/>
  <c r="AB42" i="24"/>
  <c r="AC42" i="24"/>
  <c r="AD42" i="24"/>
  <c r="AE42" i="24"/>
  <c r="AF42" i="24"/>
  <c r="AG42" i="24"/>
  <c r="AH42" i="24"/>
  <c r="AI42" i="24"/>
  <c r="AJ42" i="24"/>
  <c r="AK42" i="24"/>
  <c r="AL42" i="24"/>
  <c r="AM42" i="24"/>
  <c r="AN42" i="24"/>
  <c r="AO42" i="24"/>
  <c r="AP42" i="24"/>
  <c r="AQ42" i="24"/>
  <c r="AR42" i="24"/>
  <c r="AS42" i="24"/>
  <c r="AU42" i="24"/>
  <c r="AV42" i="24"/>
  <c r="AW42" i="24"/>
  <c r="AX42" i="24"/>
  <c r="AY42" i="24"/>
  <c r="AZ42" i="24"/>
  <c r="BA42" i="24"/>
  <c r="BB42" i="24"/>
  <c r="BC42" i="24"/>
  <c r="BD42" i="24"/>
  <c r="BE42" i="24"/>
  <c r="BF42" i="24"/>
  <c r="BG42" i="24"/>
  <c r="BH42" i="24"/>
  <c r="BI42" i="24"/>
  <c r="BJ42" i="24"/>
  <c r="BK42" i="24"/>
  <c r="BL42" i="24"/>
  <c r="BM42" i="24"/>
  <c r="BN42" i="24"/>
  <c r="BO42" i="24"/>
  <c r="BP42" i="24"/>
  <c r="BQ42" i="24"/>
  <c r="H43" i="24"/>
  <c r="I43" i="24"/>
  <c r="J43" i="24"/>
  <c r="K43" i="24"/>
  <c r="L43" i="24"/>
  <c r="N43" i="24"/>
  <c r="O43" i="24"/>
  <c r="P43" i="24"/>
  <c r="Q43" i="24"/>
  <c r="R43" i="24"/>
  <c r="S43" i="24"/>
  <c r="T43" i="24"/>
  <c r="U43" i="24"/>
  <c r="V43" i="24"/>
  <c r="W43" i="24"/>
  <c r="X43" i="24"/>
  <c r="Y43" i="24"/>
  <c r="Z43" i="24"/>
  <c r="AA43" i="24"/>
  <c r="AB43" i="24"/>
  <c r="AC43" i="24"/>
  <c r="AD43" i="24"/>
  <c r="AE43" i="24"/>
  <c r="AF43" i="24"/>
  <c r="AG43" i="24"/>
  <c r="AH43" i="24"/>
  <c r="AI43" i="24"/>
  <c r="AJ43" i="24"/>
  <c r="AK43" i="24"/>
  <c r="AL43" i="24"/>
  <c r="AM43" i="24"/>
  <c r="AN43" i="24"/>
  <c r="AO43" i="24"/>
  <c r="AP43" i="24"/>
  <c r="AQ43" i="24"/>
  <c r="AR43" i="24"/>
  <c r="AS43" i="24"/>
  <c r="AU43" i="24"/>
  <c r="AV43" i="24"/>
  <c r="AW43" i="24"/>
  <c r="AX43" i="24"/>
  <c r="AY43" i="24"/>
  <c r="AZ43" i="24"/>
  <c r="BA43" i="24"/>
  <c r="BB43" i="24"/>
  <c r="BC43" i="24"/>
  <c r="BD43" i="24"/>
  <c r="BE43" i="24"/>
  <c r="BF43" i="24"/>
  <c r="BG43" i="24"/>
  <c r="BH43" i="24"/>
  <c r="BI43" i="24"/>
  <c r="BJ43" i="24"/>
  <c r="BK43" i="24"/>
  <c r="BL43" i="24"/>
  <c r="BM43" i="24"/>
  <c r="BN43" i="24"/>
  <c r="BO43" i="24"/>
  <c r="BP43" i="24"/>
  <c r="BQ43" i="24"/>
  <c r="B43" i="24"/>
  <c r="A43" i="24" s="1"/>
  <c r="B42" i="24"/>
  <c r="A42" i="24" s="1"/>
  <c r="F45" i="80" l="1"/>
  <c r="E46" i="67"/>
  <c r="E46" i="80"/>
  <c r="F46" i="66"/>
  <c r="E46" i="82"/>
  <c r="E45" i="68"/>
  <c r="E46" i="96"/>
  <c r="E46" i="95"/>
  <c r="F46" i="67"/>
  <c r="E47" i="81"/>
  <c r="F46" i="68"/>
  <c r="F45" i="96"/>
  <c r="F46" i="94"/>
  <c r="E47" i="94"/>
  <c r="F47" i="95"/>
  <c r="E46" i="66"/>
  <c r="F45" i="81"/>
  <c r="D17" i="36"/>
  <c r="E17" i="36" s="1"/>
  <c r="C18" i="36"/>
  <c r="D18" i="36" s="1"/>
  <c r="E18" i="36" s="1"/>
  <c r="C18" i="46"/>
  <c r="E18" i="46" s="1"/>
  <c r="E17" i="46"/>
  <c r="C18" i="44"/>
  <c r="D18" i="44" s="1"/>
  <c r="E18" i="44" s="1"/>
  <c r="D17" i="44"/>
  <c r="E17" i="44" s="1"/>
  <c r="C18" i="39"/>
  <c r="E18" i="39" s="1"/>
  <c r="F18" i="39" s="1"/>
  <c r="E17" i="39"/>
  <c r="F17" i="39" s="1"/>
  <c r="E17" i="37"/>
  <c r="C18" i="37"/>
  <c r="E18" i="37" s="1"/>
  <c r="C17" i="45"/>
  <c r="E16" i="45"/>
  <c r="E16" i="38"/>
  <c r="C17" i="38"/>
  <c r="E17" i="47"/>
  <c r="C18" i="47"/>
  <c r="E18" i="47" s="1"/>
  <c r="B38" i="20"/>
  <c r="B39" i="20"/>
  <c r="B40" i="20"/>
  <c r="B41" i="20"/>
  <c r="B42" i="20"/>
  <c r="B43" i="20"/>
  <c r="B44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B105" i="20"/>
  <c r="B106" i="20"/>
  <c r="B107" i="20"/>
  <c r="B108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F48" i="95" l="1"/>
  <c r="F47" i="66"/>
  <c r="E48" i="81"/>
  <c r="E47" i="95"/>
  <c r="F46" i="80"/>
  <c r="E48" i="94"/>
  <c r="F46" i="96"/>
  <c r="E47" i="66"/>
  <c r="E47" i="82"/>
  <c r="E47" i="96"/>
  <c r="F47" i="67"/>
  <c r="E47" i="67"/>
  <c r="F46" i="81"/>
  <c r="F47" i="94"/>
  <c r="F47" i="68"/>
  <c r="E46" i="68"/>
  <c r="E47" i="80"/>
  <c r="E17" i="38"/>
  <c r="C18" i="38"/>
  <c r="E18" i="38" s="1"/>
  <c r="E17" i="45"/>
  <c r="C18" i="45"/>
  <c r="E18" i="45" s="1"/>
  <c r="F47" i="81" l="1"/>
  <c r="F48" i="67"/>
  <c r="F48" i="66"/>
  <c r="H48" i="95"/>
  <c r="F49" i="95"/>
  <c r="H41" i="95"/>
  <c r="E48" i="82"/>
  <c r="E48" i="80"/>
  <c r="F48" i="68"/>
  <c r="F48" i="94"/>
  <c r="F47" i="80"/>
  <c r="E49" i="81"/>
  <c r="G48" i="81"/>
  <c r="E48" i="67"/>
  <c r="F47" i="96"/>
  <c r="H43" i="95"/>
  <c r="E47" i="68"/>
  <c r="E48" i="66"/>
  <c r="E48" i="95"/>
  <c r="H44" i="95"/>
  <c r="E48" i="96"/>
  <c r="E49" i="94"/>
  <c r="G41" i="81"/>
  <c r="H47" i="95"/>
  <c r="B6" i="20"/>
  <c r="B7" i="20"/>
  <c r="B8" i="20"/>
  <c r="B9" i="20"/>
  <c r="B10" i="20"/>
  <c r="B11" i="20"/>
  <c r="B12" i="20"/>
  <c r="B13" i="20"/>
  <c r="B14" i="20"/>
  <c r="B15" i="20"/>
  <c r="B5" i="20"/>
  <c r="G35" i="20"/>
  <c r="H35" i="20"/>
  <c r="I35" i="20"/>
  <c r="F49" i="67" l="1"/>
  <c r="H48" i="67"/>
  <c r="G49" i="81"/>
  <c r="K2" i="81"/>
  <c r="G9" i="81"/>
  <c r="G8" i="81"/>
  <c r="D51" i="81"/>
  <c r="G7" i="81"/>
  <c r="G10" i="81"/>
  <c r="G11" i="81"/>
  <c r="G12" i="81"/>
  <c r="G13" i="81"/>
  <c r="G15" i="81"/>
  <c r="G14" i="81"/>
  <c r="G16" i="81"/>
  <c r="G21" i="81"/>
  <c r="G18" i="81"/>
  <c r="G17" i="81"/>
  <c r="G19" i="81"/>
  <c r="G20" i="81"/>
  <c r="G22" i="81"/>
  <c r="G28" i="81"/>
  <c r="G23" i="81"/>
  <c r="G25" i="81"/>
  <c r="G29" i="81"/>
  <c r="G24" i="81"/>
  <c r="G26" i="81"/>
  <c r="G27" i="81"/>
  <c r="G32" i="81"/>
  <c r="G30" i="81"/>
  <c r="G31" i="81"/>
  <c r="G33" i="81"/>
  <c r="G35" i="81"/>
  <c r="G38" i="81"/>
  <c r="G36" i="81"/>
  <c r="G34" i="81"/>
  <c r="G39" i="81"/>
  <c r="G37" i="81"/>
  <c r="G40" i="81"/>
  <c r="G42" i="81"/>
  <c r="G47" i="81"/>
  <c r="H47" i="67"/>
  <c r="G48" i="95"/>
  <c r="E49" i="95"/>
  <c r="G44" i="95"/>
  <c r="G46" i="95"/>
  <c r="G47" i="95"/>
  <c r="F48" i="96"/>
  <c r="E49" i="67"/>
  <c r="G48" i="67"/>
  <c r="G44" i="67"/>
  <c r="F49" i="94"/>
  <c r="E49" i="96"/>
  <c r="E49" i="82"/>
  <c r="F49" i="66"/>
  <c r="F48" i="81"/>
  <c r="E49" i="66"/>
  <c r="E48" i="68"/>
  <c r="G46" i="81"/>
  <c r="H43" i="67"/>
  <c r="G45" i="81"/>
  <c r="E50" i="94"/>
  <c r="G44" i="81"/>
  <c r="F48" i="80"/>
  <c r="K3" i="95"/>
  <c r="H49" i="95"/>
  <c r="H7" i="95"/>
  <c r="H8" i="95"/>
  <c r="H10" i="95"/>
  <c r="H9" i="95"/>
  <c r="H11" i="95"/>
  <c r="H12" i="95"/>
  <c r="H14" i="95"/>
  <c r="H13" i="95"/>
  <c r="H15" i="95"/>
  <c r="H16" i="95"/>
  <c r="H17" i="95"/>
  <c r="H23" i="95"/>
  <c r="H22" i="95"/>
  <c r="H20" i="95"/>
  <c r="H18" i="95"/>
  <c r="H19" i="95"/>
  <c r="H21" i="95"/>
  <c r="H25" i="95"/>
  <c r="H24" i="95"/>
  <c r="H29" i="95"/>
  <c r="H26" i="95"/>
  <c r="H27" i="95"/>
  <c r="H28" i="95"/>
  <c r="H30" i="95"/>
  <c r="H33" i="95"/>
  <c r="H31" i="95"/>
  <c r="H37" i="95"/>
  <c r="H32" i="95"/>
  <c r="H36" i="95"/>
  <c r="H34" i="95"/>
  <c r="H35" i="95"/>
  <c r="H38" i="95"/>
  <c r="H40" i="95"/>
  <c r="H39" i="95"/>
  <c r="H42" i="95"/>
  <c r="H45" i="95"/>
  <c r="H46" i="95"/>
  <c r="H41" i="67"/>
  <c r="G43" i="81"/>
  <c r="F49" i="68"/>
  <c r="E49" i="80"/>
  <c r="H45" i="67"/>
  <c r="G46" i="67"/>
  <c r="Q31" i="27"/>
  <c r="R31" i="27"/>
  <c r="E50" i="96" l="1"/>
  <c r="F49" i="96"/>
  <c r="H49" i="67"/>
  <c r="K3" i="67"/>
  <c r="H7" i="67"/>
  <c r="H8" i="67"/>
  <c r="H9" i="67"/>
  <c r="H10" i="67"/>
  <c r="H12" i="67"/>
  <c r="H11" i="67"/>
  <c r="H13" i="67"/>
  <c r="H14" i="67"/>
  <c r="H18" i="67"/>
  <c r="H15" i="67"/>
  <c r="H17" i="67"/>
  <c r="H16" i="67"/>
  <c r="H20" i="67"/>
  <c r="H19" i="67"/>
  <c r="H22" i="67"/>
  <c r="H21" i="67"/>
  <c r="H23" i="67"/>
  <c r="H24" i="67"/>
  <c r="H25" i="67"/>
  <c r="H28" i="67"/>
  <c r="H26" i="67"/>
  <c r="H27" i="67"/>
  <c r="H31" i="67"/>
  <c r="H29" i="67"/>
  <c r="H30" i="67"/>
  <c r="H34" i="67"/>
  <c r="H32" i="67"/>
  <c r="H33" i="67"/>
  <c r="H35" i="67"/>
  <c r="H36" i="67"/>
  <c r="H38" i="67"/>
  <c r="H37" i="67"/>
  <c r="H39" i="67"/>
  <c r="H42" i="67"/>
  <c r="H40" i="67"/>
  <c r="H46" i="67"/>
  <c r="E51" i="94"/>
  <c r="E50" i="80"/>
  <c r="D52" i="81"/>
  <c r="F49" i="80"/>
  <c r="F49" i="81"/>
  <c r="H48" i="81"/>
  <c r="H43" i="81"/>
  <c r="H45" i="81"/>
  <c r="H46" i="81"/>
  <c r="H44" i="81"/>
  <c r="G49" i="67"/>
  <c r="K2" i="67"/>
  <c r="G7" i="67"/>
  <c r="D51" i="67"/>
  <c r="D52" i="67" s="1"/>
  <c r="G8" i="67"/>
  <c r="G9" i="67"/>
  <c r="G12" i="67"/>
  <c r="G10" i="67"/>
  <c r="G13" i="67"/>
  <c r="G11" i="67"/>
  <c r="G16" i="67"/>
  <c r="G14" i="67"/>
  <c r="G15" i="67"/>
  <c r="G17" i="67"/>
  <c r="G18" i="67"/>
  <c r="G19" i="67"/>
  <c r="G22" i="67"/>
  <c r="G23" i="67"/>
  <c r="G20" i="67"/>
  <c r="G21" i="67"/>
  <c r="G25" i="67"/>
  <c r="G24" i="67"/>
  <c r="G26" i="67"/>
  <c r="G28" i="67"/>
  <c r="G30" i="67"/>
  <c r="G27" i="67"/>
  <c r="G29" i="67"/>
  <c r="G34" i="67"/>
  <c r="G31" i="67"/>
  <c r="G32" i="67"/>
  <c r="G33" i="67"/>
  <c r="G37" i="67"/>
  <c r="G38" i="67"/>
  <c r="G35" i="67"/>
  <c r="G36" i="67"/>
  <c r="G39" i="67"/>
  <c r="G41" i="67"/>
  <c r="G43" i="67"/>
  <c r="G40" i="67"/>
  <c r="G47" i="67"/>
  <c r="G45" i="67"/>
  <c r="G42" i="67"/>
  <c r="E49" i="68"/>
  <c r="E50" i="82"/>
  <c r="G49" i="95"/>
  <c r="K2" i="95"/>
  <c r="D51" i="95"/>
  <c r="D52" i="95" s="1"/>
  <c r="G8" i="95"/>
  <c r="G9" i="95"/>
  <c r="G13" i="95"/>
  <c r="G7" i="95"/>
  <c r="G11" i="95"/>
  <c r="G10" i="95"/>
  <c r="G15" i="95"/>
  <c r="G14" i="95"/>
  <c r="G12" i="95"/>
  <c r="G17" i="95"/>
  <c r="G19" i="95"/>
  <c r="G16" i="95"/>
  <c r="G18" i="95"/>
  <c r="G21" i="95"/>
  <c r="G20" i="95"/>
  <c r="G24" i="95"/>
  <c r="G22" i="95"/>
  <c r="G26" i="95"/>
  <c r="G23" i="95"/>
  <c r="G25" i="95"/>
  <c r="G27" i="95"/>
  <c r="G29" i="95"/>
  <c r="G28" i="95"/>
  <c r="G30" i="95"/>
  <c r="G35" i="95"/>
  <c r="G31" i="95"/>
  <c r="G33" i="95"/>
  <c r="G32" i="95"/>
  <c r="G34" i="95"/>
  <c r="G37" i="95"/>
  <c r="G36" i="95"/>
  <c r="G40" i="95"/>
  <c r="G38" i="95"/>
  <c r="G39" i="95"/>
  <c r="G42" i="95"/>
  <c r="G45" i="95"/>
  <c r="G41" i="95"/>
  <c r="G43" i="95"/>
  <c r="F50" i="68"/>
  <c r="E50" i="66"/>
  <c r="F50" i="66"/>
  <c r="F50" i="94"/>
  <c r="H44" i="67"/>
  <c r="D2" i="27"/>
  <c r="E2" i="27" s="1"/>
  <c r="F2" i="27" s="1"/>
  <c r="G2" i="27" s="1"/>
  <c r="H2" i="27" s="1"/>
  <c r="I2" i="27" s="1"/>
  <c r="J2" i="27" s="1"/>
  <c r="K2" i="27" s="1"/>
  <c r="L2" i="27" s="1"/>
  <c r="M2" i="27" s="1"/>
  <c r="N2" i="27" s="1"/>
  <c r="O2" i="27" s="1"/>
  <c r="P2" i="27" s="1"/>
  <c r="Q2" i="27" s="1"/>
  <c r="R2" i="27" s="1"/>
  <c r="S2" i="27" s="1"/>
  <c r="F51" i="68" l="1"/>
  <c r="K3" i="81"/>
  <c r="H49" i="81"/>
  <c r="H8" i="81"/>
  <c r="H7" i="81"/>
  <c r="H10" i="81"/>
  <c r="H9" i="81"/>
  <c r="H13" i="81"/>
  <c r="H11" i="81"/>
  <c r="H12" i="81"/>
  <c r="H14" i="81"/>
  <c r="H15" i="81"/>
  <c r="H17" i="81"/>
  <c r="H16" i="81"/>
  <c r="H20" i="81"/>
  <c r="H19" i="81"/>
  <c r="H21" i="81"/>
  <c r="H18" i="81"/>
  <c r="H24" i="81"/>
  <c r="H22" i="81"/>
  <c r="H23" i="81"/>
  <c r="H25" i="81"/>
  <c r="H26" i="81"/>
  <c r="H27" i="81"/>
  <c r="H28" i="81"/>
  <c r="H29" i="81"/>
  <c r="H31" i="81"/>
  <c r="H33" i="81"/>
  <c r="H30" i="81"/>
  <c r="H32" i="81"/>
  <c r="H34" i="81"/>
  <c r="H35" i="81"/>
  <c r="H37" i="81"/>
  <c r="H36" i="81"/>
  <c r="H41" i="81"/>
  <c r="H40" i="81"/>
  <c r="H38" i="81"/>
  <c r="H39" i="81"/>
  <c r="H42" i="81"/>
  <c r="H47" i="81"/>
  <c r="F50" i="96"/>
  <c r="E51" i="96"/>
  <c r="F51" i="66"/>
  <c r="F51" i="94"/>
  <c r="E51" i="82"/>
  <c r="F50" i="80"/>
  <c r="E51" i="80"/>
  <c r="E50" i="68"/>
  <c r="G51" i="94"/>
  <c r="E52" i="94"/>
  <c r="G48" i="94" s="1"/>
  <c r="G43" i="94"/>
  <c r="E51" i="66"/>
  <c r="J10" i="11"/>
  <c r="M10" i="11"/>
  <c r="G51" i="80" l="1"/>
  <c r="E52" i="80"/>
  <c r="G51" i="82"/>
  <c r="E52" i="82"/>
  <c r="G49" i="82"/>
  <c r="F51" i="96"/>
  <c r="G49" i="80"/>
  <c r="G47" i="80"/>
  <c r="G44" i="66"/>
  <c r="F51" i="80"/>
  <c r="E52" i="96"/>
  <c r="G49" i="96" s="1"/>
  <c r="G46" i="96"/>
  <c r="G47" i="96"/>
  <c r="G44" i="96"/>
  <c r="G51" i="66"/>
  <c r="E52" i="66"/>
  <c r="F52" i="94"/>
  <c r="H51" i="94"/>
  <c r="H49" i="94"/>
  <c r="H45" i="94"/>
  <c r="E51" i="68"/>
  <c r="G46" i="82"/>
  <c r="G48" i="66"/>
  <c r="G46" i="80"/>
  <c r="G52" i="94"/>
  <c r="K2" i="94"/>
  <c r="G9" i="94"/>
  <c r="G7" i="94"/>
  <c r="G10" i="94"/>
  <c r="E54" i="94"/>
  <c r="E55" i="94" s="1"/>
  <c r="G8" i="94"/>
  <c r="G13" i="94"/>
  <c r="G11" i="94"/>
  <c r="G12" i="94"/>
  <c r="G14" i="94"/>
  <c r="G15" i="94"/>
  <c r="G18" i="94"/>
  <c r="G16" i="94"/>
  <c r="G20" i="94"/>
  <c r="G17" i="94"/>
  <c r="G19" i="94"/>
  <c r="G21" i="94"/>
  <c r="G23" i="94"/>
  <c r="G22" i="94"/>
  <c r="G24" i="94"/>
  <c r="G25" i="94"/>
  <c r="G27" i="94"/>
  <c r="G28" i="94"/>
  <c r="G26" i="94"/>
  <c r="G31" i="94"/>
  <c r="G30" i="94"/>
  <c r="G29" i="94"/>
  <c r="G33" i="94"/>
  <c r="G32" i="94"/>
  <c r="G34" i="94"/>
  <c r="G35" i="94"/>
  <c r="G39" i="94"/>
  <c r="G40" i="94"/>
  <c r="G37" i="94"/>
  <c r="G36" i="94"/>
  <c r="G38" i="94"/>
  <c r="G42" i="94"/>
  <c r="G41" i="94"/>
  <c r="G45" i="94"/>
  <c r="G50" i="94"/>
  <c r="G49" i="94"/>
  <c r="G47" i="94"/>
  <c r="G44" i="94"/>
  <c r="G46" i="94"/>
  <c r="G48" i="80"/>
  <c r="G48" i="82"/>
  <c r="F52" i="66"/>
  <c r="H51" i="66" s="1"/>
  <c r="H44" i="66"/>
  <c r="F52" i="68"/>
  <c r="G47" i="82"/>
  <c r="C55" i="15"/>
  <c r="C56" i="15"/>
  <c r="C57" i="15"/>
  <c r="C58" i="15"/>
  <c r="B58" i="15"/>
  <c r="F58" i="15"/>
  <c r="B53" i="15"/>
  <c r="C53" i="15"/>
  <c r="F53" i="15"/>
  <c r="I59" i="15"/>
  <c r="F59" i="15" s="1"/>
  <c r="F62" i="15"/>
  <c r="C62" i="15"/>
  <c r="B62" i="15"/>
  <c r="F61" i="15"/>
  <c r="C61" i="15"/>
  <c r="B61" i="15"/>
  <c r="F60" i="15"/>
  <c r="C60" i="15"/>
  <c r="B60" i="15"/>
  <c r="C59" i="15"/>
  <c r="B59" i="15"/>
  <c r="H54" i="15"/>
  <c r="F57" i="15"/>
  <c r="B57" i="15"/>
  <c r="F56" i="15"/>
  <c r="B56" i="15"/>
  <c r="F55" i="15"/>
  <c r="B55" i="15"/>
  <c r="B54" i="15"/>
  <c r="G16" i="20"/>
  <c r="H16" i="20"/>
  <c r="I16" i="20"/>
  <c r="H9" i="20"/>
  <c r="H10" i="20"/>
  <c r="H11" i="20"/>
  <c r="H13" i="20"/>
  <c r="F53" i="68" l="1"/>
  <c r="H52" i="68"/>
  <c r="H11" i="68"/>
  <c r="H9" i="68"/>
  <c r="H7" i="68"/>
  <c r="H8" i="68"/>
  <c r="H13" i="68"/>
  <c r="H10" i="68"/>
  <c r="H14" i="68"/>
  <c r="H12" i="68"/>
  <c r="H15" i="68"/>
  <c r="H16" i="68"/>
  <c r="H17" i="68"/>
  <c r="H22" i="68"/>
  <c r="H18" i="68"/>
  <c r="H21" i="68"/>
  <c r="H20" i="68"/>
  <c r="H19" i="68"/>
  <c r="H24" i="68"/>
  <c r="H23" i="68"/>
  <c r="H26" i="68"/>
  <c r="H25" i="68"/>
  <c r="H27" i="68"/>
  <c r="H28" i="68"/>
  <c r="H29" i="68"/>
  <c r="H31" i="68"/>
  <c r="H30" i="68"/>
  <c r="H34" i="68"/>
  <c r="H32" i="68"/>
  <c r="H35" i="68"/>
  <c r="H33" i="68"/>
  <c r="H36" i="68"/>
  <c r="H37" i="68"/>
  <c r="H40" i="68"/>
  <c r="H38" i="68"/>
  <c r="H44" i="68"/>
  <c r="H41" i="68"/>
  <c r="H39" i="68"/>
  <c r="H42" i="68"/>
  <c r="H43" i="68"/>
  <c r="H45" i="68"/>
  <c r="H50" i="68"/>
  <c r="H48" i="68"/>
  <c r="H49" i="68"/>
  <c r="H47" i="68"/>
  <c r="H46" i="68"/>
  <c r="H51" i="68"/>
  <c r="G52" i="80"/>
  <c r="K2" i="80"/>
  <c r="E54" i="80"/>
  <c r="G8" i="80"/>
  <c r="G7" i="80"/>
  <c r="G9" i="80"/>
  <c r="G11" i="80"/>
  <c r="G12" i="80"/>
  <c r="G10" i="80"/>
  <c r="G13" i="80"/>
  <c r="G16" i="80"/>
  <c r="G14" i="80"/>
  <c r="G15" i="80"/>
  <c r="G17" i="80"/>
  <c r="G19" i="80"/>
  <c r="G20" i="80"/>
  <c r="G21" i="80"/>
  <c r="G22" i="80"/>
  <c r="G18" i="80"/>
  <c r="G23" i="80"/>
  <c r="G25" i="80"/>
  <c r="G24" i="80"/>
  <c r="G29" i="80"/>
  <c r="G30" i="80"/>
  <c r="G26" i="80"/>
  <c r="G28" i="80"/>
  <c r="G27" i="80"/>
  <c r="G31" i="80"/>
  <c r="G32" i="80"/>
  <c r="G33" i="80"/>
  <c r="G36" i="80"/>
  <c r="G34" i="80"/>
  <c r="G35" i="80"/>
  <c r="G37" i="80"/>
  <c r="G42" i="80"/>
  <c r="G38" i="80"/>
  <c r="G41" i="80"/>
  <c r="G40" i="80"/>
  <c r="G39" i="80"/>
  <c r="G45" i="80"/>
  <c r="G43" i="80"/>
  <c r="G50" i="80"/>
  <c r="G44" i="80"/>
  <c r="G52" i="96"/>
  <c r="G8" i="96"/>
  <c r="E55" i="96"/>
  <c r="G7" i="96"/>
  <c r="G12" i="96"/>
  <c r="G9" i="96"/>
  <c r="G11" i="96"/>
  <c r="G10" i="96"/>
  <c r="G16" i="96"/>
  <c r="G13" i="96"/>
  <c r="G14" i="96"/>
  <c r="G15" i="96"/>
  <c r="G17" i="96"/>
  <c r="G18" i="96"/>
  <c r="G21" i="96"/>
  <c r="G19" i="96"/>
  <c r="G24" i="96"/>
  <c r="G20" i="96"/>
  <c r="G22" i="96"/>
  <c r="G23" i="96"/>
  <c r="G25" i="96"/>
  <c r="G28" i="96"/>
  <c r="G26" i="96"/>
  <c r="G29" i="96"/>
  <c r="G27" i="96"/>
  <c r="G30" i="96"/>
  <c r="G33" i="96"/>
  <c r="G32" i="96"/>
  <c r="G34" i="96"/>
  <c r="G37" i="96"/>
  <c r="G31" i="96"/>
  <c r="G35" i="96"/>
  <c r="G39" i="96"/>
  <c r="G38" i="96"/>
  <c r="G36" i="96"/>
  <c r="G40" i="96"/>
  <c r="G45" i="96"/>
  <c r="G41" i="96"/>
  <c r="G43" i="96"/>
  <c r="G42" i="96"/>
  <c r="G50" i="96"/>
  <c r="G48" i="96"/>
  <c r="H45" i="66"/>
  <c r="H52" i="94"/>
  <c r="K3" i="94"/>
  <c r="H7" i="94"/>
  <c r="H8" i="94"/>
  <c r="H10" i="94"/>
  <c r="H11" i="94"/>
  <c r="H9" i="94"/>
  <c r="H12" i="94"/>
  <c r="H14" i="94"/>
  <c r="H15" i="94"/>
  <c r="H16" i="94"/>
  <c r="H13" i="94"/>
  <c r="H17" i="94"/>
  <c r="H19" i="94"/>
  <c r="H18" i="94"/>
  <c r="H21" i="94"/>
  <c r="H20" i="94"/>
  <c r="H22" i="94"/>
  <c r="H27" i="94"/>
  <c r="H23" i="94"/>
  <c r="H28" i="94"/>
  <c r="H26" i="94"/>
  <c r="H25" i="94"/>
  <c r="H24" i="94"/>
  <c r="H30" i="94"/>
  <c r="H32" i="94"/>
  <c r="H29" i="94"/>
  <c r="H31" i="94"/>
  <c r="H34" i="94"/>
  <c r="H33" i="94"/>
  <c r="H37" i="94"/>
  <c r="H35" i="94"/>
  <c r="H36" i="94"/>
  <c r="H39" i="94"/>
  <c r="H38" i="94"/>
  <c r="H40" i="94"/>
  <c r="H41" i="94"/>
  <c r="H43" i="94"/>
  <c r="H42" i="94"/>
  <c r="H44" i="94"/>
  <c r="H46" i="94"/>
  <c r="H47" i="94"/>
  <c r="H48" i="94"/>
  <c r="G51" i="96"/>
  <c r="K2" i="66"/>
  <c r="G52" i="66"/>
  <c r="G9" i="66"/>
  <c r="G10" i="66"/>
  <c r="G7" i="66"/>
  <c r="G8" i="66"/>
  <c r="E54" i="66"/>
  <c r="E55" i="66" s="1"/>
  <c r="G11" i="66"/>
  <c r="G13" i="66"/>
  <c r="G12" i="66"/>
  <c r="G18" i="66"/>
  <c r="G16" i="66"/>
  <c r="G14" i="66"/>
  <c r="G15" i="66"/>
  <c r="G20" i="66"/>
  <c r="G17" i="66"/>
  <c r="G21" i="66"/>
  <c r="G19" i="66"/>
  <c r="G22" i="66"/>
  <c r="G24" i="66"/>
  <c r="G26" i="66"/>
  <c r="G23" i="66"/>
  <c r="G25" i="66"/>
  <c r="G27" i="66"/>
  <c r="G28" i="66"/>
  <c r="G31" i="66"/>
  <c r="G30" i="66"/>
  <c r="G32" i="66"/>
  <c r="G29" i="66"/>
  <c r="G35" i="66"/>
  <c r="G33" i="66"/>
  <c r="G34" i="66"/>
  <c r="G38" i="66"/>
  <c r="G36" i="66"/>
  <c r="G37" i="66"/>
  <c r="G42" i="66"/>
  <c r="G39" i="66"/>
  <c r="G40" i="66"/>
  <c r="G41" i="66"/>
  <c r="G45" i="66"/>
  <c r="G43" i="66"/>
  <c r="G47" i="66"/>
  <c r="G49" i="66"/>
  <c r="G46" i="66"/>
  <c r="F52" i="80"/>
  <c r="H51" i="80"/>
  <c r="H47" i="80"/>
  <c r="H49" i="80"/>
  <c r="H48" i="80"/>
  <c r="H45" i="80"/>
  <c r="F52" i="96"/>
  <c r="G50" i="66"/>
  <c r="H52" i="66"/>
  <c r="K3" i="66"/>
  <c r="H7" i="66"/>
  <c r="H8" i="66"/>
  <c r="H9" i="66"/>
  <c r="H12" i="66"/>
  <c r="H10" i="66"/>
  <c r="H11" i="66"/>
  <c r="H14" i="66"/>
  <c r="H13" i="66"/>
  <c r="H15" i="66"/>
  <c r="H16" i="66"/>
  <c r="H17" i="66"/>
  <c r="H18" i="66"/>
  <c r="H20" i="66"/>
  <c r="H19" i="66"/>
  <c r="H21" i="66"/>
  <c r="H22" i="66"/>
  <c r="H23" i="66"/>
  <c r="H26" i="66"/>
  <c r="H25" i="66"/>
  <c r="H24" i="66"/>
  <c r="H27" i="66"/>
  <c r="H28" i="66"/>
  <c r="H30" i="66"/>
  <c r="H29" i="66"/>
  <c r="H31" i="66"/>
  <c r="H33" i="66"/>
  <c r="H32" i="66"/>
  <c r="H34" i="66"/>
  <c r="H36" i="66"/>
  <c r="H35" i="66"/>
  <c r="H37" i="66"/>
  <c r="H40" i="66"/>
  <c r="H38" i="66"/>
  <c r="H39" i="66"/>
  <c r="H41" i="66"/>
  <c r="H43" i="66"/>
  <c r="H42" i="66"/>
  <c r="H46" i="66"/>
  <c r="H48" i="66"/>
  <c r="H47" i="66"/>
  <c r="H50" i="66"/>
  <c r="E52" i="68"/>
  <c r="G48" i="68" s="1"/>
  <c r="H49" i="66"/>
  <c r="H50" i="94"/>
  <c r="G52" i="82"/>
  <c r="G53" i="82"/>
  <c r="G9" i="82"/>
  <c r="D56" i="82"/>
  <c r="G8" i="82"/>
  <c r="G7" i="82"/>
  <c r="G11" i="82"/>
  <c r="G12" i="82"/>
  <c r="G10" i="82"/>
  <c r="G14" i="82"/>
  <c r="G13" i="82"/>
  <c r="G17" i="82"/>
  <c r="G15" i="82"/>
  <c r="G16" i="82"/>
  <c r="G18" i="82"/>
  <c r="G21" i="82"/>
  <c r="G19" i="82"/>
  <c r="G20" i="82"/>
  <c r="G26" i="82"/>
  <c r="G23" i="82"/>
  <c r="G22" i="82"/>
  <c r="G24" i="82"/>
  <c r="G25" i="82"/>
  <c r="G28" i="82"/>
  <c r="G27" i="82"/>
  <c r="G32" i="82"/>
  <c r="G29" i="82"/>
  <c r="G30" i="82"/>
  <c r="G31" i="82"/>
  <c r="G35" i="82"/>
  <c r="G33" i="82"/>
  <c r="G36" i="82"/>
  <c r="G34" i="82"/>
  <c r="G37" i="82"/>
  <c r="G39" i="82"/>
  <c r="G38" i="82"/>
  <c r="G41" i="82"/>
  <c r="G40" i="82"/>
  <c r="G44" i="82"/>
  <c r="G43" i="82"/>
  <c r="G42" i="82"/>
  <c r="G45" i="82"/>
  <c r="G50" i="82"/>
  <c r="I54" i="15"/>
  <c r="F54" i="15" s="1"/>
  <c r="C54" i="15"/>
  <c r="H28" i="20"/>
  <c r="H34" i="20"/>
  <c r="H7" i="20"/>
  <c r="H8" i="20"/>
  <c r="H14" i="20"/>
  <c r="H15" i="20"/>
  <c r="H17" i="20"/>
  <c r="H18" i="20"/>
  <c r="H19" i="20"/>
  <c r="H21" i="20"/>
  <c r="H23" i="20"/>
  <c r="H24" i="20"/>
  <c r="H25" i="20"/>
  <c r="H27" i="20"/>
  <c r="H29" i="20"/>
  <c r="H30" i="20"/>
  <c r="H31" i="20"/>
  <c r="H33" i="20"/>
  <c r="H36" i="20"/>
  <c r="H37" i="20"/>
  <c r="H39" i="20"/>
  <c r="H41" i="20"/>
  <c r="H42" i="20"/>
  <c r="H43" i="20"/>
  <c r="H45" i="20"/>
  <c r="H46" i="20"/>
  <c r="H47" i="20"/>
  <c r="H48" i="20"/>
  <c r="H49" i="20"/>
  <c r="H51" i="20"/>
  <c r="H53" i="20"/>
  <c r="H54" i="20"/>
  <c r="H55" i="20"/>
  <c r="H57" i="20"/>
  <c r="H59" i="20"/>
  <c r="H60" i="20"/>
  <c r="H61" i="20"/>
  <c r="H63" i="20"/>
  <c r="H64" i="20"/>
  <c r="H65" i="20"/>
  <c r="H66" i="20"/>
  <c r="H67" i="20"/>
  <c r="H69" i="20"/>
  <c r="H71" i="20"/>
  <c r="H72" i="20"/>
  <c r="H73" i="20"/>
  <c r="H75" i="20"/>
  <c r="H77" i="20"/>
  <c r="H78" i="20"/>
  <c r="H79" i="20"/>
  <c r="H81" i="20"/>
  <c r="H82" i="20"/>
  <c r="H83" i="20"/>
  <c r="H84" i="20"/>
  <c r="H85" i="20"/>
  <c r="H87" i="20"/>
  <c r="H89" i="20"/>
  <c r="H90" i="20"/>
  <c r="H91" i="20"/>
  <c r="H93" i="20"/>
  <c r="H95" i="20"/>
  <c r="H96" i="20"/>
  <c r="H97" i="20"/>
  <c r="H99" i="20"/>
  <c r="H100" i="20"/>
  <c r="H101" i="20"/>
  <c r="H102" i="20"/>
  <c r="H103" i="20"/>
  <c r="H105" i="20"/>
  <c r="H107" i="20"/>
  <c r="H108" i="20"/>
  <c r="I25" i="24"/>
  <c r="J25" i="24"/>
  <c r="K25" i="24"/>
  <c r="L25" i="24"/>
  <c r="N25" i="24"/>
  <c r="O25" i="24"/>
  <c r="P25" i="24"/>
  <c r="Q25" i="24"/>
  <c r="R25" i="24"/>
  <c r="S25" i="24"/>
  <c r="T25" i="24"/>
  <c r="U25" i="24"/>
  <c r="V25" i="24"/>
  <c r="W25" i="24"/>
  <c r="X25" i="24"/>
  <c r="Y25" i="24"/>
  <c r="Z25" i="24"/>
  <c r="AA25" i="24"/>
  <c r="AB25" i="24"/>
  <c r="AC25" i="24"/>
  <c r="AD25" i="24"/>
  <c r="AE25" i="24"/>
  <c r="AF25" i="24"/>
  <c r="AG25" i="24"/>
  <c r="AH25" i="24"/>
  <c r="AI25" i="24"/>
  <c r="AJ25" i="24"/>
  <c r="AK25" i="24"/>
  <c r="AL25" i="24"/>
  <c r="AM25" i="24"/>
  <c r="AN25" i="24"/>
  <c r="AO25" i="24"/>
  <c r="AP25" i="24"/>
  <c r="AQ25" i="24"/>
  <c r="AR25" i="24"/>
  <c r="AS25" i="24"/>
  <c r="AU25" i="24"/>
  <c r="AV25" i="24"/>
  <c r="AW25" i="24"/>
  <c r="AX25" i="24"/>
  <c r="AY25" i="24"/>
  <c r="AZ25" i="24"/>
  <c r="BA25" i="24"/>
  <c r="BB25" i="24"/>
  <c r="BC25" i="24"/>
  <c r="BD25" i="24"/>
  <c r="BE25" i="24"/>
  <c r="BF25" i="24"/>
  <c r="BG25" i="24"/>
  <c r="BH25" i="24"/>
  <c r="BI25" i="24"/>
  <c r="BJ25" i="24"/>
  <c r="BK25" i="24"/>
  <c r="BL25" i="24"/>
  <c r="BM25" i="24"/>
  <c r="BN25" i="24"/>
  <c r="BO25" i="24"/>
  <c r="BP25" i="24"/>
  <c r="BQ25" i="24"/>
  <c r="I26" i="24"/>
  <c r="J26" i="24"/>
  <c r="K26" i="24"/>
  <c r="L26" i="24"/>
  <c r="N26" i="24"/>
  <c r="O26" i="24"/>
  <c r="P26" i="24"/>
  <c r="Q26" i="24"/>
  <c r="R26" i="24"/>
  <c r="S26" i="24"/>
  <c r="T26" i="24"/>
  <c r="U26" i="24"/>
  <c r="V26" i="24"/>
  <c r="W26" i="24"/>
  <c r="X26" i="24"/>
  <c r="Y26" i="24"/>
  <c r="Z26" i="24"/>
  <c r="AA26" i="24"/>
  <c r="AB26" i="24"/>
  <c r="AC26" i="24"/>
  <c r="AD26" i="24"/>
  <c r="AE26" i="24"/>
  <c r="AF26" i="24"/>
  <c r="AG26" i="24"/>
  <c r="AH26" i="24"/>
  <c r="AI26" i="24"/>
  <c r="AJ26" i="24"/>
  <c r="AK26" i="24"/>
  <c r="AL26" i="24"/>
  <c r="AM26" i="24"/>
  <c r="AN26" i="24"/>
  <c r="AO26" i="24"/>
  <c r="AP26" i="24"/>
  <c r="AQ26" i="24"/>
  <c r="AR26" i="24"/>
  <c r="AS26" i="24"/>
  <c r="AU26" i="24"/>
  <c r="AV26" i="24"/>
  <c r="AW26" i="24"/>
  <c r="AX26" i="24"/>
  <c r="AY26" i="24"/>
  <c r="AZ26" i="24"/>
  <c r="BA26" i="24"/>
  <c r="BB26" i="24"/>
  <c r="BC26" i="24"/>
  <c r="BD26" i="24"/>
  <c r="BE26" i="24"/>
  <c r="BF26" i="24"/>
  <c r="BG26" i="24"/>
  <c r="BH26" i="24"/>
  <c r="BI26" i="24"/>
  <c r="BJ26" i="24"/>
  <c r="BK26" i="24"/>
  <c r="BL26" i="24"/>
  <c r="BM26" i="24"/>
  <c r="BN26" i="24"/>
  <c r="BO26" i="24"/>
  <c r="BP26" i="24"/>
  <c r="BQ26" i="24"/>
  <c r="I27" i="24"/>
  <c r="J27" i="24"/>
  <c r="K27" i="24"/>
  <c r="L27" i="24"/>
  <c r="N27" i="24"/>
  <c r="O27" i="24"/>
  <c r="P27" i="24"/>
  <c r="Q27" i="24"/>
  <c r="R27" i="24"/>
  <c r="S27" i="24"/>
  <c r="T27" i="24"/>
  <c r="U27" i="24"/>
  <c r="V27" i="24"/>
  <c r="W27" i="24"/>
  <c r="X27" i="24"/>
  <c r="Y27" i="24"/>
  <c r="Z27" i="24"/>
  <c r="AA27" i="24"/>
  <c r="AB27" i="24"/>
  <c r="AC27" i="24"/>
  <c r="AD27" i="24"/>
  <c r="AE27" i="24"/>
  <c r="AF27" i="24"/>
  <c r="AG27" i="24"/>
  <c r="AH27" i="24"/>
  <c r="AI27" i="24"/>
  <c r="AJ27" i="24"/>
  <c r="AK27" i="24"/>
  <c r="AL27" i="24"/>
  <c r="AM27" i="24"/>
  <c r="AN27" i="24"/>
  <c r="AO27" i="24"/>
  <c r="AP27" i="24"/>
  <c r="AQ27" i="24"/>
  <c r="AR27" i="24"/>
  <c r="AS27" i="24"/>
  <c r="AU27" i="24"/>
  <c r="AV27" i="24"/>
  <c r="AW27" i="24"/>
  <c r="AX27" i="24"/>
  <c r="AY27" i="24"/>
  <c r="AZ27" i="24"/>
  <c r="BA27" i="24"/>
  <c r="BB27" i="24"/>
  <c r="BC27" i="24"/>
  <c r="BD27" i="24"/>
  <c r="BE27" i="24"/>
  <c r="BF27" i="24"/>
  <c r="BG27" i="24"/>
  <c r="BH27" i="24"/>
  <c r="BI27" i="24"/>
  <c r="BJ27" i="24"/>
  <c r="BK27" i="24"/>
  <c r="BL27" i="24"/>
  <c r="BM27" i="24"/>
  <c r="BN27" i="24"/>
  <c r="BO27" i="24"/>
  <c r="BP27" i="24"/>
  <c r="BQ27" i="24"/>
  <c r="I28" i="24"/>
  <c r="J28" i="24"/>
  <c r="K28" i="24"/>
  <c r="L28" i="24"/>
  <c r="N28" i="24"/>
  <c r="O28" i="24"/>
  <c r="P28" i="24"/>
  <c r="Q28" i="24"/>
  <c r="R28" i="24"/>
  <c r="S28" i="24"/>
  <c r="T28" i="24"/>
  <c r="U28" i="24"/>
  <c r="V28" i="24"/>
  <c r="W28" i="24"/>
  <c r="X28" i="24"/>
  <c r="Y28" i="24"/>
  <c r="Z28" i="24"/>
  <c r="AA28" i="24"/>
  <c r="AB28" i="24"/>
  <c r="AC28" i="24"/>
  <c r="AD28" i="24"/>
  <c r="AE28" i="24"/>
  <c r="AF28" i="24"/>
  <c r="AG28" i="24"/>
  <c r="AH28" i="24"/>
  <c r="AI28" i="24"/>
  <c r="AJ28" i="24"/>
  <c r="AK28" i="24"/>
  <c r="AL28" i="24"/>
  <c r="AM28" i="24"/>
  <c r="AN28" i="24"/>
  <c r="AO28" i="24"/>
  <c r="AP28" i="24"/>
  <c r="AQ28" i="24"/>
  <c r="AR28" i="24"/>
  <c r="AS28" i="24"/>
  <c r="AU28" i="24"/>
  <c r="AV28" i="24"/>
  <c r="AW28" i="24"/>
  <c r="AX28" i="24"/>
  <c r="AY28" i="24"/>
  <c r="AZ28" i="24"/>
  <c r="BA28" i="24"/>
  <c r="BB28" i="24"/>
  <c r="BC28" i="24"/>
  <c r="BD28" i="24"/>
  <c r="BE28" i="24"/>
  <c r="BF28" i="24"/>
  <c r="BG28" i="24"/>
  <c r="BH28" i="24"/>
  <c r="BI28" i="24"/>
  <c r="BJ28" i="24"/>
  <c r="BK28" i="24"/>
  <c r="BL28" i="24"/>
  <c r="BM28" i="24"/>
  <c r="BN28" i="24"/>
  <c r="BO28" i="24"/>
  <c r="BP28" i="24"/>
  <c r="BQ28" i="24"/>
  <c r="I29" i="24"/>
  <c r="J29" i="24"/>
  <c r="K29" i="24"/>
  <c r="L29" i="24"/>
  <c r="N29" i="24"/>
  <c r="O29" i="24"/>
  <c r="P29" i="24"/>
  <c r="Q29" i="24"/>
  <c r="R29" i="24"/>
  <c r="S29" i="24"/>
  <c r="T29" i="24"/>
  <c r="U29" i="24"/>
  <c r="V29" i="24"/>
  <c r="W29" i="24"/>
  <c r="X29" i="24"/>
  <c r="Y29" i="24"/>
  <c r="Z29" i="24"/>
  <c r="AA29" i="24"/>
  <c r="AB29" i="24"/>
  <c r="AC29" i="24"/>
  <c r="AD29" i="24"/>
  <c r="AE29" i="24"/>
  <c r="AF29" i="24"/>
  <c r="AG29" i="24"/>
  <c r="AH29" i="24"/>
  <c r="AI29" i="24"/>
  <c r="AJ29" i="24"/>
  <c r="AK29" i="24"/>
  <c r="AL29" i="24"/>
  <c r="AM29" i="24"/>
  <c r="AN29" i="24"/>
  <c r="AO29" i="24"/>
  <c r="AP29" i="24"/>
  <c r="AQ29" i="24"/>
  <c r="AR29" i="24"/>
  <c r="AS29" i="24"/>
  <c r="AU29" i="24"/>
  <c r="AV29" i="24"/>
  <c r="AW29" i="24"/>
  <c r="AX29" i="24"/>
  <c r="AY29" i="24"/>
  <c r="AZ29" i="24"/>
  <c r="BA29" i="24"/>
  <c r="BB29" i="24"/>
  <c r="BC29" i="24"/>
  <c r="BD29" i="24"/>
  <c r="BE29" i="24"/>
  <c r="BF29" i="24"/>
  <c r="BG29" i="24"/>
  <c r="BH29" i="24"/>
  <c r="BI29" i="24"/>
  <c r="BJ29" i="24"/>
  <c r="BK29" i="24"/>
  <c r="BL29" i="24"/>
  <c r="BM29" i="24"/>
  <c r="BN29" i="24"/>
  <c r="BO29" i="24"/>
  <c r="BP29" i="24"/>
  <c r="BQ29" i="24"/>
  <c r="I30" i="24"/>
  <c r="J30" i="24"/>
  <c r="K30" i="24"/>
  <c r="L30" i="24"/>
  <c r="N30" i="24"/>
  <c r="O30" i="24"/>
  <c r="P30" i="24"/>
  <c r="Q30" i="24"/>
  <c r="R30" i="24"/>
  <c r="S30" i="24"/>
  <c r="T30" i="24"/>
  <c r="U30" i="24"/>
  <c r="V30" i="24"/>
  <c r="W30" i="24"/>
  <c r="X30" i="24"/>
  <c r="Y30" i="24"/>
  <c r="Z30" i="24"/>
  <c r="AA30" i="24"/>
  <c r="AB30" i="24"/>
  <c r="AC30" i="24"/>
  <c r="AD30" i="24"/>
  <c r="AE30" i="24"/>
  <c r="AF30" i="24"/>
  <c r="AG30" i="24"/>
  <c r="AH30" i="24"/>
  <c r="AI30" i="24"/>
  <c r="AJ30" i="24"/>
  <c r="AK30" i="24"/>
  <c r="AL30" i="24"/>
  <c r="AM30" i="24"/>
  <c r="AN30" i="24"/>
  <c r="AO30" i="24"/>
  <c r="AP30" i="24"/>
  <c r="AQ30" i="24"/>
  <c r="AR30" i="24"/>
  <c r="AS30" i="24"/>
  <c r="AU30" i="24"/>
  <c r="AV30" i="24"/>
  <c r="AW30" i="24"/>
  <c r="AX30" i="24"/>
  <c r="AY30" i="24"/>
  <c r="AZ30" i="24"/>
  <c r="BA30" i="24"/>
  <c r="BB30" i="24"/>
  <c r="BC30" i="24"/>
  <c r="BD30" i="24"/>
  <c r="BE30" i="24"/>
  <c r="BF30" i="24"/>
  <c r="BG30" i="24"/>
  <c r="BH30" i="24"/>
  <c r="BI30" i="24"/>
  <c r="BJ30" i="24"/>
  <c r="BK30" i="24"/>
  <c r="BL30" i="24"/>
  <c r="BM30" i="24"/>
  <c r="BN30" i="24"/>
  <c r="BO30" i="24"/>
  <c r="BP30" i="24"/>
  <c r="BQ30" i="24"/>
  <c r="I31" i="24"/>
  <c r="J31" i="24"/>
  <c r="K31" i="24"/>
  <c r="L31" i="24"/>
  <c r="N31" i="24"/>
  <c r="O31" i="24"/>
  <c r="P31" i="24"/>
  <c r="Q31" i="24"/>
  <c r="R31" i="24"/>
  <c r="S31" i="24"/>
  <c r="T31" i="24"/>
  <c r="U31" i="24"/>
  <c r="V31" i="24"/>
  <c r="W31" i="24"/>
  <c r="X31" i="24"/>
  <c r="Y31" i="24"/>
  <c r="Z31" i="24"/>
  <c r="AA31" i="24"/>
  <c r="AB31" i="24"/>
  <c r="AC31" i="24"/>
  <c r="AD31" i="24"/>
  <c r="AE31" i="24"/>
  <c r="AF31" i="24"/>
  <c r="AG31" i="24"/>
  <c r="AH31" i="24"/>
  <c r="AI31" i="24"/>
  <c r="AJ31" i="24"/>
  <c r="AK31" i="24"/>
  <c r="AL31" i="24"/>
  <c r="AM31" i="24"/>
  <c r="AN31" i="24"/>
  <c r="AO31" i="24"/>
  <c r="AP31" i="24"/>
  <c r="AQ31" i="24"/>
  <c r="AR31" i="24"/>
  <c r="AS31" i="24"/>
  <c r="AU31" i="24"/>
  <c r="AV31" i="24"/>
  <c r="AW31" i="24"/>
  <c r="AX31" i="24"/>
  <c r="AY31" i="24"/>
  <c r="AZ31" i="24"/>
  <c r="BA31" i="24"/>
  <c r="BB31" i="24"/>
  <c r="BC31" i="24"/>
  <c r="BD31" i="24"/>
  <c r="BE31" i="24"/>
  <c r="BF31" i="24"/>
  <c r="BG31" i="24"/>
  <c r="BH31" i="24"/>
  <c r="BI31" i="24"/>
  <c r="BJ31" i="24"/>
  <c r="BK31" i="24"/>
  <c r="BL31" i="24"/>
  <c r="BM31" i="24"/>
  <c r="BN31" i="24"/>
  <c r="BO31" i="24"/>
  <c r="BP31" i="24"/>
  <c r="BQ31" i="24"/>
  <c r="I32" i="24"/>
  <c r="J32" i="24"/>
  <c r="K32" i="24"/>
  <c r="L32" i="24"/>
  <c r="N32" i="24"/>
  <c r="O32" i="24"/>
  <c r="P32" i="24"/>
  <c r="Q32" i="24"/>
  <c r="R32" i="24"/>
  <c r="S32" i="24"/>
  <c r="T32" i="24"/>
  <c r="U32" i="24"/>
  <c r="V32" i="24"/>
  <c r="W32" i="24"/>
  <c r="X32" i="24"/>
  <c r="Y32" i="24"/>
  <c r="Z32" i="24"/>
  <c r="AA32" i="24"/>
  <c r="AB32" i="24"/>
  <c r="AC32" i="24"/>
  <c r="AD32" i="24"/>
  <c r="AE32" i="24"/>
  <c r="AF32" i="24"/>
  <c r="AG32" i="24"/>
  <c r="AH32" i="24"/>
  <c r="AI32" i="24"/>
  <c r="AJ32" i="24"/>
  <c r="AK32" i="24"/>
  <c r="AL32" i="24"/>
  <c r="AM32" i="24"/>
  <c r="AN32" i="24"/>
  <c r="AO32" i="24"/>
  <c r="AP32" i="24"/>
  <c r="AQ32" i="24"/>
  <c r="AR32" i="24"/>
  <c r="AS32" i="24"/>
  <c r="AU32" i="24"/>
  <c r="AV32" i="24"/>
  <c r="AW32" i="24"/>
  <c r="AX32" i="24"/>
  <c r="AY32" i="24"/>
  <c r="AZ32" i="24"/>
  <c r="BA32" i="24"/>
  <c r="BB32" i="24"/>
  <c r="BC32" i="24"/>
  <c r="BD32" i="24"/>
  <c r="BE32" i="24"/>
  <c r="BF32" i="24"/>
  <c r="BG32" i="24"/>
  <c r="BH32" i="24"/>
  <c r="BI32" i="24"/>
  <c r="BJ32" i="24"/>
  <c r="BK32" i="24"/>
  <c r="BL32" i="24"/>
  <c r="BM32" i="24"/>
  <c r="BN32" i="24"/>
  <c r="BO32" i="24"/>
  <c r="BP32" i="24"/>
  <c r="BQ32" i="24"/>
  <c r="I33" i="24"/>
  <c r="J33" i="24"/>
  <c r="K33" i="24"/>
  <c r="L33" i="24"/>
  <c r="N33" i="24"/>
  <c r="O33" i="24"/>
  <c r="P33" i="24"/>
  <c r="Q33" i="24"/>
  <c r="R33" i="24"/>
  <c r="S33" i="24"/>
  <c r="T33" i="24"/>
  <c r="U33" i="24"/>
  <c r="V33" i="24"/>
  <c r="W33" i="24"/>
  <c r="X33" i="24"/>
  <c r="Y33" i="24"/>
  <c r="Z33" i="24"/>
  <c r="AA33" i="24"/>
  <c r="AB33" i="24"/>
  <c r="AC33" i="24"/>
  <c r="AD33" i="24"/>
  <c r="AE33" i="24"/>
  <c r="AF33" i="24"/>
  <c r="AG33" i="24"/>
  <c r="AH33" i="24"/>
  <c r="AI33" i="24"/>
  <c r="AJ33" i="24"/>
  <c r="AK33" i="24"/>
  <c r="AL33" i="24"/>
  <c r="AM33" i="24"/>
  <c r="AN33" i="24"/>
  <c r="AO33" i="24"/>
  <c r="AP33" i="24"/>
  <c r="AQ33" i="24"/>
  <c r="AR33" i="24"/>
  <c r="AS33" i="24"/>
  <c r="AU33" i="24"/>
  <c r="AV33" i="24"/>
  <c r="AW33" i="24"/>
  <c r="AX33" i="24"/>
  <c r="AY33" i="24"/>
  <c r="AZ33" i="24"/>
  <c r="BA33" i="24"/>
  <c r="BB33" i="24"/>
  <c r="BC33" i="24"/>
  <c r="BD33" i="24"/>
  <c r="BE33" i="24"/>
  <c r="BF33" i="24"/>
  <c r="BG33" i="24"/>
  <c r="BH33" i="24"/>
  <c r="BI33" i="24"/>
  <c r="BJ33" i="24"/>
  <c r="BK33" i="24"/>
  <c r="BL33" i="24"/>
  <c r="BM33" i="24"/>
  <c r="BN33" i="24"/>
  <c r="BO33" i="24"/>
  <c r="BP33" i="24"/>
  <c r="BQ33" i="24"/>
  <c r="I34" i="24"/>
  <c r="J34" i="24"/>
  <c r="K34" i="24"/>
  <c r="L34" i="24"/>
  <c r="N34" i="24"/>
  <c r="O34" i="24"/>
  <c r="P34" i="24"/>
  <c r="Q34" i="24"/>
  <c r="R34" i="24"/>
  <c r="S34" i="24"/>
  <c r="T34" i="24"/>
  <c r="U34" i="24"/>
  <c r="V34" i="24"/>
  <c r="W34" i="24"/>
  <c r="X34" i="24"/>
  <c r="Y34" i="24"/>
  <c r="Z34" i="24"/>
  <c r="AA34" i="24"/>
  <c r="AB34" i="24"/>
  <c r="AC34" i="24"/>
  <c r="AD34" i="24"/>
  <c r="AE34" i="24"/>
  <c r="AF34" i="24"/>
  <c r="AG34" i="24"/>
  <c r="AH34" i="24"/>
  <c r="AI34" i="24"/>
  <c r="AJ34" i="24"/>
  <c r="AK34" i="24"/>
  <c r="AL34" i="24"/>
  <c r="AM34" i="24"/>
  <c r="AN34" i="24"/>
  <c r="AO34" i="24"/>
  <c r="AP34" i="24"/>
  <c r="AQ34" i="24"/>
  <c r="AR34" i="24"/>
  <c r="AS34" i="24"/>
  <c r="AU34" i="24"/>
  <c r="AV34" i="24"/>
  <c r="AW34" i="24"/>
  <c r="AX34" i="24"/>
  <c r="AY34" i="24"/>
  <c r="AZ34" i="24"/>
  <c r="BA34" i="24"/>
  <c r="BB34" i="24"/>
  <c r="BC34" i="24"/>
  <c r="BD34" i="24"/>
  <c r="BE34" i="24"/>
  <c r="BF34" i="24"/>
  <c r="BG34" i="24"/>
  <c r="BH34" i="24"/>
  <c r="BI34" i="24"/>
  <c r="BJ34" i="24"/>
  <c r="BK34" i="24"/>
  <c r="BL34" i="24"/>
  <c r="BM34" i="24"/>
  <c r="BN34" i="24"/>
  <c r="BO34" i="24"/>
  <c r="BP34" i="24"/>
  <c r="BQ34" i="24"/>
  <c r="I35" i="24"/>
  <c r="J35" i="24"/>
  <c r="K35" i="24"/>
  <c r="L35" i="24"/>
  <c r="N35" i="24"/>
  <c r="O35" i="24"/>
  <c r="P35" i="24"/>
  <c r="Q35" i="24"/>
  <c r="R35" i="24"/>
  <c r="S35" i="24"/>
  <c r="T35" i="24"/>
  <c r="U35" i="24"/>
  <c r="V35" i="24"/>
  <c r="W35" i="24"/>
  <c r="X35" i="24"/>
  <c r="Y35" i="24"/>
  <c r="Z35" i="24"/>
  <c r="AA35" i="24"/>
  <c r="AB35" i="24"/>
  <c r="AC35" i="24"/>
  <c r="AD35" i="24"/>
  <c r="AE35" i="24"/>
  <c r="AF35" i="24"/>
  <c r="AG35" i="24"/>
  <c r="AH35" i="24"/>
  <c r="AI35" i="24"/>
  <c r="AJ35" i="24"/>
  <c r="AK35" i="24"/>
  <c r="AL35" i="24"/>
  <c r="AM35" i="24"/>
  <c r="AN35" i="24"/>
  <c r="AO35" i="24"/>
  <c r="AP35" i="24"/>
  <c r="AQ35" i="24"/>
  <c r="AR35" i="24"/>
  <c r="AS35" i="24"/>
  <c r="AU35" i="24"/>
  <c r="AV35" i="24"/>
  <c r="AW35" i="24"/>
  <c r="AX35" i="24"/>
  <c r="AY35" i="24"/>
  <c r="AZ35" i="24"/>
  <c r="BA35" i="24"/>
  <c r="BB35" i="24"/>
  <c r="BC35" i="24"/>
  <c r="BD35" i="24"/>
  <c r="BE35" i="24"/>
  <c r="BF35" i="24"/>
  <c r="BG35" i="24"/>
  <c r="BH35" i="24"/>
  <c r="BI35" i="24"/>
  <c r="BJ35" i="24"/>
  <c r="BK35" i="24"/>
  <c r="BL35" i="24"/>
  <c r="BM35" i="24"/>
  <c r="BN35" i="24"/>
  <c r="BO35" i="24"/>
  <c r="BP35" i="24"/>
  <c r="BQ35" i="24"/>
  <c r="I36" i="24"/>
  <c r="J36" i="24"/>
  <c r="K36" i="24"/>
  <c r="L36" i="24"/>
  <c r="N36" i="24"/>
  <c r="P36" i="24"/>
  <c r="Q36" i="24"/>
  <c r="R36" i="24"/>
  <c r="S36" i="24"/>
  <c r="T36" i="24"/>
  <c r="U36" i="24"/>
  <c r="V36" i="24"/>
  <c r="W36" i="24"/>
  <c r="X36" i="24"/>
  <c r="Y36" i="24"/>
  <c r="Z36" i="24"/>
  <c r="AA36" i="24"/>
  <c r="AB36" i="24"/>
  <c r="AC36" i="24"/>
  <c r="AD36" i="24"/>
  <c r="AE36" i="24"/>
  <c r="AF36" i="24"/>
  <c r="AG36" i="24"/>
  <c r="AH36" i="24"/>
  <c r="AI36" i="24"/>
  <c r="AJ36" i="24"/>
  <c r="AK36" i="24"/>
  <c r="AL36" i="24"/>
  <c r="AM36" i="24"/>
  <c r="AN36" i="24"/>
  <c r="AO36" i="24"/>
  <c r="AP36" i="24"/>
  <c r="AQ36" i="24"/>
  <c r="AR36" i="24"/>
  <c r="AS36" i="24"/>
  <c r="AU36" i="24"/>
  <c r="AV36" i="24"/>
  <c r="AW36" i="24"/>
  <c r="AX36" i="24"/>
  <c r="AY36" i="24"/>
  <c r="AZ36" i="24"/>
  <c r="BA36" i="24"/>
  <c r="BB36" i="24"/>
  <c r="BC36" i="24"/>
  <c r="BD36" i="24"/>
  <c r="BE36" i="24"/>
  <c r="BF36" i="24"/>
  <c r="BG36" i="24"/>
  <c r="BH36" i="24"/>
  <c r="BI36" i="24"/>
  <c r="BJ36" i="24"/>
  <c r="BK36" i="24"/>
  <c r="BL36" i="24"/>
  <c r="BM36" i="24"/>
  <c r="BN36" i="24"/>
  <c r="BO36" i="24"/>
  <c r="BP36" i="24"/>
  <c r="BQ36" i="24"/>
  <c r="I37" i="24"/>
  <c r="J37" i="24"/>
  <c r="K37" i="24"/>
  <c r="L37" i="24"/>
  <c r="N37" i="24"/>
  <c r="P37" i="24"/>
  <c r="Q37" i="24"/>
  <c r="R37" i="24"/>
  <c r="S37" i="24"/>
  <c r="T37" i="24"/>
  <c r="U37" i="24"/>
  <c r="V37" i="24"/>
  <c r="W37" i="24"/>
  <c r="X37" i="24"/>
  <c r="Y37" i="24"/>
  <c r="Z37" i="24"/>
  <c r="AA37" i="24"/>
  <c r="AB37" i="24"/>
  <c r="AC37" i="24"/>
  <c r="AD37" i="24"/>
  <c r="AE37" i="24"/>
  <c r="AF37" i="24"/>
  <c r="AG37" i="24"/>
  <c r="AH37" i="24"/>
  <c r="AI37" i="24"/>
  <c r="AJ37" i="24"/>
  <c r="AK37" i="24"/>
  <c r="AL37" i="24"/>
  <c r="AM37" i="24"/>
  <c r="AN37" i="24"/>
  <c r="AO37" i="24"/>
  <c r="AP37" i="24"/>
  <c r="AQ37" i="24"/>
  <c r="AR37" i="24"/>
  <c r="AS37" i="24"/>
  <c r="AU37" i="24"/>
  <c r="AV37" i="24"/>
  <c r="AW37" i="24"/>
  <c r="AX37" i="24"/>
  <c r="AY37" i="24"/>
  <c r="AZ37" i="24"/>
  <c r="BA37" i="24"/>
  <c r="BB37" i="24"/>
  <c r="BC37" i="24"/>
  <c r="BD37" i="24"/>
  <c r="BE37" i="24"/>
  <c r="BF37" i="24"/>
  <c r="BG37" i="24"/>
  <c r="BH37" i="24"/>
  <c r="BI37" i="24"/>
  <c r="BJ37" i="24"/>
  <c r="BK37" i="24"/>
  <c r="BL37" i="24"/>
  <c r="BM37" i="24"/>
  <c r="BN37" i="24"/>
  <c r="BO37" i="24"/>
  <c r="BP37" i="24"/>
  <c r="BQ37" i="24"/>
  <c r="I38" i="24"/>
  <c r="J38" i="24"/>
  <c r="K38" i="24"/>
  <c r="L38" i="24"/>
  <c r="N38" i="24"/>
  <c r="O38" i="24"/>
  <c r="P38" i="24"/>
  <c r="Q38" i="24"/>
  <c r="R38" i="24"/>
  <c r="S38" i="24"/>
  <c r="T38" i="24"/>
  <c r="U38" i="24"/>
  <c r="V38" i="24"/>
  <c r="W38" i="24"/>
  <c r="X38" i="24"/>
  <c r="Y38" i="24"/>
  <c r="Z38" i="24"/>
  <c r="AA38" i="24"/>
  <c r="AB38" i="24"/>
  <c r="AC38" i="24"/>
  <c r="AD38" i="24"/>
  <c r="AE38" i="24"/>
  <c r="AF38" i="24"/>
  <c r="AG38" i="24"/>
  <c r="AH38" i="24"/>
  <c r="AI38" i="24"/>
  <c r="AJ38" i="24"/>
  <c r="AK38" i="24"/>
  <c r="AL38" i="24"/>
  <c r="AM38" i="24"/>
  <c r="AN38" i="24"/>
  <c r="AO38" i="24"/>
  <c r="AP38" i="24"/>
  <c r="AQ38" i="24"/>
  <c r="AR38" i="24"/>
  <c r="AS38" i="24"/>
  <c r="AU38" i="24"/>
  <c r="AV38" i="24"/>
  <c r="AW38" i="24"/>
  <c r="AX38" i="24"/>
  <c r="AY38" i="24"/>
  <c r="AZ38" i="24"/>
  <c r="BA38" i="24"/>
  <c r="BB38" i="24"/>
  <c r="BC38" i="24"/>
  <c r="BD38" i="24"/>
  <c r="BE38" i="24"/>
  <c r="BF38" i="24"/>
  <c r="BG38" i="24"/>
  <c r="BH38" i="24"/>
  <c r="BI38" i="24"/>
  <c r="BJ38" i="24"/>
  <c r="BK38" i="24"/>
  <c r="BL38" i="24"/>
  <c r="BM38" i="24"/>
  <c r="BN38" i="24"/>
  <c r="BO38" i="24"/>
  <c r="BP38" i="24"/>
  <c r="BQ38" i="24"/>
  <c r="I39" i="24"/>
  <c r="J39" i="24"/>
  <c r="K39" i="24"/>
  <c r="L39" i="24"/>
  <c r="N39" i="24"/>
  <c r="O39" i="24"/>
  <c r="P39" i="24"/>
  <c r="Q39" i="24"/>
  <c r="R39" i="24"/>
  <c r="S39" i="24"/>
  <c r="T39" i="24"/>
  <c r="U39" i="24"/>
  <c r="V39" i="24"/>
  <c r="W39" i="24"/>
  <c r="X39" i="24"/>
  <c r="Y39" i="24"/>
  <c r="Z39" i="24"/>
  <c r="AA39" i="24"/>
  <c r="AB39" i="24"/>
  <c r="AC39" i="24"/>
  <c r="AD39" i="24"/>
  <c r="AE39" i="24"/>
  <c r="AF39" i="24"/>
  <c r="AG39" i="24"/>
  <c r="AH39" i="24"/>
  <c r="AI39" i="24"/>
  <c r="AJ39" i="24"/>
  <c r="AK39" i="24"/>
  <c r="AL39" i="24"/>
  <c r="AM39" i="24"/>
  <c r="AN39" i="24"/>
  <c r="AO39" i="24"/>
  <c r="AP39" i="24"/>
  <c r="AQ39" i="24"/>
  <c r="AR39" i="24"/>
  <c r="AS39" i="24"/>
  <c r="AU39" i="24"/>
  <c r="AV39" i="24"/>
  <c r="AW39" i="24"/>
  <c r="AX39" i="24"/>
  <c r="AY39" i="24"/>
  <c r="AZ39" i="24"/>
  <c r="BA39" i="24"/>
  <c r="BB39" i="24"/>
  <c r="BC39" i="24"/>
  <c r="BD39" i="24"/>
  <c r="BE39" i="24"/>
  <c r="BF39" i="24"/>
  <c r="BG39" i="24"/>
  <c r="BH39" i="24"/>
  <c r="BI39" i="24"/>
  <c r="BJ39" i="24"/>
  <c r="BK39" i="24"/>
  <c r="BL39" i="24"/>
  <c r="BM39" i="24"/>
  <c r="BN39" i="24"/>
  <c r="BO39" i="24"/>
  <c r="BP39" i="24"/>
  <c r="BQ39" i="24"/>
  <c r="I40" i="24"/>
  <c r="J40" i="24"/>
  <c r="K40" i="24"/>
  <c r="L40" i="24"/>
  <c r="N40" i="24"/>
  <c r="O40" i="24"/>
  <c r="P40" i="24"/>
  <c r="Q40" i="24"/>
  <c r="R40" i="24"/>
  <c r="S40" i="24"/>
  <c r="T40" i="24"/>
  <c r="U40" i="24"/>
  <c r="V40" i="24"/>
  <c r="W40" i="24"/>
  <c r="X40" i="24"/>
  <c r="Y40" i="24"/>
  <c r="Z40" i="24"/>
  <c r="AA40" i="24"/>
  <c r="AB40" i="24"/>
  <c r="AC40" i="24"/>
  <c r="AD40" i="24"/>
  <c r="AE40" i="24"/>
  <c r="AF40" i="24"/>
  <c r="AG40" i="24"/>
  <c r="AH40" i="24"/>
  <c r="AI40" i="24"/>
  <c r="AJ40" i="24"/>
  <c r="AK40" i="24"/>
  <c r="AL40" i="24"/>
  <c r="AM40" i="24"/>
  <c r="AN40" i="24"/>
  <c r="AO40" i="24"/>
  <c r="AP40" i="24"/>
  <c r="AQ40" i="24"/>
  <c r="AR40" i="24"/>
  <c r="AS40" i="24"/>
  <c r="AU40" i="24"/>
  <c r="AV40" i="24"/>
  <c r="AW40" i="24"/>
  <c r="AX40" i="24"/>
  <c r="AY40" i="24"/>
  <c r="AZ40" i="24"/>
  <c r="BA40" i="24"/>
  <c r="BB40" i="24"/>
  <c r="BC40" i="24"/>
  <c r="BD40" i="24"/>
  <c r="BE40" i="24"/>
  <c r="BF40" i="24"/>
  <c r="BG40" i="24"/>
  <c r="BH40" i="24"/>
  <c r="BI40" i="24"/>
  <c r="BJ40" i="24"/>
  <c r="BK40" i="24"/>
  <c r="BL40" i="24"/>
  <c r="BM40" i="24"/>
  <c r="BN40" i="24"/>
  <c r="BO40" i="24"/>
  <c r="BP40" i="24"/>
  <c r="BQ40" i="24"/>
  <c r="I41" i="24"/>
  <c r="J41" i="24"/>
  <c r="K41" i="24"/>
  <c r="L41" i="24"/>
  <c r="N41" i="24"/>
  <c r="O41" i="24"/>
  <c r="P41" i="24"/>
  <c r="Q41" i="24"/>
  <c r="R41" i="24"/>
  <c r="S41" i="24"/>
  <c r="T41" i="24"/>
  <c r="U41" i="24"/>
  <c r="V41" i="24"/>
  <c r="W41" i="24"/>
  <c r="X41" i="24"/>
  <c r="Y41" i="24"/>
  <c r="Z41" i="24"/>
  <c r="AA41" i="24"/>
  <c r="AB41" i="24"/>
  <c r="AC41" i="24"/>
  <c r="AD41" i="24"/>
  <c r="AE41" i="24"/>
  <c r="AF41" i="24"/>
  <c r="AG41" i="24"/>
  <c r="AH41" i="24"/>
  <c r="AI41" i="24"/>
  <c r="AJ41" i="24"/>
  <c r="AK41" i="24"/>
  <c r="AL41" i="24"/>
  <c r="AM41" i="24"/>
  <c r="AN41" i="24"/>
  <c r="AO41" i="24"/>
  <c r="AP41" i="24"/>
  <c r="AQ41" i="24"/>
  <c r="AR41" i="24"/>
  <c r="AS41" i="24"/>
  <c r="AU41" i="24"/>
  <c r="AV41" i="24"/>
  <c r="AW41" i="24"/>
  <c r="AX41" i="24"/>
  <c r="AY41" i="24"/>
  <c r="AZ41" i="24"/>
  <c r="BA41" i="24"/>
  <c r="BB41" i="24"/>
  <c r="BC41" i="24"/>
  <c r="BD41" i="24"/>
  <c r="BE41" i="24"/>
  <c r="BF41" i="24"/>
  <c r="BG41" i="24"/>
  <c r="BH41" i="24"/>
  <c r="BI41" i="24"/>
  <c r="BJ41" i="24"/>
  <c r="BK41" i="24"/>
  <c r="BL41" i="24"/>
  <c r="BM41" i="24"/>
  <c r="BN41" i="24"/>
  <c r="BO41" i="24"/>
  <c r="BP41" i="24"/>
  <c r="BQ41" i="24"/>
  <c r="H26" i="24"/>
  <c r="H27" i="24"/>
  <c r="H28" i="24"/>
  <c r="H29" i="24"/>
  <c r="H30" i="24"/>
  <c r="H31" i="24"/>
  <c r="H32" i="24"/>
  <c r="H33" i="24"/>
  <c r="H34" i="24"/>
  <c r="H35" i="24"/>
  <c r="H36" i="24"/>
  <c r="H38" i="24"/>
  <c r="H39" i="24"/>
  <c r="H40" i="24"/>
  <c r="H41" i="24"/>
  <c r="H25" i="24"/>
  <c r="H52" i="96" l="1"/>
  <c r="H10" i="96"/>
  <c r="H7" i="96"/>
  <c r="H8" i="96"/>
  <c r="H9" i="96"/>
  <c r="H12" i="96"/>
  <c r="H11" i="96"/>
  <c r="H13" i="96"/>
  <c r="H17" i="96"/>
  <c r="H15" i="96"/>
  <c r="H18" i="96"/>
  <c r="H14" i="96"/>
  <c r="H16" i="96"/>
  <c r="H23" i="96"/>
  <c r="H19" i="96"/>
  <c r="H20" i="96"/>
  <c r="H21" i="96"/>
  <c r="H22" i="96"/>
  <c r="H24" i="96"/>
  <c r="H25" i="96"/>
  <c r="H28" i="96"/>
  <c r="H27" i="96"/>
  <c r="H26" i="96"/>
  <c r="H30" i="96"/>
  <c r="H29" i="96"/>
  <c r="H33" i="96"/>
  <c r="H31" i="96"/>
  <c r="H32" i="96"/>
  <c r="H34" i="96"/>
  <c r="H35" i="96"/>
  <c r="H38" i="96"/>
  <c r="H39" i="96"/>
  <c r="H36" i="96"/>
  <c r="H37" i="96"/>
  <c r="H40" i="96"/>
  <c r="H42" i="96"/>
  <c r="H41" i="96"/>
  <c r="H50" i="96"/>
  <c r="H45" i="96"/>
  <c r="H43" i="96"/>
  <c r="H44" i="96"/>
  <c r="H48" i="96"/>
  <c r="H46" i="96"/>
  <c r="H47" i="96"/>
  <c r="E53" i="68"/>
  <c r="G52" i="68"/>
  <c r="G7" i="68"/>
  <c r="D55" i="68"/>
  <c r="D56" i="68" s="1"/>
  <c r="G8" i="68"/>
  <c r="G9" i="68"/>
  <c r="G11" i="68"/>
  <c r="G10" i="68"/>
  <c r="G13" i="68"/>
  <c r="G12" i="68"/>
  <c r="G15" i="68"/>
  <c r="G14" i="68"/>
  <c r="G17" i="68"/>
  <c r="G16" i="68"/>
  <c r="G18" i="68"/>
  <c r="G19" i="68"/>
  <c r="G20" i="68"/>
  <c r="G24" i="68"/>
  <c r="G21" i="68"/>
  <c r="G26" i="68"/>
  <c r="G25" i="68"/>
  <c r="G23" i="68"/>
  <c r="G22" i="68"/>
  <c r="G29" i="68"/>
  <c r="G28" i="68"/>
  <c r="G27" i="68"/>
  <c r="G30" i="68"/>
  <c r="G31" i="68"/>
  <c r="G33" i="68"/>
  <c r="G32" i="68"/>
  <c r="G35" i="68"/>
  <c r="G34" i="68"/>
  <c r="G36" i="68"/>
  <c r="G39" i="68"/>
  <c r="G37" i="68"/>
  <c r="G41" i="68"/>
  <c r="G38" i="68"/>
  <c r="G40" i="68"/>
  <c r="G42" i="68"/>
  <c r="G46" i="68"/>
  <c r="G43" i="68"/>
  <c r="G47" i="68"/>
  <c r="G44" i="68"/>
  <c r="G45" i="68"/>
  <c r="H51" i="96"/>
  <c r="E56" i="96"/>
  <c r="G51" i="68"/>
  <c r="E55" i="80"/>
  <c r="H53" i="68"/>
  <c r="K3" i="68"/>
  <c r="H49" i="96"/>
  <c r="H52" i="80"/>
  <c r="K3" i="80"/>
  <c r="H7" i="80"/>
  <c r="H8" i="80"/>
  <c r="H9" i="80"/>
  <c r="H11" i="80"/>
  <c r="H10" i="80"/>
  <c r="H12" i="80"/>
  <c r="H15" i="80"/>
  <c r="H13" i="80"/>
  <c r="H14" i="80"/>
  <c r="H17" i="80"/>
  <c r="H18" i="80"/>
  <c r="H16" i="80"/>
  <c r="H20" i="80"/>
  <c r="H19" i="80"/>
  <c r="H21" i="80"/>
  <c r="H23" i="80"/>
  <c r="H22" i="80"/>
  <c r="H25" i="80"/>
  <c r="H24" i="80"/>
  <c r="H28" i="80"/>
  <c r="H26" i="80"/>
  <c r="H27" i="80"/>
  <c r="H30" i="80"/>
  <c r="H31" i="80"/>
  <c r="H29" i="80"/>
  <c r="H32" i="80"/>
  <c r="H33" i="80"/>
  <c r="H34" i="80"/>
  <c r="H36" i="80"/>
  <c r="H37" i="80"/>
  <c r="H35" i="80"/>
  <c r="H39" i="80"/>
  <c r="H38" i="80"/>
  <c r="H40" i="80"/>
  <c r="H41" i="80"/>
  <c r="H44" i="80"/>
  <c r="H42" i="80"/>
  <c r="H43" i="80"/>
  <c r="H46" i="80"/>
  <c r="H50" i="80"/>
  <c r="G49" i="68"/>
  <c r="G50" i="68"/>
  <c r="E64" i="15"/>
  <c r="E69" i="15"/>
  <c r="H88" i="20"/>
  <c r="H70" i="20"/>
  <c r="H52" i="20"/>
  <c r="H22" i="20"/>
  <c r="H94" i="20"/>
  <c r="H76" i="20"/>
  <c r="H58" i="20"/>
  <c r="H106" i="20"/>
  <c r="H40" i="20"/>
  <c r="G53" i="68" l="1"/>
  <c r="K2" i="68"/>
  <c r="H8" i="13"/>
  <c r="H9" i="13"/>
  <c r="H11" i="13" l="1"/>
  <c r="H30" i="13" s="1"/>
  <c r="L11" i="13"/>
  <c r="L30" i="13" s="1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46" i="15"/>
  <c r="B47" i="15"/>
  <c r="B48" i="15"/>
  <c r="B49" i="15"/>
  <c r="B50" i="15"/>
  <c r="B51" i="15"/>
  <c r="B52" i="15"/>
  <c r="A8" i="15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H19" i="15"/>
  <c r="H13" i="15"/>
  <c r="H7" i="15"/>
  <c r="I7" i="15" s="1"/>
  <c r="A54" i="15" l="1"/>
  <c r="D54" i="15" s="1"/>
  <c r="D55" i="15" s="1"/>
  <c r="D56" i="15" s="1"/>
  <c r="D57" i="15" s="1"/>
  <c r="A53" i="15"/>
  <c r="A55" i="15"/>
  <c r="A56" i="15" s="1"/>
  <c r="A57" i="15" s="1"/>
  <c r="I13" i="15"/>
  <c r="I19" i="15"/>
  <c r="E54" i="15" l="1"/>
  <c r="E55" i="15" s="1"/>
  <c r="E56" i="15" s="1"/>
  <c r="A59" i="15"/>
  <c r="A60" i="15" s="1"/>
  <c r="A61" i="15" s="1"/>
  <c r="A58" i="15"/>
  <c r="D59" i="15"/>
  <c r="A62" i="15" l="1"/>
  <c r="A63" i="15" s="1"/>
  <c r="A64" i="15"/>
  <c r="D60" i="15"/>
  <c r="D61" i="15" s="1"/>
  <c r="D62" i="15" s="1"/>
  <c r="E57" i="15"/>
  <c r="A65" i="15" l="1"/>
  <c r="A66" i="15" s="1"/>
  <c r="D64" i="15"/>
  <c r="D65" i="15" l="1"/>
  <c r="D66" i="15" s="1"/>
  <c r="D67" i="15" s="1"/>
  <c r="E65" i="15"/>
  <c r="E66" i="15" s="1"/>
  <c r="E67" i="15" s="1"/>
  <c r="A67" i="15"/>
  <c r="A69" i="15"/>
  <c r="A70" i="15" l="1"/>
  <c r="A71" i="15" s="1"/>
  <c r="A72" i="15" s="1"/>
  <c r="D69" i="15"/>
  <c r="D70" i="15" l="1"/>
  <c r="D71" i="15" s="1"/>
  <c r="D72" i="15" s="1"/>
  <c r="E70" i="15"/>
  <c r="E71" i="15" s="1"/>
  <c r="E72" i="15" s="1"/>
  <c r="Q78" i="20" l="1"/>
  <c r="G8" i="20"/>
  <c r="I14" i="20" l="1"/>
  <c r="I7" i="20"/>
  <c r="I8" i="20"/>
  <c r="I9" i="20"/>
  <c r="I10" i="20"/>
  <c r="I11" i="20"/>
  <c r="B3" i="24"/>
  <c r="C3" i="24"/>
  <c r="D3" i="24"/>
  <c r="E3" i="24"/>
  <c r="F3" i="24"/>
  <c r="G3" i="24"/>
  <c r="H3" i="24"/>
  <c r="I3" i="24"/>
  <c r="J3" i="24"/>
  <c r="K3" i="24"/>
  <c r="L3" i="24"/>
  <c r="M3" i="24"/>
  <c r="N3" i="24"/>
  <c r="O3" i="24"/>
  <c r="P3" i="24"/>
  <c r="Q3" i="24"/>
  <c r="R3" i="24"/>
  <c r="S3" i="24"/>
  <c r="T3" i="24"/>
  <c r="U3" i="24"/>
  <c r="V3" i="24"/>
  <c r="W3" i="24"/>
  <c r="X3" i="24"/>
  <c r="Y3" i="24"/>
  <c r="Z3" i="24"/>
  <c r="AA3" i="24"/>
  <c r="AB3" i="24"/>
  <c r="AC3" i="24"/>
  <c r="AD3" i="24"/>
  <c r="AE3" i="24"/>
  <c r="AF3" i="24"/>
  <c r="AG3" i="24"/>
  <c r="AH3" i="24"/>
  <c r="AI3" i="24"/>
  <c r="AJ3" i="24"/>
  <c r="AK3" i="24"/>
  <c r="AL3" i="24"/>
  <c r="AM3" i="24"/>
  <c r="AN3" i="24"/>
  <c r="AO3" i="24"/>
  <c r="AP3" i="24"/>
  <c r="AQ3" i="24"/>
  <c r="AR3" i="24"/>
  <c r="AS3" i="24"/>
  <c r="AT3" i="24"/>
  <c r="AU3" i="24"/>
  <c r="AV3" i="24"/>
  <c r="AW3" i="24"/>
  <c r="AX3" i="24"/>
  <c r="AY3" i="24"/>
  <c r="AZ3" i="24"/>
  <c r="BA3" i="24"/>
  <c r="BB3" i="24"/>
  <c r="BC3" i="24"/>
  <c r="BD3" i="24"/>
  <c r="BE3" i="24"/>
  <c r="BF3" i="24"/>
  <c r="BG3" i="24"/>
  <c r="BH3" i="24"/>
  <c r="BI3" i="24"/>
  <c r="BJ3" i="24"/>
  <c r="BK3" i="24"/>
  <c r="BL3" i="24"/>
  <c r="BM3" i="24"/>
  <c r="BN3" i="24"/>
  <c r="BO3" i="24"/>
  <c r="BP3" i="24"/>
  <c r="BQ3" i="24"/>
  <c r="BR3" i="24"/>
  <c r="BS3" i="24"/>
  <c r="BT3" i="24"/>
  <c r="BU3" i="24"/>
  <c r="BV3" i="24"/>
  <c r="BW3" i="24"/>
  <c r="BX3" i="24"/>
  <c r="BY3" i="24"/>
  <c r="BZ3" i="24"/>
  <c r="CA3" i="24"/>
  <c r="CB3" i="24"/>
  <c r="CC3" i="24"/>
  <c r="CD3" i="24"/>
  <c r="CE3" i="24"/>
  <c r="CF3" i="24"/>
  <c r="CG3" i="24"/>
  <c r="CH3" i="24"/>
  <c r="CI3" i="24"/>
  <c r="CJ3" i="24"/>
  <c r="CK3" i="24"/>
  <c r="CL3" i="24"/>
  <c r="CM3" i="24"/>
  <c r="CN3" i="24"/>
  <c r="CO3" i="24"/>
  <c r="CP3" i="24"/>
  <c r="CQ3" i="24"/>
  <c r="CR3" i="24"/>
  <c r="CS3" i="24"/>
  <c r="CT3" i="24"/>
  <c r="CU3" i="24"/>
  <c r="CV3" i="24"/>
  <c r="CX3" i="24"/>
  <c r="CY3" i="24"/>
  <c r="CZ3" i="24"/>
  <c r="DA3" i="24"/>
  <c r="DB3" i="24"/>
  <c r="DC3" i="24"/>
  <c r="DD3" i="24"/>
  <c r="DE3" i="24"/>
  <c r="DF3" i="24"/>
  <c r="A3" i="24"/>
  <c r="G19" i="20"/>
  <c r="I19" i="20"/>
  <c r="N20" i="20"/>
  <c r="G21" i="20"/>
  <c r="I21" i="20"/>
  <c r="G22" i="20"/>
  <c r="I22" i="20"/>
  <c r="G23" i="20"/>
  <c r="I23" i="20"/>
  <c r="H5" i="51" l="1"/>
  <c r="H5" i="50"/>
  <c r="H8" i="51"/>
  <c r="H8" i="50"/>
  <c r="I8" i="43"/>
  <c r="H5" i="44"/>
  <c r="I5" i="43"/>
  <c r="I5" i="37"/>
  <c r="I5" i="32"/>
  <c r="I5" i="46"/>
  <c r="I5" i="47"/>
  <c r="I5" i="45"/>
  <c r="H5" i="36"/>
  <c r="I5" i="38"/>
  <c r="H5" i="31"/>
  <c r="I5" i="39"/>
  <c r="I8" i="32"/>
  <c r="H8" i="31"/>
  <c r="I8" i="37"/>
  <c r="I8" i="47"/>
  <c r="H8" i="36"/>
  <c r="I8" i="39"/>
  <c r="I8" i="46"/>
  <c r="H8" i="44"/>
  <c r="I8" i="45"/>
  <c r="I8" i="38"/>
  <c r="E28" i="30"/>
  <c r="E40" i="30"/>
  <c r="D33" i="30"/>
  <c r="E29" i="30"/>
  <c r="E22" i="30"/>
  <c r="E45" i="30" s="1"/>
  <c r="D34" i="30"/>
  <c r="D57" i="30" s="1"/>
  <c r="E30" i="30"/>
  <c r="D23" i="30"/>
  <c r="D35" i="30"/>
  <c r="E31" i="30"/>
  <c r="D24" i="30"/>
  <c r="D36" i="30"/>
  <c r="D59" i="30" s="1"/>
  <c r="D25" i="30"/>
  <c r="D48" i="30" s="1"/>
  <c r="D37" i="30"/>
  <c r="E33" i="30"/>
  <c r="D26" i="30"/>
  <c r="D38" i="30"/>
  <c r="D31" i="30"/>
  <c r="E39" i="30"/>
  <c r="E32" i="30"/>
  <c r="E26" i="30"/>
  <c r="D32" i="30"/>
  <c r="E34" i="30"/>
  <c r="D27" i="30"/>
  <c r="D50" i="30" s="1"/>
  <c r="D39" i="30"/>
  <c r="E23" i="30"/>
  <c r="E35" i="30"/>
  <c r="D28" i="30"/>
  <c r="D40" i="30"/>
  <c r="E24" i="30"/>
  <c r="E50" i="30" s="1"/>
  <c r="E36" i="30"/>
  <c r="D29" i="30"/>
  <c r="D22" i="30"/>
  <c r="D45" i="30" s="1"/>
  <c r="E25" i="30"/>
  <c r="E48" i="30" s="1"/>
  <c r="E37" i="30"/>
  <c r="D30" i="30"/>
  <c r="E38" i="30"/>
  <c r="E27" i="30"/>
  <c r="J65" i="15"/>
  <c r="J70" i="15"/>
  <c r="J71" i="15"/>
  <c r="J66" i="15"/>
  <c r="O114" i="20"/>
  <c r="G42" i="24"/>
  <c r="G43" i="24"/>
  <c r="O109" i="20"/>
  <c r="J61" i="15"/>
  <c r="J60" i="15"/>
  <c r="J55" i="15"/>
  <c r="J56" i="15"/>
  <c r="B17" i="11"/>
  <c r="A17" i="11" s="1"/>
  <c r="O20" i="20"/>
  <c r="N104" i="20"/>
  <c r="B28" i="11" s="1"/>
  <c r="A28" i="11" s="1"/>
  <c r="N98" i="20"/>
  <c r="B27" i="11" s="1"/>
  <c r="A27" i="11" s="1"/>
  <c r="N92" i="20"/>
  <c r="N86" i="20"/>
  <c r="B26" i="11" s="1"/>
  <c r="A26" i="11" s="1"/>
  <c r="N80" i="20"/>
  <c r="N74" i="20"/>
  <c r="N68" i="20"/>
  <c r="N62" i="20"/>
  <c r="N56" i="20"/>
  <c r="N50" i="20"/>
  <c r="N44" i="20"/>
  <c r="N38" i="20"/>
  <c r="N32" i="20"/>
  <c r="N26" i="20"/>
  <c r="N12" i="20"/>
  <c r="N5" i="20"/>
  <c r="E26" i="24"/>
  <c r="G26" i="24" s="1"/>
  <c r="E27" i="24"/>
  <c r="G27" i="24" s="1"/>
  <c r="E28" i="24"/>
  <c r="G28" i="24" s="1"/>
  <c r="E29" i="24"/>
  <c r="G29" i="24" s="1"/>
  <c r="E30" i="24"/>
  <c r="G30" i="24" s="1"/>
  <c r="E31" i="24"/>
  <c r="G31" i="24" s="1"/>
  <c r="E32" i="24"/>
  <c r="G32" i="24" s="1"/>
  <c r="E33" i="24"/>
  <c r="G33" i="24" s="1"/>
  <c r="E34" i="24"/>
  <c r="G34" i="24" s="1"/>
  <c r="E35" i="24"/>
  <c r="G35" i="24" s="1"/>
  <c r="E36" i="24"/>
  <c r="G36" i="24" s="1"/>
  <c r="E37" i="24"/>
  <c r="G37" i="24" s="1"/>
  <c r="E38" i="24"/>
  <c r="G38" i="24" s="1"/>
  <c r="E39" i="24"/>
  <c r="G39" i="24" s="1"/>
  <c r="E40" i="24"/>
  <c r="G40" i="24" s="1"/>
  <c r="E41" i="24"/>
  <c r="G41" i="24" s="1"/>
  <c r="E25" i="24"/>
  <c r="N6" i="47" l="1"/>
  <c r="N7" i="47" s="1"/>
  <c r="N8" i="47" s="1"/>
  <c r="N9" i="47" s="1"/>
  <c r="N10" i="47" s="1"/>
  <c r="N46" i="47"/>
  <c r="N45" i="47"/>
  <c r="N47" i="47"/>
  <c r="N25" i="47"/>
  <c r="N29" i="47"/>
  <c r="N28" i="47"/>
  <c r="N27" i="47"/>
  <c r="N26" i="47"/>
  <c r="N43" i="47"/>
  <c r="N44" i="47"/>
  <c r="E52" i="30"/>
  <c r="E47" i="30"/>
  <c r="E46" i="30"/>
  <c r="E54" i="30"/>
  <c r="E53" i="30"/>
  <c r="E63" i="30"/>
  <c r="E49" i="30"/>
  <c r="E51" i="30"/>
  <c r="E55" i="30"/>
  <c r="N27" i="45"/>
  <c r="N25" i="45"/>
  <c r="N28" i="45"/>
  <c r="N29" i="45"/>
  <c r="N47" i="45"/>
  <c r="N45" i="45"/>
  <c r="N6" i="45"/>
  <c r="N7" i="45" s="1"/>
  <c r="N8" i="45" s="1"/>
  <c r="N9" i="45" s="1"/>
  <c r="N10" i="45" s="1"/>
  <c r="N44" i="45"/>
  <c r="N46" i="45"/>
  <c r="N26" i="45"/>
  <c r="N43" i="45"/>
  <c r="D46" i="30"/>
  <c r="D54" i="30"/>
  <c r="N28" i="46"/>
  <c r="N47" i="46"/>
  <c r="N25" i="46"/>
  <c r="N27" i="46"/>
  <c r="N6" i="46"/>
  <c r="N7" i="46" s="1"/>
  <c r="N8" i="46" s="1"/>
  <c r="N9" i="46" s="1"/>
  <c r="N10" i="46" s="1"/>
  <c r="N46" i="46"/>
  <c r="N29" i="46"/>
  <c r="N45" i="46"/>
  <c r="N26" i="46"/>
  <c r="N43" i="46"/>
  <c r="N44" i="46"/>
  <c r="N26" i="32"/>
  <c r="N27" i="32" s="1"/>
  <c r="N46" i="32"/>
  <c r="O43" i="47"/>
  <c r="O6" i="47"/>
  <c r="O9" i="47"/>
  <c r="O28" i="47"/>
  <c r="O45" i="47"/>
  <c r="O8" i="47"/>
  <c r="O7" i="47"/>
  <c r="O26" i="47"/>
  <c r="O25" i="47"/>
  <c r="O27" i="47"/>
  <c r="O10" i="47"/>
  <c r="O46" i="47"/>
  <c r="O29" i="47"/>
  <c r="O44" i="47"/>
  <c r="O47" i="47"/>
  <c r="O43" i="37"/>
  <c r="O28" i="37"/>
  <c r="O25" i="37"/>
  <c r="O27" i="37"/>
  <c r="O47" i="37"/>
  <c r="O6" i="37"/>
  <c r="O9" i="37"/>
  <c r="O8" i="37"/>
  <c r="O44" i="37"/>
  <c r="O7" i="37"/>
  <c r="O10" i="37"/>
  <c r="O45" i="37"/>
  <c r="O29" i="37"/>
  <c r="O26" i="37"/>
  <c r="O46" i="37"/>
  <c r="N29" i="43"/>
  <c r="N28" i="43"/>
  <c r="N27" i="43"/>
  <c r="N6" i="43"/>
  <c r="N7" i="43" s="1"/>
  <c r="N8" i="43" s="1"/>
  <c r="N9" i="43" s="1"/>
  <c r="N10" i="43" s="1"/>
  <c r="N46" i="43"/>
  <c r="N26" i="43"/>
  <c r="N43" i="43"/>
  <c r="N44" i="43"/>
  <c r="N25" i="43"/>
  <c r="N45" i="43"/>
  <c r="N47" i="43"/>
  <c r="N29" i="31"/>
  <c r="N9" i="31"/>
  <c r="N27" i="31"/>
  <c r="N25" i="31"/>
  <c r="N26" i="31"/>
  <c r="N28" i="31"/>
  <c r="N47" i="31"/>
  <c r="N46" i="31"/>
  <c r="N6" i="31"/>
  <c r="N45" i="31"/>
  <c r="N7" i="31"/>
  <c r="N44" i="31"/>
  <c r="N8" i="31"/>
  <c r="N43" i="31"/>
  <c r="N10" i="31"/>
  <c r="M27" i="44"/>
  <c r="M45" i="44"/>
  <c r="M28" i="44"/>
  <c r="M46" i="44"/>
  <c r="M44" i="44"/>
  <c r="M6" i="44"/>
  <c r="M7" i="44" s="1"/>
  <c r="M8" i="44" s="1"/>
  <c r="M9" i="44" s="1"/>
  <c r="M10" i="44" s="1"/>
  <c r="M47" i="44"/>
  <c r="M25" i="44"/>
  <c r="M43" i="44"/>
  <c r="M29" i="44"/>
  <c r="M26" i="44"/>
  <c r="I9" i="32"/>
  <c r="P27" i="32"/>
  <c r="P7" i="32" s="1"/>
  <c r="P29" i="32"/>
  <c r="P9" i="32" s="1"/>
  <c r="P28" i="32"/>
  <c r="P8" i="32" s="1"/>
  <c r="O46" i="43"/>
  <c r="O6" i="43"/>
  <c r="O26" i="43"/>
  <c r="O44" i="43"/>
  <c r="O7" i="43"/>
  <c r="O47" i="43"/>
  <c r="O28" i="43"/>
  <c r="O8" i="43"/>
  <c r="O43" i="43"/>
  <c r="O25" i="43"/>
  <c r="O45" i="43"/>
  <c r="O27" i="43"/>
  <c r="O9" i="43"/>
  <c r="O29" i="43"/>
  <c r="O10" i="43"/>
  <c r="N43" i="39"/>
  <c r="N27" i="39"/>
  <c r="N46" i="39"/>
  <c r="N26" i="39"/>
  <c r="N25" i="39"/>
  <c r="N29" i="39"/>
  <c r="N6" i="39"/>
  <c r="N7" i="39" s="1"/>
  <c r="N8" i="39" s="1"/>
  <c r="N9" i="39" s="1"/>
  <c r="N10" i="39" s="1"/>
  <c r="N47" i="39"/>
  <c r="N45" i="39"/>
  <c r="N28" i="39"/>
  <c r="N44" i="39"/>
  <c r="N27" i="50"/>
  <c r="N25" i="50"/>
  <c r="N6" i="50"/>
  <c r="N28" i="50"/>
  <c r="N47" i="50"/>
  <c r="N7" i="50"/>
  <c r="N44" i="50"/>
  <c r="N43" i="50"/>
  <c r="N29" i="50"/>
  <c r="N8" i="50"/>
  <c r="N26" i="50"/>
  <c r="N9" i="50"/>
  <c r="N46" i="50"/>
  <c r="N45" i="50"/>
  <c r="N10" i="50"/>
  <c r="D63" i="30"/>
  <c r="D55" i="30"/>
  <c r="D49" i="30"/>
  <c r="D53" i="30"/>
  <c r="D51" i="30"/>
  <c r="M6" i="31"/>
  <c r="M7" i="31" s="1"/>
  <c r="M8" i="31" s="1"/>
  <c r="M9" i="31" s="1"/>
  <c r="M10" i="31" s="1"/>
  <c r="M44" i="31"/>
  <c r="M28" i="31"/>
  <c r="M47" i="31"/>
  <c r="M26" i="31"/>
  <c r="M25" i="31"/>
  <c r="M43" i="31"/>
  <c r="M46" i="31"/>
  <c r="M45" i="31"/>
  <c r="M27" i="31"/>
  <c r="M29" i="31"/>
  <c r="N7" i="51"/>
  <c r="N46" i="51"/>
  <c r="N29" i="51"/>
  <c r="N6" i="51"/>
  <c r="N44" i="51"/>
  <c r="N10" i="51"/>
  <c r="N47" i="51"/>
  <c r="N27" i="51"/>
  <c r="N45" i="51"/>
  <c r="N25" i="51"/>
  <c r="N43" i="51"/>
  <c r="N8" i="51"/>
  <c r="N26" i="51"/>
  <c r="N28" i="51"/>
  <c r="N9" i="51"/>
  <c r="O26" i="39"/>
  <c r="O46" i="39"/>
  <c r="O43" i="39"/>
  <c r="O47" i="39"/>
  <c r="O45" i="39"/>
  <c r="O7" i="39"/>
  <c r="O44" i="39"/>
  <c r="O25" i="39"/>
  <c r="O27" i="39"/>
  <c r="O10" i="39"/>
  <c r="O29" i="39"/>
  <c r="O28" i="39"/>
  <c r="O9" i="39"/>
  <c r="O8" i="39"/>
  <c r="O6" i="39"/>
  <c r="D58" i="30"/>
  <c r="D56" i="30"/>
  <c r="D61" i="30"/>
  <c r="D60" i="30"/>
  <c r="D62" i="30"/>
  <c r="O47" i="38"/>
  <c r="O8" i="38"/>
  <c r="O28" i="38"/>
  <c r="O7" i="38"/>
  <c r="O44" i="38"/>
  <c r="O29" i="38"/>
  <c r="O27" i="38"/>
  <c r="O6" i="38"/>
  <c r="O25" i="38"/>
  <c r="O26" i="38"/>
  <c r="O46" i="38"/>
  <c r="O45" i="38"/>
  <c r="O10" i="38"/>
  <c r="O43" i="38"/>
  <c r="O9" i="38"/>
  <c r="N26" i="38"/>
  <c r="N45" i="38"/>
  <c r="N29" i="38"/>
  <c r="N27" i="38"/>
  <c r="N43" i="38"/>
  <c r="N46" i="38"/>
  <c r="N28" i="38"/>
  <c r="N6" i="38"/>
  <c r="N7" i="38" s="1"/>
  <c r="N8" i="38" s="1"/>
  <c r="N9" i="38" s="1"/>
  <c r="N10" i="38" s="1"/>
  <c r="N25" i="38"/>
  <c r="N47" i="38"/>
  <c r="N44" i="38"/>
  <c r="M47" i="50"/>
  <c r="M28" i="50"/>
  <c r="M46" i="50"/>
  <c r="M29" i="50"/>
  <c r="M45" i="50"/>
  <c r="M6" i="50"/>
  <c r="M7" i="50" s="1"/>
  <c r="M8" i="50" s="1"/>
  <c r="M9" i="50" s="1"/>
  <c r="M10" i="50" s="1"/>
  <c r="M26" i="50"/>
  <c r="M25" i="50"/>
  <c r="M27" i="50"/>
  <c r="M43" i="50"/>
  <c r="M44" i="50"/>
  <c r="N44" i="44"/>
  <c r="N26" i="44"/>
  <c r="N9" i="44"/>
  <c r="N47" i="44"/>
  <c r="N27" i="44"/>
  <c r="N10" i="44"/>
  <c r="N45" i="44"/>
  <c r="N29" i="44"/>
  <c r="N25" i="44"/>
  <c r="N6" i="44"/>
  <c r="N43" i="44"/>
  <c r="N8" i="44"/>
  <c r="N7" i="44"/>
  <c r="N46" i="44"/>
  <c r="N28" i="44"/>
  <c r="O7" i="46"/>
  <c r="O8" i="46"/>
  <c r="O27" i="46"/>
  <c r="O28" i="46"/>
  <c r="O46" i="46"/>
  <c r="O44" i="46"/>
  <c r="O43" i="46"/>
  <c r="O10" i="46"/>
  <c r="O9" i="46"/>
  <c r="O25" i="46"/>
  <c r="O45" i="46"/>
  <c r="O47" i="46"/>
  <c r="O26" i="46"/>
  <c r="O6" i="46"/>
  <c r="O29" i="46"/>
  <c r="N46" i="36"/>
  <c r="N47" i="36"/>
  <c r="N27" i="36"/>
  <c r="N10" i="36"/>
  <c r="N6" i="36"/>
  <c r="N7" i="36"/>
  <c r="N45" i="36"/>
  <c r="N25" i="36"/>
  <c r="N26" i="36"/>
  <c r="N28" i="36"/>
  <c r="N9" i="36"/>
  <c r="N8" i="36"/>
  <c r="N43" i="36"/>
  <c r="N29" i="36"/>
  <c r="N44" i="36"/>
  <c r="N29" i="37"/>
  <c r="N46" i="37"/>
  <c r="N43" i="37"/>
  <c r="N47" i="37"/>
  <c r="N45" i="37"/>
  <c r="N27" i="37"/>
  <c r="N26" i="37"/>
  <c r="N6" i="37"/>
  <c r="N7" i="37" s="1"/>
  <c r="N8" i="37" s="1"/>
  <c r="N9" i="37" s="1"/>
  <c r="N10" i="37" s="1"/>
  <c r="N44" i="37"/>
  <c r="N25" i="37"/>
  <c r="N28" i="37"/>
  <c r="D52" i="30"/>
  <c r="D47" i="30"/>
  <c r="E59" i="30"/>
  <c r="E57" i="30"/>
  <c r="O27" i="45"/>
  <c r="O25" i="45"/>
  <c r="O46" i="45"/>
  <c r="O29" i="45"/>
  <c r="O44" i="45"/>
  <c r="O10" i="45"/>
  <c r="O8" i="45"/>
  <c r="O6" i="45"/>
  <c r="O47" i="45"/>
  <c r="O26" i="45"/>
  <c r="O45" i="45"/>
  <c r="O28" i="45"/>
  <c r="O43" i="45"/>
  <c r="O9" i="45"/>
  <c r="O7" i="45"/>
  <c r="M28" i="36"/>
  <c r="M6" i="36"/>
  <c r="M7" i="36" s="1"/>
  <c r="M8" i="36" s="1"/>
  <c r="M9" i="36" s="1"/>
  <c r="M10" i="36" s="1"/>
  <c r="M25" i="36"/>
  <c r="M43" i="36"/>
  <c r="M46" i="36"/>
  <c r="M44" i="36"/>
  <c r="M27" i="36"/>
  <c r="M26" i="36"/>
  <c r="M45" i="36"/>
  <c r="M47" i="36"/>
  <c r="M29" i="36"/>
  <c r="M44" i="51"/>
  <c r="M27" i="51"/>
  <c r="M29" i="51"/>
  <c r="M46" i="51"/>
  <c r="M6" i="51"/>
  <c r="M7" i="51" s="1"/>
  <c r="M8" i="51" s="1"/>
  <c r="M9" i="51" s="1"/>
  <c r="M10" i="51" s="1"/>
  <c r="M26" i="51"/>
  <c r="M28" i="51"/>
  <c r="M45" i="51"/>
  <c r="M25" i="51"/>
  <c r="M43" i="51"/>
  <c r="M47" i="51"/>
  <c r="M20" i="20"/>
  <c r="C20" i="20" s="1"/>
  <c r="G69" i="15"/>
  <c r="G64" i="15"/>
  <c r="G25" i="24"/>
  <c r="G59" i="15"/>
  <c r="G54" i="15"/>
  <c r="A25" i="24"/>
  <c r="G13" i="15"/>
  <c r="G7" i="15"/>
  <c r="G19" i="15"/>
  <c r="M74" i="20"/>
  <c r="C74" i="20" s="1"/>
  <c r="C75" i="20" s="1"/>
  <c r="B25" i="11"/>
  <c r="A25" i="11" s="1"/>
  <c r="M80" i="20"/>
  <c r="B15" i="11"/>
  <c r="A15" i="11" s="1"/>
  <c r="M5" i="20"/>
  <c r="C5" i="20" s="1"/>
  <c r="C6" i="20" s="1"/>
  <c r="M86" i="20"/>
  <c r="C86" i="20" s="1"/>
  <c r="C87" i="20" s="1"/>
  <c r="B16" i="11"/>
  <c r="A16" i="11" s="1"/>
  <c r="M12" i="20"/>
  <c r="M92" i="20"/>
  <c r="C92" i="20" s="1"/>
  <c r="C93" i="20" s="1"/>
  <c r="B18" i="11"/>
  <c r="A18" i="11" s="1"/>
  <c r="M26" i="20"/>
  <c r="M98" i="20"/>
  <c r="C98" i="20" s="1"/>
  <c r="C99" i="20" s="1"/>
  <c r="B19" i="11"/>
  <c r="A19" i="11" s="1"/>
  <c r="M32" i="20"/>
  <c r="M104" i="20"/>
  <c r="C107" i="20" s="1"/>
  <c r="C108" i="20" s="1"/>
  <c r="B20" i="11"/>
  <c r="A20" i="11" s="1"/>
  <c r="M38" i="20"/>
  <c r="B21" i="11"/>
  <c r="A21" i="11" s="1"/>
  <c r="M44" i="20"/>
  <c r="C44" i="20" s="1"/>
  <c r="C45" i="20" s="1"/>
  <c r="G20" i="20"/>
  <c r="H20" i="20"/>
  <c r="B22" i="11"/>
  <c r="A22" i="11" s="1"/>
  <c r="M50" i="20"/>
  <c r="C50" i="20" s="1"/>
  <c r="C51" i="20" s="1"/>
  <c r="B23" i="11"/>
  <c r="A23" i="11" s="1"/>
  <c r="M56" i="20"/>
  <c r="B24" i="11"/>
  <c r="A24" i="11" s="1"/>
  <c r="M62" i="20"/>
  <c r="C62" i="20" s="1"/>
  <c r="M68" i="20"/>
  <c r="C68" i="20" s="1"/>
  <c r="C69" i="20" s="1"/>
  <c r="O62" i="20"/>
  <c r="H62" i="20" s="1"/>
  <c r="O74" i="20"/>
  <c r="H74" i="20" s="1"/>
  <c r="O5" i="20"/>
  <c r="O12" i="20"/>
  <c r="O32" i="20"/>
  <c r="H32" i="20" s="1"/>
  <c r="O50" i="20"/>
  <c r="H50" i="20" s="1"/>
  <c r="I20" i="20"/>
  <c r="O68" i="20"/>
  <c r="H68" i="20" s="1"/>
  <c r="O80" i="20"/>
  <c r="H80" i="20" s="1"/>
  <c r="O86" i="20"/>
  <c r="H86" i="20" s="1"/>
  <c r="O92" i="20"/>
  <c r="H92" i="20" s="1"/>
  <c r="O26" i="20"/>
  <c r="H26" i="20" s="1"/>
  <c r="O98" i="20"/>
  <c r="H98" i="20" s="1"/>
  <c r="O104" i="20"/>
  <c r="H104" i="20" s="1"/>
  <c r="O38" i="20"/>
  <c r="H38" i="20" s="1"/>
  <c r="O44" i="20"/>
  <c r="H44" i="20" s="1"/>
  <c r="O56" i="20"/>
  <c r="H56" i="20" s="1"/>
  <c r="B8" i="15"/>
  <c r="B9" i="15"/>
  <c r="B10" i="15"/>
  <c r="B7" i="15"/>
  <c r="R6" i="47" l="1"/>
  <c r="W6" i="47" s="1"/>
  <c r="R9" i="47"/>
  <c r="W9" i="47" s="1"/>
  <c r="R10" i="47"/>
  <c r="W10" i="47" s="1"/>
  <c r="R45" i="47"/>
  <c r="W45" i="47" s="1"/>
  <c r="R43" i="47"/>
  <c r="W43" i="47" s="1"/>
  <c r="R46" i="47"/>
  <c r="W46" i="47" s="1"/>
  <c r="R44" i="47"/>
  <c r="W44" i="47" s="1"/>
  <c r="R29" i="47"/>
  <c r="W29" i="47" s="1"/>
  <c r="R8" i="47"/>
  <c r="W8" i="47" s="1"/>
  <c r="R7" i="47"/>
  <c r="W7" i="47" s="1"/>
  <c r="R25" i="47"/>
  <c r="W25" i="47" s="1"/>
  <c r="R27" i="47"/>
  <c r="W27" i="47" s="1"/>
  <c r="R47" i="47"/>
  <c r="W47" i="47" s="1"/>
  <c r="N6" i="32"/>
  <c r="N47" i="32"/>
  <c r="N48" i="32" s="1"/>
  <c r="N49" i="32" s="1"/>
  <c r="N50" i="32" s="1"/>
  <c r="R26" i="47"/>
  <c r="W26" i="47" s="1"/>
  <c r="E61" i="30"/>
  <c r="E62" i="30"/>
  <c r="E60" i="30"/>
  <c r="N28" i="32"/>
  <c r="E58" i="30"/>
  <c r="E56" i="30"/>
  <c r="R28" i="47"/>
  <c r="W28" i="47" s="1"/>
  <c r="O49" i="32"/>
  <c r="O29" i="32"/>
  <c r="O28" i="32"/>
  <c r="O50" i="32"/>
  <c r="O26" i="32"/>
  <c r="O47" i="32"/>
  <c r="O48" i="32"/>
  <c r="O30" i="32"/>
  <c r="O27" i="32"/>
  <c r="O46" i="32"/>
  <c r="C109" i="20"/>
  <c r="C76" i="20"/>
  <c r="C100" i="20"/>
  <c r="C52" i="20"/>
  <c r="C94" i="20"/>
  <c r="C46" i="20"/>
  <c r="C88" i="20"/>
  <c r="C7" i="20"/>
  <c r="C8" i="20" s="1"/>
  <c r="C70" i="20"/>
  <c r="C56" i="20"/>
  <c r="C57" i="20" s="1"/>
  <c r="C59" i="20"/>
  <c r="C60" i="20" s="1"/>
  <c r="C61" i="20" s="1"/>
  <c r="C63" i="20" s="1"/>
  <c r="C26" i="20"/>
  <c r="C27" i="20"/>
  <c r="C43" i="20"/>
  <c r="C38" i="20"/>
  <c r="C39" i="20" s="1"/>
  <c r="C32" i="20"/>
  <c r="C33" i="20" s="1"/>
  <c r="C35" i="20"/>
  <c r="C36" i="20" s="1"/>
  <c r="C37" i="20" s="1"/>
  <c r="C83" i="20"/>
  <c r="C84" i="20" s="1"/>
  <c r="C85" i="20" s="1"/>
  <c r="C80" i="20"/>
  <c r="C81" i="20" s="1"/>
  <c r="C19" i="20"/>
  <c r="C21" i="20" s="1"/>
  <c r="C12" i="20"/>
  <c r="C13" i="20" s="1"/>
  <c r="I12" i="20"/>
  <c r="H12" i="20"/>
  <c r="F13" i="14"/>
  <c r="I13" i="14" s="1"/>
  <c r="F23" i="15"/>
  <c r="F25" i="15"/>
  <c r="F26" i="15"/>
  <c r="F27" i="15"/>
  <c r="F28" i="15"/>
  <c r="F30" i="15"/>
  <c r="F31" i="15"/>
  <c r="F32" i="15"/>
  <c r="F33" i="15"/>
  <c r="F35" i="15"/>
  <c r="F36" i="15"/>
  <c r="F37" i="15"/>
  <c r="F38" i="15"/>
  <c r="F40" i="15"/>
  <c r="F41" i="15"/>
  <c r="F42" i="15"/>
  <c r="F43" i="15"/>
  <c r="F45" i="15"/>
  <c r="F46" i="15"/>
  <c r="F47" i="15"/>
  <c r="F48" i="15"/>
  <c r="F50" i="15"/>
  <c r="F51" i="15"/>
  <c r="F52" i="15"/>
  <c r="C11" i="21"/>
  <c r="K2390" i="20"/>
  <c r="J2390" i="20"/>
  <c r="K2389" i="20"/>
  <c r="J2389" i="20"/>
  <c r="K2388" i="20"/>
  <c r="J2388" i="20"/>
  <c r="K2387" i="20"/>
  <c r="J2387" i="20"/>
  <c r="K2386" i="20"/>
  <c r="J2386" i="20"/>
  <c r="K2385" i="20"/>
  <c r="J2385" i="20"/>
  <c r="K2384" i="20"/>
  <c r="J2384" i="20"/>
  <c r="K2383" i="20"/>
  <c r="J2383" i="20"/>
  <c r="K2382" i="20"/>
  <c r="J2382" i="20"/>
  <c r="K2381" i="20"/>
  <c r="J2381" i="20"/>
  <c r="K2380" i="20"/>
  <c r="J2380" i="20"/>
  <c r="K2379" i="20"/>
  <c r="J2379" i="20"/>
  <c r="K2378" i="20"/>
  <c r="J2378" i="20"/>
  <c r="K2377" i="20"/>
  <c r="J2377" i="20"/>
  <c r="K2376" i="20"/>
  <c r="J2376" i="20"/>
  <c r="K2375" i="20"/>
  <c r="J2375" i="20"/>
  <c r="K2374" i="20"/>
  <c r="J2374" i="20"/>
  <c r="K2373" i="20"/>
  <c r="J2373" i="20"/>
  <c r="K2372" i="20"/>
  <c r="J2372" i="20"/>
  <c r="K2371" i="20"/>
  <c r="J2371" i="20"/>
  <c r="K2370" i="20"/>
  <c r="J2370" i="20"/>
  <c r="K2369" i="20"/>
  <c r="J2369" i="20"/>
  <c r="K2368" i="20"/>
  <c r="J2368" i="20"/>
  <c r="K2367" i="20"/>
  <c r="J2367" i="20"/>
  <c r="K2366" i="20"/>
  <c r="J2366" i="20"/>
  <c r="K2365" i="20"/>
  <c r="J2365" i="20"/>
  <c r="K2364" i="20"/>
  <c r="J2364" i="20"/>
  <c r="K2363" i="20"/>
  <c r="J2363" i="20"/>
  <c r="K2362" i="20"/>
  <c r="J2362" i="20"/>
  <c r="K2361" i="20"/>
  <c r="J2361" i="20"/>
  <c r="K2360" i="20"/>
  <c r="J2360" i="20"/>
  <c r="K2359" i="20"/>
  <c r="J2359" i="20"/>
  <c r="K2358" i="20"/>
  <c r="J2358" i="20"/>
  <c r="K2357" i="20"/>
  <c r="J2357" i="20"/>
  <c r="K2356" i="20"/>
  <c r="J2356" i="20"/>
  <c r="K2355" i="20"/>
  <c r="J2355" i="20"/>
  <c r="K2354" i="20"/>
  <c r="J2354" i="20"/>
  <c r="K2353" i="20"/>
  <c r="J2353" i="20"/>
  <c r="K2352" i="20"/>
  <c r="J2352" i="20"/>
  <c r="K2351" i="20"/>
  <c r="J2351" i="20"/>
  <c r="K2350" i="20"/>
  <c r="J2350" i="20"/>
  <c r="K2349" i="20"/>
  <c r="J2349" i="20"/>
  <c r="K2348" i="20"/>
  <c r="J2348" i="20"/>
  <c r="K2347" i="20"/>
  <c r="J2347" i="20"/>
  <c r="K2346" i="20"/>
  <c r="J2346" i="20"/>
  <c r="K2345" i="20"/>
  <c r="J2345" i="20"/>
  <c r="K2344" i="20"/>
  <c r="J2344" i="20"/>
  <c r="K2343" i="20"/>
  <c r="J2343" i="20"/>
  <c r="K2342" i="20"/>
  <c r="J2342" i="20"/>
  <c r="K2341" i="20"/>
  <c r="J2341" i="20"/>
  <c r="K2340" i="20"/>
  <c r="J2340" i="20"/>
  <c r="K2339" i="20"/>
  <c r="J2339" i="20"/>
  <c r="K2338" i="20"/>
  <c r="J2338" i="20"/>
  <c r="K2337" i="20"/>
  <c r="J2337" i="20"/>
  <c r="K2336" i="20"/>
  <c r="J2336" i="20"/>
  <c r="K2335" i="20"/>
  <c r="J2335" i="20"/>
  <c r="K2334" i="20"/>
  <c r="J2334" i="20"/>
  <c r="K2333" i="20"/>
  <c r="J2333" i="20"/>
  <c r="K2332" i="20"/>
  <c r="J2332" i="20"/>
  <c r="K2331" i="20"/>
  <c r="J2331" i="20"/>
  <c r="K2330" i="20"/>
  <c r="J2330" i="20"/>
  <c r="K2329" i="20"/>
  <c r="J2329" i="20"/>
  <c r="K2328" i="20"/>
  <c r="J2328" i="20"/>
  <c r="K2327" i="20"/>
  <c r="J2327" i="20"/>
  <c r="K2326" i="20"/>
  <c r="J2326" i="20"/>
  <c r="K2325" i="20"/>
  <c r="J2325" i="20"/>
  <c r="K2324" i="20"/>
  <c r="J2324" i="20"/>
  <c r="K2323" i="20"/>
  <c r="J2323" i="20"/>
  <c r="K2322" i="20"/>
  <c r="J2322" i="20"/>
  <c r="K2321" i="20"/>
  <c r="J2321" i="20"/>
  <c r="K2320" i="20"/>
  <c r="J2320" i="20"/>
  <c r="K2319" i="20"/>
  <c r="J2319" i="20"/>
  <c r="K2318" i="20"/>
  <c r="J2318" i="20"/>
  <c r="K2317" i="20"/>
  <c r="J2317" i="20"/>
  <c r="K2316" i="20"/>
  <c r="J2316" i="20"/>
  <c r="K2315" i="20"/>
  <c r="J2315" i="20"/>
  <c r="K2314" i="20"/>
  <c r="J2314" i="20"/>
  <c r="K2313" i="20"/>
  <c r="J2313" i="20"/>
  <c r="K2312" i="20"/>
  <c r="J2312" i="20"/>
  <c r="K2311" i="20"/>
  <c r="J2311" i="20"/>
  <c r="K2310" i="20"/>
  <c r="J2310" i="20"/>
  <c r="K2309" i="20"/>
  <c r="J2309" i="20"/>
  <c r="K2308" i="20"/>
  <c r="J2308" i="20"/>
  <c r="K2307" i="20"/>
  <c r="J2307" i="20"/>
  <c r="K2306" i="20"/>
  <c r="J2306" i="20"/>
  <c r="K2305" i="20"/>
  <c r="J2305" i="20"/>
  <c r="K2304" i="20"/>
  <c r="J2304" i="20"/>
  <c r="K2303" i="20"/>
  <c r="J2303" i="20"/>
  <c r="K2302" i="20"/>
  <c r="J2302" i="20"/>
  <c r="K2301" i="20"/>
  <c r="J2301" i="20"/>
  <c r="K2300" i="20"/>
  <c r="J2300" i="20"/>
  <c r="K2299" i="20"/>
  <c r="J2299" i="20"/>
  <c r="K2298" i="20"/>
  <c r="J2298" i="20"/>
  <c r="K2297" i="20"/>
  <c r="J2297" i="20"/>
  <c r="K2296" i="20"/>
  <c r="J2296" i="20"/>
  <c r="K2295" i="20"/>
  <c r="J2295" i="20"/>
  <c r="K2294" i="20"/>
  <c r="J2294" i="20"/>
  <c r="K2293" i="20"/>
  <c r="J2293" i="20"/>
  <c r="K2292" i="20"/>
  <c r="J2292" i="20"/>
  <c r="K2291" i="20"/>
  <c r="J2291" i="20"/>
  <c r="K2290" i="20"/>
  <c r="J2290" i="20"/>
  <c r="K2289" i="20"/>
  <c r="J2289" i="20"/>
  <c r="K2288" i="20"/>
  <c r="J2288" i="20"/>
  <c r="K2287" i="20"/>
  <c r="J2287" i="20"/>
  <c r="K2286" i="20"/>
  <c r="J2286" i="20"/>
  <c r="K2285" i="20"/>
  <c r="J2285" i="20"/>
  <c r="K2284" i="20"/>
  <c r="J2284" i="20"/>
  <c r="K2283" i="20"/>
  <c r="J2283" i="20"/>
  <c r="K2282" i="20"/>
  <c r="J2282" i="20"/>
  <c r="K2281" i="20"/>
  <c r="J2281" i="20"/>
  <c r="K2280" i="20"/>
  <c r="J2280" i="20"/>
  <c r="K2279" i="20"/>
  <c r="J2279" i="20"/>
  <c r="K2278" i="20"/>
  <c r="J2278" i="20"/>
  <c r="K2277" i="20"/>
  <c r="J2277" i="20"/>
  <c r="K2276" i="20"/>
  <c r="J2276" i="20"/>
  <c r="K2275" i="20"/>
  <c r="J2275" i="20"/>
  <c r="K2274" i="20"/>
  <c r="J2274" i="20"/>
  <c r="K2273" i="20"/>
  <c r="J2273" i="20"/>
  <c r="K2272" i="20"/>
  <c r="J2272" i="20"/>
  <c r="K2271" i="20"/>
  <c r="J2271" i="20"/>
  <c r="K2270" i="20"/>
  <c r="J2270" i="20"/>
  <c r="K2269" i="20"/>
  <c r="J2269" i="20"/>
  <c r="K2268" i="20"/>
  <c r="J2268" i="20"/>
  <c r="K2267" i="20"/>
  <c r="J2267" i="20"/>
  <c r="K2266" i="20"/>
  <c r="J2266" i="20"/>
  <c r="K2265" i="20"/>
  <c r="J2265" i="20"/>
  <c r="K2264" i="20"/>
  <c r="J2264" i="20"/>
  <c r="K2263" i="20"/>
  <c r="J2263" i="20"/>
  <c r="K2262" i="20"/>
  <c r="J2262" i="20"/>
  <c r="K2261" i="20"/>
  <c r="J2261" i="20"/>
  <c r="K2260" i="20"/>
  <c r="J2260" i="20"/>
  <c r="K2259" i="20"/>
  <c r="J2259" i="20"/>
  <c r="K2258" i="20"/>
  <c r="J2258" i="20"/>
  <c r="K2257" i="20"/>
  <c r="J2257" i="20"/>
  <c r="K2256" i="20"/>
  <c r="J2256" i="20"/>
  <c r="K2255" i="20"/>
  <c r="J2255" i="20"/>
  <c r="K2254" i="20"/>
  <c r="J2254" i="20"/>
  <c r="K2253" i="20"/>
  <c r="J2253" i="20"/>
  <c r="K2252" i="20"/>
  <c r="J2252" i="20"/>
  <c r="K2251" i="20"/>
  <c r="J2251" i="20"/>
  <c r="K2250" i="20"/>
  <c r="J2250" i="20"/>
  <c r="K2249" i="20"/>
  <c r="J2249" i="20"/>
  <c r="K2248" i="20"/>
  <c r="J2248" i="20"/>
  <c r="K2247" i="20"/>
  <c r="J2247" i="20"/>
  <c r="K2246" i="20"/>
  <c r="J2246" i="20"/>
  <c r="K2245" i="20"/>
  <c r="J2245" i="20"/>
  <c r="K2244" i="20"/>
  <c r="J2244" i="20"/>
  <c r="K2243" i="20"/>
  <c r="J2243" i="20"/>
  <c r="K2242" i="20"/>
  <c r="J2242" i="20"/>
  <c r="K2241" i="20"/>
  <c r="J2241" i="20"/>
  <c r="K2240" i="20"/>
  <c r="J2240" i="20"/>
  <c r="K2239" i="20"/>
  <c r="J2239" i="20"/>
  <c r="K2238" i="20"/>
  <c r="J2238" i="20"/>
  <c r="K2237" i="20"/>
  <c r="J2237" i="20"/>
  <c r="K2236" i="20"/>
  <c r="J2236" i="20"/>
  <c r="K2235" i="20"/>
  <c r="J2235" i="20"/>
  <c r="K2234" i="20"/>
  <c r="J2234" i="20"/>
  <c r="K2233" i="20"/>
  <c r="J2233" i="20"/>
  <c r="K2232" i="20"/>
  <c r="J2232" i="20"/>
  <c r="K2231" i="20"/>
  <c r="J2231" i="20"/>
  <c r="K2230" i="20"/>
  <c r="J2230" i="20"/>
  <c r="K2229" i="20"/>
  <c r="J2229" i="20"/>
  <c r="K2228" i="20"/>
  <c r="J2228" i="20"/>
  <c r="K2227" i="20"/>
  <c r="J2227" i="20"/>
  <c r="K2226" i="20"/>
  <c r="J2226" i="20"/>
  <c r="K2225" i="20"/>
  <c r="J2225" i="20"/>
  <c r="K2224" i="20"/>
  <c r="J2224" i="20"/>
  <c r="K2223" i="20"/>
  <c r="J2223" i="20"/>
  <c r="K2222" i="20"/>
  <c r="J2222" i="20"/>
  <c r="K2221" i="20"/>
  <c r="J2221" i="20"/>
  <c r="K2220" i="20"/>
  <c r="J2220" i="20"/>
  <c r="K2219" i="20"/>
  <c r="J2219" i="20"/>
  <c r="K2218" i="20"/>
  <c r="J2218" i="20"/>
  <c r="K2217" i="20"/>
  <c r="J2217" i="20"/>
  <c r="K2216" i="20"/>
  <c r="J2216" i="20"/>
  <c r="K2215" i="20"/>
  <c r="J2215" i="20"/>
  <c r="K2214" i="20"/>
  <c r="J2214" i="20"/>
  <c r="K2213" i="20"/>
  <c r="J2213" i="20"/>
  <c r="K2212" i="20"/>
  <c r="J2212" i="20"/>
  <c r="K2211" i="20"/>
  <c r="J2211" i="20"/>
  <c r="K2210" i="20"/>
  <c r="J2210" i="20"/>
  <c r="K2209" i="20"/>
  <c r="J2209" i="20"/>
  <c r="K2208" i="20"/>
  <c r="J2208" i="20"/>
  <c r="K2207" i="20"/>
  <c r="J2207" i="20"/>
  <c r="K2206" i="20"/>
  <c r="J2206" i="20"/>
  <c r="K2205" i="20"/>
  <c r="J2205" i="20"/>
  <c r="K2204" i="20"/>
  <c r="J2204" i="20"/>
  <c r="K2203" i="20"/>
  <c r="J2203" i="20"/>
  <c r="K2202" i="20"/>
  <c r="J2202" i="20"/>
  <c r="K2201" i="20"/>
  <c r="J2201" i="20"/>
  <c r="K2200" i="20"/>
  <c r="J2200" i="20"/>
  <c r="K2199" i="20"/>
  <c r="J2199" i="20"/>
  <c r="K2198" i="20"/>
  <c r="J2198" i="20"/>
  <c r="K2197" i="20"/>
  <c r="J2197" i="20"/>
  <c r="K2196" i="20"/>
  <c r="J2196" i="20"/>
  <c r="K2195" i="20"/>
  <c r="J2195" i="20"/>
  <c r="K2194" i="20"/>
  <c r="J2194" i="20"/>
  <c r="K2193" i="20"/>
  <c r="J2193" i="20"/>
  <c r="K2192" i="20"/>
  <c r="J2192" i="20"/>
  <c r="K2191" i="20"/>
  <c r="J2191" i="20"/>
  <c r="K2190" i="20"/>
  <c r="J2190" i="20"/>
  <c r="K2189" i="20"/>
  <c r="J2189" i="20"/>
  <c r="K2188" i="20"/>
  <c r="J2188" i="20"/>
  <c r="K2187" i="20"/>
  <c r="J2187" i="20"/>
  <c r="K2186" i="20"/>
  <c r="J2186" i="20"/>
  <c r="K2185" i="20"/>
  <c r="J2185" i="20"/>
  <c r="K2184" i="20"/>
  <c r="J2184" i="20"/>
  <c r="K2183" i="20"/>
  <c r="J2183" i="20"/>
  <c r="K2182" i="20"/>
  <c r="J2182" i="20"/>
  <c r="K2181" i="20"/>
  <c r="J2181" i="20"/>
  <c r="K2180" i="20"/>
  <c r="J2180" i="20"/>
  <c r="K2179" i="20"/>
  <c r="J2179" i="20"/>
  <c r="K2178" i="20"/>
  <c r="J2178" i="20"/>
  <c r="K2177" i="20"/>
  <c r="J2177" i="20"/>
  <c r="K2176" i="20"/>
  <c r="J2176" i="20"/>
  <c r="K2175" i="20"/>
  <c r="J2175" i="20"/>
  <c r="K2174" i="20"/>
  <c r="J2174" i="20"/>
  <c r="K2173" i="20"/>
  <c r="J2173" i="20"/>
  <c r="K2172" i="20"/>
  <c r="J2172" i="20"/>
  <c r="K2171" i="20"/>
  <c r="J2171" i="20"/>
  <c r="K2170" i="20"/>
  <c r="J2170" i="20"/>
  <c r="K2169" i="20"/>
  <c r="J2169" i="20"/>
  <c r="K2168" i="20"/>
  <c r="J2168" i="20"/>
  <c r="K2167" i="20"/>
  <c r="J2167" i="20"/>
  <c r="K2166" i="20"/>
  <c r="J2166" i="20"/>
  <c r="K2165" i="20"/>
  <c r="J2165" i="20"/>
  <c r="K2164" i="20"/>
  <c r="J2164" i="20"/>
  <c r="K2163" i="20"/>
  <c r="J2163" i="20"/>
  <c r="K2162" i="20"/>
  <c r="J2162" i="20"/>
  <c r="K2161" i="20"/>
  <c r="J2161" i="20"/>
  <c r="K2160" i="20"/>
  <c r="J2160" i="20"/>
  <c r="K2159" i="20"/>
  <c r="J2159" i="20"/>
  <c r="K2158" i="20"/>
  <c r="J2158" i="20"/>
  <c r="K2157" i="20"/>
  <c r="J2157" i="20"/>
  <c r="K2156" i="20"/>
  <c r="J2156" i="20"/>
  <c r="K2155" i="20"/>
  <c r="J2155" i="20"/>
  <c r="K2154" i="20"/>
  <c r="J2154" i="20"/>
  <c r="K2153" i="20"/>
  <c r="J2153" i="20"/>
  <c r="K2152" i="20"/>
  <c r="J2152" i="20"/>
  <c r="K2151" i="20"/>
  <c r="J2151" i="20"/>
  <c r="K2150" i="20"/>
  <c r="J2150" i="20"/>
  <c r="K2149" i="20"/>
  <c r="J2149" i="20"/>
  <c r="K2148" i="20"/>
  <c r="J2148" i="20"/>
  <c r="K2147" i="20"/>
  <c r="J2147" i="20"/>
  <c r="K2146" i="20"/>
  <c r="J2146" i="20"/>
  <c r="K2145" i="20"/>
  <c r="J2145" i="20"/>
  <c r="K2144" i="20"/>
  <c r="J2144" i="20"/>
  <c r="K2143" i="20"/>
  <c r="J2143" i="20"/>
  <c r="K2142" i="20"/>
  <c r="J2142" i="20"/>
  <c r="K2141" i="20"/>
  <c r="J2141" i="20"/>
  <c r="K2140" i="20"/>
  <c r="J2140" i="20"/>
  <c r="K2139" i="20"/>
  <c r="J2139" i="20"/>
  <c r="K2138" i="20"/>
  <c r="J2138" i="20"/>
  <c r="K2137" i="20"/>
  <c r="J2137" i="20"/>
  <c r="K2136" i="20"/>
  <c r="J2136" i="20"/>
  <c r="K2135" i="20"/>
  <c r="J2135" i="20"/>
  <c r="K2134" i="20"/>
  <c r="J2134" i="20"/>
  <c r="K2133" i="20"/>
  <c r="J2133" i="20"/>
  <c r="K2132" i="20"/>
  <c r="J2132" i="20"/>
  <c r="K2131" i="20"/>
  <c r="J2131" i="20"/>
  <c r="K2130" i="20"/>
  <c r="J2130" i="20"/>
  <c r="K2129" i="20"/>
  <c r="J2129" i="20"/>
  <c r="K2128" i="20"/>
  <c r="J2128" i="20"/>
  <c r="K2127" i="20"/>
  <c r="J2127" i="20"/>
  <c r="K2126" i="20"/>
  <c r="J2126" i="20"/>
  <c r="K2125" i="20"/>
  <c r="J2125" i="20"/>
  <c r="K2124" i="20"/>
  <c r="J2124" i="20"/>
  <c r="K2123" i="20"/>
  <c r="J2123" i="20"/>
  <c r="K2122" i="20"/>
  <c r="J2122" i="20"/>
  <c r="K2121" i="20"/>
  <c r="J2121" i="20"/>
  <c r="K2120" i="20"/>
  <c r="J2120" i="20"/>
  <c r="K2119" i="20"/>
  <c r="J2119" i="20"/>
  <c r="K2118" i="20"/>
  <c r="J2118" i="20"/>
  <c r="K2117" i="20"/>
  <c r="J2117" i="20"/>
  <c r="K2116" i="20"/>
  <c r="J2116" i="20"/>
  <c r="K2115" i="20"/>
  <c r="J2115" i="20"/>
  <c r="K2114" i="20"/>
  <c r="J2114" i="20"/>
  <c r="K2113" i="20"/>
  <c r="J2113" i="20"/>
  <c r="K2112" i="20"/>
  <c r="J2112" i="20"/>
  <c r="K2111" i="20"/>
  <c r="J2111" i="20"/>
  <c r="K2110" i="20"/>
  <c r="J2110" i="20"/>
  <c r="K2109" i="20"/>
  <c r="J2109" i="20"/>
  <c r="K2108" i="20"/>
  <c r="J2108" i="20"/>
  <c r="K2107" i="20"/>
  <c r="J2107" i="20"/>
  <c r="K2106" i="20"/>
  <c r="J2106" i="20"/>
  <c r="K2105" i="20"/>
  <c r="J2105" i="20"/>
  <c r="K2104" i="20"/>
  <c r="J2104" i="20"/>
  <c r="K2103" i="20"/>
  <c r="J2103" i="20"/>
  <c r="K2102" i="20"/>
  <c r="J2102" i="20"/>
  <c r="K2101" i="20"/>
  <c r="J2101" i="20"/>
  <c r="K2100" i="20"/>
  <c r="J2100" i="20"/>
  <c r="K2099" i="20"/>
  <c r="J2099" i="20"/>
  <c r="K2098" i="20"/>
  <c r="J2098" i="20"/>
  <c r="K2097" i="20"/>
  <c r="J2097" i="20"/>
  <c r="K2096" i="20"/>
  <c r="J2096" i="20"/>
  <c r="K2095" i="20"/>
  <c r="J2095" i="20"/>
  <c r="K2094" i="20"/>
  <c r="J2094" i="20"/>
  <c r="K2093" i="20"/>
  <c r="J2093" i="20"/>
  <c r="K2092" i="20"/>
  <c r="J2092" i="20"/>
  <c r="K2091" i="20"/>
  <c r="J2091" i="20"/>
  <c r="K2090" i="20"/>
  <c r="J2090" i="20"/>
  <c r="K2089" i="20"/>
  <c r="J2089" i="20"/>
  <c r="K2088" i="20"/>
  <c r="J2088" i="20"/>
  <c r="K2087" i="20"/>
  <c r="J2087" i="20"/>
  <c r="K2086" i="20"/>
  <c r="J2086" i="20"/>
  <c r="K2085" i="20"/>
  <c r="J2085" i="20"/>
  <c r="K2084" i="20"/>
  <c r="J2084" i="20"/>
  <c r="K2083" i="20"/>
  <c r="J2083" i="20"/>
  <c r="K2082" i="20"/>
  <c r="J2082" i="20"/>
  <c r="K2081" i="20"/>
  <c r="J2081" i="20"/>
  <c r="K2080" i="20"/>
  <c r="J2080" i="20"/>
  <c r="K2079" i="20"/>
  <c r="J2079" i="20"/>
  <c r="K2078" i="20"/>
  <c r="J2078" i="20"/>
  <c r="K2077" i="20"/>
  <c r="J2077" i="20"/>
  <c r="K2076" i="20"/>
  <c r="J2076" i="20"/>
  <c r="K2075" i="20"/>
  <c r="J2075" i="20"/>
  <c r="K2074" i="20"/>
  <c r="J2074" i="20"/>
  <c r="K2073" i="20"/>
  <c r="J2073" i="20"/>
  <c r="K2072" i="20"/>
  <c r="J2072" i="20"/>
  <c r="K2071" i="20"/>
  <c r="J2071" i="20"/>
  <c r="K2070" i="20"/>
  <c r="J2070" i="20"/>
  <c r="K2069" i="20"/>
  <c r="J2069" i="20"/>
  <c r="K2068" i="20"/>
  <c r="J2068" i="20"/>
  <c r="K2067" i="20"/>
  <c r="J2067" i="20"/>
  <c r="K2066" i="20"/>
  <c r="J2066" i="20"/>
  <c r="K2065" i="20"/>
  <c r="J2065" i="20"/>
  <c r="K2064" i="20"/>
  <c r="J2064" i="20"/>
  <c r="K2063" i="20"/>
  <c r="J2063" i="20"/>
  <c r="K2062" i="20"/>
  <c r="J2062" i="20"/>
  <c r="K2061" i="20"/>
  <c r="J2061" i="20"/>
  <c r="K2060" i="20"/>
  <c r="J2060" i="20"/>
  <c r="K2059" i="20"/>
  <c r="J2059" i="20"/>
  <c r="K2058" i="20"/>
  <c r="J2058" i="20"/>
  <c r="K2057" i="20"/>
  <c r="J2057" i="20"/>
  <c r="K2056" i="20"/>
  <c r="J2056" i="20"/>
  <c r="K2055" i="20"/>
  <c r="J2055" i="20"/>
  <c r="K2054" i="20"/>
  <c r="J2054" i="20"/>
  <c r="K2053" i="20"/>
  <c r="J2053" i="20"/>
  <c r="K2052" i="20"/>
  <c r="J2052" i="20"/>
  <c r="K2051" i="20"/>
  <c r="J2051" i="20"/>
  <c r="K2050" i="20"/>
  <c r="J2050" i="20"/>
  <c r="K2049" i="20"/>
  <c r="J2049" i="20"/>
  <c r="K2048" i="20"/>
  <c r="J2048" i="20"/>
  <c r="K2047" i="20"/>
  <c r="J2047" i="20"/>
  <c r="K2046" i="20"/>
  <c r="J2046" i="20"/>
  <c r="K2045" i="20"/>
  <c r="J2045" i="20"/>
  <c r="K2044" i="20"/>
  <c r="J2044" i="20"/>
  <c r="K2043" i="20"/>
  <c r="J2043" i="20"/>
  <c r="K2042" i="20"/>
  <c r="J2042" i="20"/>
  <c r="K2041" i="20"/>
  <c r="J2041" i="20"/>
  <c r="K2040" i="20"/>
  <c r="J2040" i="20"/>
  <c r="K2039" i="20"/>
  <c r="J2039" i="20"/>
  <c r="K2038" i="20"/>
  <c r="J2038" i="20"/>
  <c r="K2037" i="20"/>
  <c r="J2037" i="20"/>
  <c r="K2036" i="20"/>
  <c r="J2036" i="20"/>
  <c r="K2035" i="20"/>
  <c r="J2035" i="20"/>
  <c r="K2034" i="20"/>
  <c r="J2034" i="20"/>
  <c r="K2033" i="20"/>
  <c r="J2033" i="20"/>
  <c r="K2032" i="20"/>
  <c r="J2032" i="20"/>
  <c r="K2031" i="20"/>
  <c r="J2031" i="20"/>
  <c r="K2030" i="20"/>
  <c r="J2030" i="20"/>
  <c r="K2029" i="20"/>
  <c r="J2029" i="20"/>
  <c r="K2028" i="20"/>
  <c r="J2028" i="20"/>
  <c r="K2027" i="20"/>
  <c r="J2027" i="20"/>
  <c r="K2026" i="20"/>
  <c r="J2026" i="20"/>
  <c r="K2025" i="20"/>
  <c r="J2025" i="20"/>
  <c r="K2024" i="20"/>
  <c r="J2024" i="20"/>
  <c r="K2022" i="20"/>
  <c r="J2022" i="20"/>
  <c r="K2021" i="20"/>
  <c r="J2021" i="20"/>
  <c r="K2020" i="20"/>
  <c r="J2020" i="20"/>
  <c r="K2019" i="20"/>
  <c r="J2019" i="20"/>
  <c r="K2018" i="20"/>
  <c r="J2018" i="20"/>
  <c r="K2017" i="20"/>
  <c r="J2017" i="20"/>
  <c r="K2016" i="20"/>
  <c r="J2016" i="20"/>
  <c r="K2015" i="20"/>
  <c r="J2015" i="20"/>
  <c r="K2014" i="20"/>
  <c r="J2014" i="20"/>
  <c r="K2013" i="20"/>
  <c r="J2013" i="20"/>
  <c r="K2012" i="20"/>
  <c r="J2012" i="20"/>
  <c r="K2011" i="20"/>
  <c r="J2011" i="20"/>
  <c r="K2010" i="20"/>
  <c r="J2010" i="20"/>
  <c r="K2009" i="20"/>
  <c r="J2009" i="20"/>
  <c r="K2008" i="20"/>
  <c r="J2008" i="20"/>
  <c r="K2007" i="20"/>
  <c r="J2007" i="20"/>
  <c r="K2006" i="20"/>
  <c r="J2006" i="20"/>
  <c r="K2005" i="20"/>
  <c r="J2005" i="20"/>
  <c r="K2004" i="20"/>
  <c r="J2004" i="20"/>
  <c r="K2003" i="20"/>
  <c r="J2003" i="20"/>
  <c r="K2002" i="20"/>
  <c r="J2002" i="20"/>
  <c r="K2001" i="20"/>
  <c r="J2001" i="20"/>
  <c r="K2000" i="20"/>
  <c r="J2000" i="20"/>
  <c r="K1999" i="20"/>
  <c r="J1999" i="20"/>
  <c r="K1998" i="20"/>
  <c r="J1998" i="20"/>
  <c r="K1997" i="20"/>
  <c r="J1997" i="20"/>
  <c r="K1996" i="20"/>
  <c r="J1996" i="20"/>
  <c r="K1995" i="20"/>
  <c r="J1995" i="20"/>
  <c r="K1994" i="20"/>
  <c r="J1994" i="20"/>
  <c r="K1993" i="20"/>
  <c r="J1993" i="20"/>
  <c r="K1992" i="20"/>
  <c r="J1992" i="20"/>
  <c r="K1991" i="20"/>
  <c r="J1991" i="20"/>
  <c r="K1990" i="20"/>
  <c r="J1990" i="20"/>
  <c r="K1989" i="20"/>
  <c r="J1989" i="20"/>
  <c r="K1988" i="20"/>
  <c r="J1988" i="20"/>
  <c r="K1987" i="20"/>
  <c r="J1987" i="20"/>
  <c r="K1986" i="20"/>
  <c r="J1986" i="20"/>
  <c r="K1985" i="20"/>
  <c r="J1985" i="20"/>
  <c r="K1984" i="20"/>
  <c r="J1984" i="20"/>
  <c r="K1983" i="20"/>
  <c r="J1983" i="20"/>
  <c r="K1982" i="20"/>
  <c r="J1982" i="20"/>
  <c r="K1981" i="20"/>
  <c r="J1981" i="20"/>
  <c r="K1980" i="20"/>
  <c r="J1980" i="20"/>
  <c r="K1979" i="20"/>
  <c r="J1979" i="20"/>
  <c r="K1978" i="20"/>
  <c r="J1978" i="20"/>
  <c r="K1977" i="20"/>
  <c r="J1977" i="20"/>
  <c r="K1976" i="20"/>
  <c r="J1976" i="20"/>
  <c r="K1975" i="20"/>
  <c r="J1975" i="20"/>
  <c r="K1974" i="20"/>
  <c r="J1974" i="20"/>
  <c r="K1973" i="20"/>
  <c r="J1973" i="20"/>
  <c r="K1972" i="20"/>
  <c r="J1972" i="20"/>
  <c r="K1971" i="20"/>
  <c r="J1971" i="20"/>
  <c r="K1970" i="20"/>
  <c r="J1970" i="20"/>
  <c r="K1969" i="20"/>
  <c r="J1969" i="20"/>
  <c r="K1968" i="20"/>
  <c r="J1968" i="20"/>
  <c r="K1967" i="20"/>
  <c r="J1967" i="20"/>
  <c r="K1966" i="20"/>
  <c r="J1966" i="20"/>
  <c r="K1965" i="20"/>
  <c r="J1965" i="20"/>
  <c r="K1964" i="20"/>
  <c r="J1964" i="20"/>
  <c r="K1963" i="20"/>
  <c r="J1963" i="20"/>
  <c r="K1962" i="20"/>
  <c r="J1962" i="20"/>
  <c r="K1961" i="20"/>
  <c r="J1961" i="20"/>
  <c r="K1960" i="20"/>
  <c r="J1960" i="20"/>
  <c r="K1959" i="20"/>
  <c r="J1959" i="20"/>
  <c r="K1958" i="20"/>
  <c r="J1958" i="20"/>
  <c r="K1957" i="20"/>
  <c r="J1957" i="20"/>
  <c r="K1956" i="20"/>
  <c r="J1956" i="20"/>
  <c r="K1955" i="20"/>
  <c r="J1955" i="20"/>
  <c r="K1954" i="20"/>
  <c r="J1954" i="20"/>
  <c r="K1953" i="20"/>
  <c r="J1953" i="20"/>
  <c r="K1952" i="20"/>
  <c r="J1952" i="20"/>
  <c r="K1951" i="20"/>
  <c r="J1951" i="20"/>
  <c r="K1950" i="20"/>
  <c r="J1950" i="20"/>
  <c r="K1949" i="20"/>
  <c r="J1949" i="20"/>
  <c r="K1948" i="20"/>
  <c r="J1948" i="20"/>
  <c r="K1947" i="20"/>
  <c r="J1947" i="20"/>
  <c r="K1946" i="20"/>
  <c r="J1946" i="20"/>
  <c r="K1945" i="20"/>
  <c r="J1945" i="20"/>
  <c r="K1944" i="20"/>
  <c r="J1944" i="20"/>
  <c r="K1943" i="20"/>
  <c r="J1943" i="20"/>
  <c r="K1942" i="20"/>
  <c r="J1942" i="20"/>
  <c r="K1941" i="20"/>
  <c r="J1941" i="20"/>
  <c r="K1940" i="20"/>
  <c r="J1940" i="20"/>
  <c r="K1939" i="20"/>
  <c r="J1939" i="20"/>
  <c r="K1938" i="20"/>
  <c r="J1938" i="20"/>
  <c r="K1937" i="20"/>
  <c r="J1937" i="20"/>
  <c r="K1936" i="20"/>
  <c r="J1936" i="20"/>
  <c r="K1935" i="20"/>
  <c r="J1935" i="20"/>
  <c r="K1934" i="20"/>
  <c r="J1934" i="20"/>
  <c r="K1933" i="20"/>
  <c r="J1933" i="20"/>
  <c r="K1932" i="20"/>
  <c r="J1932" i="20"/>
  <c r="K1931" i="20"/>
  <c r="J1931" i="20"/>
  <c r="K1930" i="20"/>
  <c r="J1930" i="20"/>
  <c r="K1929" i="20"/>
  <c r="J1929" i="20"/>
  <c r="K1928" i="20"/>
  <c r="J1928" i="20"/>
  <c r="K1927" i="20"/>
  <c r="J1927" i="20"/>
  <c r="K1926" i="20"/>
  <c r="J1926" i="20"/>
  <c r="K1925" i="20"/>
  <c r="J1925" i="20"/>
  <c r="K1924" i="20"/>
  <c r="J1924" i="20"/>
  <c r="K1923" i="20"/>
  <c r="J1923" i="20"/>
  <c r="K1922" i="20"/>
  <c r="J1922" i="20"/>
  <c r="K1921" i="20"/>
  <c r="J1921" i="20"/>
  <c r="K1920" i="20"/>
  <c r="J1920" i="20"/>
  <c r="K1919" i="20"/>
  <c r="J1919" i="20"/>
  <c r="K1918" i="20"/>
  <c r="J1918" i="20"/>
  <c r="K1917" i="20"/>
  <c r="J1917" i="20"/>
  <c r="K1916" i="20"/>
  <c r="J1916" i="20"/>
  <c r="K1915" i="20"/>
  <c r="J1915" i="20"/>
  <c r="K1914" i="20"/>
  <c r="J1914" i="20"/>
  <c r="K1913" i="20"/>
  <c r="J1913" i="20"/>
  <c r="K1912" i="20"/>
  <c r="J1912" i="20"/>
  <c r="K1911" i="20"/>
  <c r="J1911" i="20"/>
  <c r="K1910" i="20"/>
  <c r="J1910" i="20"/>
  <c r="K1909" i="20"/>
  <c r="J1909" i="20"/>
  <c r="K1907" i="20"/>
  <c r="J1907" i="20"/>
  <c r="K1906" i="20"/>
  <c r="J1906" i="20"/>
  <c r="K1905" i="20"/>
  <c r="J1905" i="20"/>
  <c r="K1904" i="20"/>
  <c r="J1904" i="20"/>
  <c r="K1903" i="20"/>
  <c r="J1903" i="20"/>
  <c r="K1902" i="20"/>
  <c r="J1902" i="20"/>
  <c r="K1901" i="20"/>
  <c r="J1901" i="20"/>
  <c r="K1900" i="20"/>
  <c r="J1900" i="20"/>
  <c r="K1899" i="20"/>
  <c r="J1899" i="20"/>
  <c r="K1898" i="20"/>
  <c r="J1898" i="20"/>
  <c r="K1897" i="20"/>
  <c r="J1897" i="20"/>
  <c r="K1896" i="20"/>
  <c r="J1896" i="20"/>
  <c r="K1895" i="20"/>
  <c r="J1895" i="20"/>
  <c r="K1894" i="20"/>
  <c r="J1894" i="20"/>
  <c r="K1893" i="20"/>
  <c r="J1893" i="20"/>
  <c r="K1892" i="20"/>
  <c r="J1892" i="20"/>
  <c r="K1891" i="20"/>
  <c r="J1891" i="20"/>
  <c r="K1890" i="20"/>
  <c r="J1890" i="20"/>
  <c r="K1889" i="20"/>
  <c r="J1889" i="20"/>
  <c r="K1888" i="20"/>
  <c r="J1888" i="20"/>
  <c r="K1887" i="20"/>
  <c r="J1887" i="20"/>
  <c r="K1886" i="20"/>
  <c r="J1886" i="20"/>
  <c r="K1884" i="20"/>
  <c r="J1884" i="20"/>
  <c r="K1883" i="20"/>
  <c r="J1883" i="20"/>
  <c r="K1882" i="20"/>
  <c r="J1882" i="20"/>
  <c r="K1881" i="20"/>
  <c r="J1881" i="20"/>
  <c r="K1880" i="20"/>
  <c r="J1880" i="20"/>
  <c r="K1879" i="20"/>
  <c r="J1879" i="20"/>
  <c r="K1878" i="20"/>
  <c r="J1878" i="20"/>
  <c r="K1877" i="20"/>
  <c r="J1877" i="20"/>
  <c r="K1876" i="20"/>
  <c r="J1876" i="20"/>
  <c r="K1875" i="20"/>
  <c r="J1875" i="20"/>
  <c r="K1874" i="20"/>
  <c r="J1874" i="20"/>
  <c r="K1873" i="20"/>
  <c r="J1873" i="20"/>
  <c r="K1872" i="20"/>
  <c r="J1872" i="20"/>
  <c r="K1871" i="20"/>
  <c r="J1871" i="20"/>
  <c r="K1870" i="20"/>
  <c r="J1870" i="20"/>
  <c r="K1869" i="20"/>
  <c r="J1869" i="20"/>
  <c r="K1868" i="20"/>
  <c r="J1868" i="20"/>
  <c r="K1867" i="20"/>
  <c r="J1867" i="20"/>
  <c r="K1866" i="20"/>
  <c r="J1866" i="20"/>
  <c r="K1865" i="20"/>
  <c r="J1865" i="20"/>
  <c r="K1863" i="20"/>
  <c r="J1863" i="20"/>
  <c r="K1862" i="20"/>
  <c r="J1862" i="20"/>
  <c r="K1861" i="20"/>
  <c r="J1861" i="20"/>
  <c r="K1860" i="20"/>
  <c r="J1860" i="20"/>
  <c r="K1859" i="20"/>
  <c r="J1859" i="20"/>
  <c r="K1858" i="20"/>
  <c r="J1858" i="20"/>
  <c r="K1857" i="20"/>
  <c r="J1857" i="20"/>
  <c r="K1856" i="20"/>
  <c r="J1856" i="20"/>
  <c r="K1855" i="20"/>
  <c r="J1855" i="20"/>
  <c r="K1854" i="20"/>
  <c r="J1854" i="20"/>
  <c r="K1853" i="20"/>
  <c r="J1853" i="20"/>
  <c r="K1852" i="20"/>
  <c r="J1852" i="20"/>
  <c r="K1851" i="20"/>
  <c r="J1851" i="20"/>
  <c r="K1850" i="20"/>
  <c r="J1850" i="20"/>
  <c r="K1849" i="20"/>
  <c r="J1849" i="20"/>
  <c r="K1848" i="20"/>
  <c r="J1848" i="20"/>
  <c r="K1847" i="20"/>
  <c r="J1847" i="20"/>
  <c r="K1846" i="20"/>
  <c r="J1846" i="20"/>
  <c r="K1845" i="20"/>
  <c r="J1845" i="20"/>
  <c r="K1844" i="20"/>
  <c r="J1844" i="20"/>
  <c r="K1842" i="20"/>
  <c r="J1842" i="20"/>
  <c r="K1841" i="20"/>
  <c r="J1841" i="20"/>
  <c r="K1840" i="20"/>
  <c r="J1840" i="20"/>
  <c r="K1839" i="20"/>
  <c r="J1839" i="20"/>
  <c r="K1838" i="20"/>
  <c r="J1838" i="20"/>
  <c r="K1837" i="20"/>
  <c r="J1837" i="20"/>
  <c r="K1836" i="20"/>
  <c r="J1836" i="20"/>
  <c r="K1835" i="20"/>
  <c r="J1835" i="20"/>
  <c r="K1834" i="20"/>
  <c r="J1834" i="20"/>
  <c r="K1833" i="20"/>
  <c r="J1833" i="20"/>
  <c r="K1832" i="20"/>
  <c r="J1832" i="20"/>
  <c r="K1831" i="20"/>
  <c r="J1831" i="20"/>
  <c r="K1830" i="20"/>
  <c r="J1830" i="20"/>
  <c r="K1829" i="20"/>
  <c r="J1829" i="20"/>
  <c r="K1828" i="20"/>
  <c r="J1828" i="20"/>
  <c r="K1827" i="20"/>
  <c r="J1827" i="20"/>
  <c r="K1826" i="20"/>
  <c r="J1826" i="20"/>
  <c r="K1825" i="20"/>
  <c r="J1825" i="20"/>
  <c r="K1824" i="20"/>
  <c r="J1824" i="20"/>
  <c r="K1823" i="20"/>
  <c r="J1823" i="20"/>
  <c r="K1821" i="20"/>
  <c r="J1821" i="20"/>
  <c r="K1820" i="20"/>
  <c r="J1820" i="20"/>
  <c r="K1819" i="20"/>
  <c r="J1819" i="20"/>
  <c r="K1818" i="20"/>
  <c r="J1818" i="20"/>
  <c r="K1817" i="20"/>
  <c r="J1817" i="20"/>
  <c r="K1816" i="20"/>
  <c r="J1816" i="20"/>
  <c r="K1815" i="20"/>
  <c r="J1815" i="20"/>
  <c r="K1814" i="20"/>
  <c r="J1814" i="20"/>
  <c r="K1813" i="20"/>
  <c r="J1813" i="20"/>
  <c r="K1812" i="20"/>
  <c r="J1812" i="20"/>
  <c r="K1811" i="20"/>
  <c r="J1811" i="20"/>
  <c r="K1810" i="20"/>
  <c r="J1810" i="20"/>
  <c r="K1809" i="20"/>
  <c r="J1809" i="20"/>
  <c r="K1808" i="20"/>
  <c r="J1808" i="20"/>
  <c r="K1807" i="20"/>
  <c r="J1807" i="20"/>
  <c r="K1806" i="20"/>
  <c r="J1806" i="20"/>
  <c r="K1805" i="20"/>
  <c r="J1805" i="20"/>
  <c r="K1804" i="20"/>
  <c r="J1804" i="20"/>
  <c r="K1802" i="20"/>
  <c r="J1802" i="20"/>
  <c r="K1801" i="20"/>
  <c r="J1801" i="20"/>
  <c r="K1800" i="20"/>
  <c r="J1800" i="20"/>
  <c r="K1799" i="20"/>
  <c r="J1799" i="20"/>
  <c r="K1798" i="20"/>
  <c r="J1798" i="20"/>
  <c r="K1797" i="20"/>
  <c r="J1797" i="20"/>
  <c r="K1796" i="20"/>
  <c r="J1796" i="20"/>
  <c r="K1795" i="20"/>
  <c r="J1795" i="20"/>
  <c r="K1794" i="20"/>
  <c r="J1794" i="20"/>
  <c r="K1793" i="20"/>
  <c r="J1793" i="20"/>
  <c r="K1792" i="20"/>
  <c r="J1792" i="20"/>
  <c r="K1791" i="20"/>
  <c r="J1791" i="20"/>
  <c r="K1790" i="20"/>
  <c r="J1790" i="20"/>
  <c r="K1789" i="20"/>
  <c r="J1789" i="20"/>
  <c r="K1788" i="20"/>
  <c r="J1788" i="20"/>
  <c r="K1787" i="20"/>
  <c r="J1787" i="20"/>
  <c r="K1786" i="20"/>
  <c r="J1786" i="20"/>
  <c r="K1784" i="20"/>
  <c r="J1784" i="20"/>
  <c r="K1783" i="20"/>
  <c r="J1783" i="20"/>
  <c r="K1782" i="20"/>
  <c r="J1782" i="20"/>
  <c r="K1781" i="20"/>
  <c r="J1781" i="20"/>
  <c r="K1780" i="20"/>
  <c r="J1780" i="20"/>
  <c r="K1779" i="20"/>
  <c r="J1779" i="20"/>
  <c r="K1778" i="20"/>
  <c r="J1778" i="20"/>
  <c r="K1777" i="20"/>
  <c r="J1777" i="20"/>
  <c r="K1776" i="20"/>
  <c r="J1776" i="20"/>
  <c r="K1775" i="20"/>
  <c r="J1775" i="20"/>
  <c r="K1774" i="20"/>
  <c r="J1774" i="20"/>
  <c r="K1773" i="20"/>
  <c r="J1773" i="20"/>
  <c r="K1772" i="20"/>
  <c r="J1772" i="20"/>
  <c r="K1771" i="20"/>
  <c r="J1771" i="20"/>
  <c r="K1770" i="20"/>
  <c r="J1770" i="20"/>
  <c r="K1769" i="20"/>
  <c r="J1769" i="20"/>
  <c r="K1768" i="20"/>
  <c r="J1768" i="20"/>
  <c r="K1767" i="20"/>
  <c r="J1767" i="20"/>
  <c r="K1766" i="20"/>
  <c r="J1766" i="20"/>
  <c r="K1765" i="20"/>
  <c r="J1765" i="20"/>
  <c r="K1764" i="20"/>
  <c r="J1764" i="20"/>
  <c r="K1763" i="20"/>
  <c r="J1763" i="20"/>
  <c r="K1761" i="20"/>
  <c r="J1761" i="20"/>
  <c r="K1760" i="20"/>
  <c r="J1760" i="20"/>
  <c r="K1759" i="20"/>
  <c r="J1759" i="20"/>
  <c r="K1758" i="20"/>
  <c r="J1758" i="20"/>
  <c r="K1757" i="20"/>
  <c r="J1757" i="20"/>
  <c r="K1756" i="20"/>
  <c r="J1756" i="20"/>
  <c r="K1755" i="20"/>
  <c r="J1755" i="20"/>
  <c r="K1754" i="20"/>
  <c r="J1754" i="20"/>
  <c r="K1753" i="20"/>
  <c r="J1753" i="20"/>
  <c r="K1752" i="20"/>
  <c r="J1752" i="20"/>
  <c r="K1751" i="20"/>
  <c r="J1751" i="20"/>
  <c r="K1750" i="20"/>
  <c r="J1750" i="20"/>
  <c r="K1749" i="20"/>
  <c r="J1749" i="20"/>
  <c r="K1748" i="20"/>
  <c r="J1748" i="20"/>
  <c r="K1747" i="20"/>
  <c r="J1747" i="20"/>
  <c r="K1746" i="20"/>
  <c r="J1746" i="20"/>
  <c r="K1745" i="20"/>
  <c r="J1745" i="20"/>
  <c r="K1744" i="20"/>
  <c r="J1744" i="20"/>
  <c r="K1743" i="20"/>
  <c r="J1743" i="20"/>
  <c r="K1742" i="20"/>
  <c r="J1742" i="20"/>
  <c r="K1741" i="20"/>
  <c r="J1741" i="20"/>
  <c r="K1739" i="20"/>
  <c r="J1739" i="20"/>
  <c r="K1738" i="20"/>
  <c r="J1738" i="20"/>
  <c r="K1737" i="20"/>
  <c r="J1737" i="20"/>
  <c r="K1736" i="20"/>
  <c r="J1736" i="20"/>
  <c r="K1735" i="20"/>
  <c r="J1735" i="20"/>
  <c r="K1734" i="20"/>
  <c r="J1734" i="20"/>
  <c r="K1733" i="20"/>
  <c r="J1733" i="20"/>
  <c r="K1732" i="20"/>
  <c r="J1732" i="20"/>
  <c r="K1731" i="20"/>
  <c r="J1731" i="20"/>
  <c r="K1730" i="20"/>
  <c r="J1730" i="20"/>
  <c r="K1729" i="20"/>
  <c r="J1729" i="20"/>
  <c r="K1728" i="20"/>
  <c r="J1728" i="20"/>
  <c r="K1727" i="20"/>
  <c r="J1727" i="20"/>
  <c r="K1726" i="20"/>
  <c r="J1726" i="20"/>
  <c r="K1725" i="20"/>
  <c r="J1725" i="20"/>
  <c r="K1724" i="20"/>
  <c r="J1724" i="20"/>
  <c r="K1723" i="20"/>
  <c r="J1723" i="20"/>
  <c r="K1722" i="20"/>
  <c r="J1722" i="20"/>
  <c r="K1720" i="20"/>
  <c r="J1720" i="20"/>
  <c r="K1719" i="20"/>
  <c r="J1719" i="20"/>
  <c r="K1718" i="20"/>
  <c r="J1718" i="20"/>
  <c r="K1717" i="20"/>
  <c r="J1717" i="20"/>
  <c r="K1716" i="20"/>
  <c r="J1716" i="20"/>
  <c r="K1715" i="20"/>
  <c r="J1715" i="20"/>
  <c r="K1714" i="20"/>
  <c r="J1714" i="20"/>
  <c r="K1713" i="20"/>
  <c r="J1713" i="20"/>
  <c r="K1712" i="20"/>
  <c r="J1712" i="20"/>
  <c r="K1711" i="20"/>
  <c r="J1711" i="20"/>
  <c r="K1710" i="20"/>
  <c r="J1710" i="20"/>
  <c r="K1709" i="20"/>
  <c r="J1709" i="20"/>
  <c r="K1708" i="20"/>
  <c r="J1708" i="20"/>
  <c r="K1707" i="20"/>
  <c r="J1707" i="20"/>
  <c r="K1706" i="20"/>
  <c r="J1706" i="20"/>
  <c r="K1705" i="20"/>
  <c r="J1705" i="20"/>
  <c r="K1704" i="20"/>
  <c r="J1704" i="20"/>
  <c r="K1703" i="20"/>
  <c r="J1703" i="20"/>
  <c r="K1702" i="20"/>
  <c r="J1702" i="20"/>
  <c r="K1701" i="20"/>
  <c r="J1701" i="20"/>
  <c r="K1700" i="20"/>
  <c r="J1700" i="20"/>
  <c r="K1699" i="20"/>
  <c r="J1699" i="20"/>
  <c r="K1698" i="20"/>
  <c r="J1698" i="20"/>
  <c r="K1697" i="20"/>
  <c r="J1697" i="20"/>
  <c r="K1695" i="20"/>
  <c r="J1695" i="20"/>
  <c r="K1694" i="20"/>
  <c r="J1694" i="20"/>
  <c r="K1693" i="20"/>
  <c r="J1693" i="20"/>
  <c r="K1692" i="20"/>
  <c r="J1692" i="20"/>
  <c r="K1691" i="20"/>
  <c r="J1691" i="20"/>
  <c r="K1690" i="20"/>
  <c r="J1690" i="20"/>
  <c r="K1689" i="20"/>
  <c r="J1689" i="20"/>
  <c r="K1688" i="20"/>
  <c r="J1688" i="20"/>
  <c r="K1687" i="20"/>
  <c r="J1687" i="20"/>
  <c r="K1686" i="20"/>
  <c r="J1686" i="20"/>
  <c r="K1685" i="20"/>
  <c r="J1685" i="20"/>
  <c r="K1684" i="20"/>
  <c r="J1684" i="20"/>
  <c r="K1683" i="20"/>
  <c r="J1683" i="20"/>
  <c r="K1682" i="20"/>
  <c r="J1682" i="20"/>
  <c r="K1681" i="20"/>
  <c r="J1681" i="20"/>
  <c r="K1679" i="20"/>
  <c r="J1679" i="20"/>
  <c r="K1678" i="20"/>
  <c r="J1678" i="20"/>
  <c r="K1677" i="20"/>
  <c r="J1677" i="20"/>
  <c r="K1676" i="20"/>
  <c r="J1676" i="20"/>
  <c r="K1675" i="20"/>
  <c r="J1675" i="20"/>
  <c r="K1674" i="20"/>
  <c r="J1674" i="20"/>
  <c r="K1673" i="20"/>
  <c r="J1673" i="20"/>
  <c r="K1672" i="20"/>
  <c r="J1672" i="20"/>
  <c r="K1671" i="20"/>
  <c r="J1671" i="20"/>
  <c r="K1670" i="20"/>
  <c r="J1670" i="20"/>
  <c r="K1669" i="20"/>
  <c r="J1669" i="20"/>
  <c r="K1668" i="20"/>
  <c r="J1668" i="20"/>
  <c r="K1667" i="20"/>
  <c r="J1667" i="20"/>
  <c r="K1666" i="20"/>
  <c r="J1666" i="20"/>
  <c r="K1665" i="20"/>
  <c r="J1665" i="20"/>
  <c r="K1664" i="20"/>
  <c r="J1664" i="20"/>
  <c r="K1663" i="20"/>
  <c r="J1663" i="20"/>
  <c r="K1662" i="20"/>
  <c r="J1662" i="20"/>
  <c r="K1661" i="20"/>
  <c r="J1661" i="20"/>
  <c r="K1659" i="20"/>
  <c r="J1659" i="20"/>
  <c r="K1658" i="20"/>
  <c r="J1658" i="20"/>
  <c r="K1657" i="20"/>
  <c r="J1657" i="20"/>
  <c r="K1656" i="20"/>
  <c r="J1656" i="20"/>
  <c r="K1655" i="20"/>
  <c r="J1655" i="20"/>
  <c r="K1654" i="20"/>
  <c r="J1654" i="20"/>
  <c r="K1653" i="20"/>
  <c r="J1653" i="20"/>
  <c r="K1652" i="20"/>
  <c r="J1652" i="20"/>
  <c r="K1651" i="20"/>
  <c r="J1651" i="20"/>
  <c r="K1650" i="20"/>
  <c r="J1650" i="20"/>
  <c r="K1649" i="20"/>
  <c r="J1649" i="20"/>
  <c r="K1648" i="20"/>
  <c r="J1648" i="20"/>
  <c r="K1647" i="20"/>
  <c r="J1647" i="20"/>
  <c r="K1646" i="20"/>
  <c r="J1646" i="20"/>
  <c r="K1645" i="20"/>
  <c r="J1645" i="20"/>
  <c r="K1644" i="20"/>
  <c r="J1644" i="20"/>
  <c r="K1643" i="20"/>
  <c r="J1643" i="20"/>
  <c r="K1642" i="20"/>
  <c r="J1642" i="20"/>
  <c r="K1641" i="20"/>
  <c r="J1641" i="20"/>
  <c r="K1640" i="20"/>
  <c r="J1640" i="20"/>
  <c r="K1639" i="20"/>
  <c r="J1639" i="20"/>
  <c r="K1637" i="20"/>
  <c r="J1637" i="20"/>
  <c r="K1636" i="20"/>
  <c r="J1636" i="20"/>
  <c r="K1635" i="20"/>
  <c r="J1635" i="20"/>
  <c r="K1634" i="20"/>
  <c r="J1634" i="20"/>
  <c r="K1633" i="20"/>
  <c r="J1633" i="20"/>
  <c r="K1632" i="20"/>
  <c r="J1632" i="20"/>
  <c r="K1631" i="20"/>
  <c r="J1631" i="20"/>
  <c r="K1630" i="20"/>
  <c r="J1630" i="20"/>
  <c r="K1629" i="20"/>
  <c r="J1629" i="20"/>
  <c r="K1628" i="20"/>
  <c r="J1628" i="20"/>
  <c r="K1627" i="20"/>
  <c r="J1627" i="20"/>
  <c r="K1626" i="20"/>
  <c r="J1626" i="20"/>
  <c r="K1625" i="20"/>
  <c r="J1625" i="20"/>
  <c r="K1624" i="20"/>
  <c r="J1624" i="20"/>
  <c r="K1623" i="20"/>
  <c r="J1623" i="20"/>
  <c r="K1622" i="20"/>
  <c r="J1622" i="20"/>
  <c r="K1621" i="20"/>
  <c r="J1621" i="20"/>
  <c r="K1620" i="20"/>
  <c r="J1620" i="20"/>
  <c r="K1619" i="20"/>
  <c r="J1619" i="20"/>
  <c r="K1618" i="20"/>
  <c r="J1618" i="20"/>
  <c r="K1617" i="20"/>
  <c r="J1617" i="20"/>
  <c r="K1616" i="20"/>
  <c r="J1616" i="20"/>
  <c r="K1615" i="20"/>
  <c r="J1615" i="20"/>
  <c r="K1613" i="20"/>
  <c r="J1613" i="20"/>
  <c r="K1612" i="20"/>
  <c r="J1612" i="20"/>
  <c r="K1611" i="20"/>
  <c r="J1611" i="20"/>
  <c r="K1610" i="20"/>
  <c r="J1610" i="20"/>
  <c r="K1609" i="20"/>
  <c r="J1609" i="20"/>
  <c r="K1608" i="20"/>
  <c r="J1608" i="20"/>
  <c r="K1607" i="20"/>
  <c r="J1607" i="20"/>
  <c r="K1606" i="20"/>
  <c r="J1606" i="20"/>
  <c r="K1605" i="20"/>
  <c r="J1605" i="20"/>
  <c r="K1604" i="20"/>
  <c r="J1604" i="20"/>
  <c r="K1603" i="20"/>
  <c r="J1603" i="20"/>
  <c r="K1602" i="20"/>
  <c r="J1602" i="20"/>
  <c r="K1601" i="20"/>
  <c r="J1601" i="20"/>
  <c r="K1600" i="20"/>
  <c r="J1600" i="20"/>
  <c r="K1599" i="20"/>
  <c r="J1599" i="20"/>
  <c r="K1598" i="20"/>
  <c r="J1598" i="20"/>
  <c r="K1597" i="20"/>
  <c r="J1597" i="20"/>
  <c r="K1596" i="20"/>
  <c r="J1596" i="20"/>
  <c r="K1595" i="20"/>
  <c r="J1595" i="20"/>
  <c r="K1593" i="20"/>
  <c r="J1593" i="20"/>
  <c r="K1592" i="20"/>
  <c r="J1592" i="20"/>
  <c r="K1591" i="20"/>
  <c r="J1591" i="20"/>
  <c r="K1590" i="20"/>
  <c r="J1590" i="20"/>
  <c r="K1589" i="20"/>
  <c r="J1589" i="20"/>
  <c r="K1588" i="20"/>
  <c r="J1588" i="20"/>
  <c r="K1587" i="20"/>
  <c r="J1587" i="20"/>
  <c r="K1586" i="20"/>
  <c r="J1586" i="20"/>
  <c r="K1585" i="20"/>
  <c r="J1585" i="20"/>
  <c r="K1584" i="20"/>
  <c r="J1584" i="20"/>
  <c r="K1583" i="20"/>
  <c r="J1583" i="20"/>
  <c r="K1582" i="20"/>
  <c r="J1582" i="20"/>
  <c r="K1581" i="20"/>
  <c r="J1581" i="20"/>
  <c r="K1580" i="20"/>
  <c r="J1580" i="20"/>
  <c r="K1579" i="20"/>
  <c r="J1579" i="20"/>
  <c r="K1578" i="20"/>
  <c r="J1578" i="20"/>
  <c r="K1577" i="20"/>
  <c r="J1577" i="20"/>
  <c r="K1575" i="20"/>
  <c r="J1575" i="20"/>
  <c r="K1574" i="20"/>
  <c r="J1574" i="20"/>
  <c r="K1573" i="20"/>
  <c r="J1573" i="20"/>
  <c r="K1572" i="20"/>
  <c r="J1572" i="20"/>
  <c r="K1571" i="20"/>
  <c r="J1571" i="20"/>
  <c r="K1570" i="20"/>
  <c r="J1570" i="20"/>
  <c r="K1569" i="20"/>
  <c r="J1569" i="20"/>
  <c r="K1568" i="20"/>
  <c r="J1568" i="20"/>
  <c r="K1567" i="20"/>
  <c r="J1567" i="20"/>
  <c r="K1566" i="20"/>
  <c r="J1566" i="20"/>
  <c r="K1565" i="20"/>
  <c r="J1565" i="20"/>
  <c r="K1564" i="20"/>
  <c r="J1564" i="20"/>
  <c r="K1563" i="20"/>
  <c r="J1563" i="20"/>
  <c r="K1562" i="20"/>
  <c r="J1562" i="20"/>
  <c r="K1561" i="20"/>
  <c r="J1561" i="20"/>
  <c r="K1560" i="20"/>
  <c r="J1560" i="20"/>
  <c r="K1559" i="20"/>
  <c r="J1559" i="20"/>
  <c r="K1558" i="20"/>
  <c r="J1558" i="20"/>
  <c r="K1557" i="20"/>
  <c r="J1557" i="20"/>
  <c r="K1555" i="20"/>
  <c r="J1555" i="20"/>
  <c r="K1554" i="20"/>
  <c r="J1554" i="20"/>
  <c r="K1553" i="20"/>
  <c r="J1553" i="20"/>
  <c r="K1552" i="20"/>
  <c r="J1552" i="20"/>
  <c r="K1551" i="20"/>
  <c r="J1551" i="20"/>
  <c r="K1550" i="20"/>
  <c r="J1550" i="20"/>
  <c r="K1549" i="20"/>
  <c r="J1549" i="20"/>
  <c r="K1548" i="20"/>
  <c r="J1548" i="20"/>
  <c r="K1547" i="20"/>
  <c r="J1547" i="20"/>
  <c r="K1546" i="20"/>
  <c r="J1546" i="20"/>
  <c r="K1545" i="20"/>
  <c r="J1545" i="20"/>
  <c r="K1544" i="20"/>
  <c r="J1544" i="20"/>
  <c r="K1543" i="20"/>
  <c r="J1543" i="20"/>
  <c r="K1542" i="20"/>
  <c r="J1542" i="20"/>
  <c r="K1541" i="20"/>
  <c r="J1541" i="20"/>
  <c r="K1540" i="20"/>
  <c r="J1540" i="20"/>
  <c r="K1539" i="20"/>
  <c r="J1539" i="20"/>
  <c r="K1538" i="20"/>
  <c r="J1538" i="20"/>
  <c r="K1537" i="20"/>
  <c r="J1537" i="20"/>
  <c r="K1536" i="20"/>
  <c r="J1536" i="20"/>
  <c r="K1534" i="20"/>
  <c r="J1534" i="20"/>
  <c r="K1533" i="20"/>
  <c r="J1533" i="20"/>
  <c r="K1532" i="20"/>
  <c r="J1532" i="20"/>
  <c r="K1531" i="20"/>
  <c r="J1531" i="20"/>
  <c r="K1530" i="20"/>
  <c r="J1530" i="20"/>
  <c r="K1529" i="20"/>
  <c r="J1529" i="20"/>
  <c r="K1528" i="20"/>
  <c r="J1528" i="20"/>
  <c r="K1527" i="20"/>
  <c r="J1527" i="20"/>
  <c r="K1526" i="20"/>
  <c r="J1526" i="20"/>
  <c r="K1525" i="20"/>
  <c r="J1525" i="20"/>
  <c r="K1524" i="20"/>
  <c r="J1524" i="20"/>
  <c r="K1523" i="20"/>
  <c r="J1523" i="20"/>
  <c r="K1522" i="20"/>
  <c r="J1522" i="20"/>
  <c r="K1521" i="20"/>
  <c r="J1521" i="20"/>
  <c r="K1520" i="20"/>
  <c r="J1520" i="20"/>
  <c r="K1519" i="20"/>
  <c r="J1519" i="20"/>
  <c r="K1518" i="20"/>
  <c r="J1518" i="20"/>
  <c r="K1517" i="20"/>
  <c r="J1517" i="20"/>
  <c r="K1516" i="20"/>
  <c r="J1516" i="20"/>
  <c r="K1514" i="20"/>
  <c r="J1514" i="20"/>
  <c r="K1513" i="20"/>
  <c r="J1513" i="20"/>
  <c r="K1512" i="20"/>
  <c r="J1512" i="20"/>
  <c r="K1511" i="20"/>
  <c r="J1511" i="20"/>
  <c r="K1510" i="20"/>
  <c r="J1510" i="20"/>
  <c r="K1509" i="20"/>
  <c r="J1509" i="20"/>
  <c r="K1508" i="20"/>
  <c r="J1508" i="20"/>
  <c r="K1507" i="20"/>
  <c r="J1507" i="20"/>
  <c r="K1506" i="20"/>
  <c r="J1506" i="20"/>
  <c r="K1505" i="20"/>
  <c r="J1505" i="20"/>
  <c r="K1504" i="20"/>
  <c r="J1504" i="20"/>
  <c r="K1503" i="20"/>
  <c r="J1503" i="20"/>
  <c r="K1502" i="20"/>
  <c r="J1502" i="20"/>
  <c r="K1501" i="20"/>
  <c r="J1501" i="20"/>
  <c r="K1500" i="20"/>
  <c r="J1500" i="20"/>
  <c r="K1499" i="20"/>
  <c r="J1499" i="20"/>
  <c r="K1498" i="20"/>
  <c r="J1498" i="20"/>
  <c r="K1497" i="20"/>
  <c r="J1497" i="20"/>
  <c r="K1496" i="20"/>
  <c r="J1496" i="20"/>
  <c r="K1494" i="20"/>
  <c r="J1494" i="20"/>
  <c r="K1493" i="20"/>
  <c r="J1493" i="20"/>
  <c r="K1492" i="20"/>
  <c r="J1492" i="20"/>
  <c r="K1491" i="20"/>
  <c r="J1491" i="20"/>
  <c r="K1490" i="20"/>
  <c r="J1490" i="20"/>
  <c r="K1489" i="20"/>
  <c r="J1489" i="20"/>
  <c r="K1488" i="20"/>
  <c r="J1488" i="20"/>
  <c r="K1487" i="20"/>
  <c r="J1487" i="20"/>
  <c r="K1486" i="20"/>
  <c r="J1486" i="20"/>
  <c r="K1485" i="20"/>
  <c r="J1485" i="20"/>
  <c r="K1484" i="20"/>
  <c r="J1484" i="20"/>
  <c r="K1483" i="20"/>
  <c r="J1483" i="20"/>
  <c r="K1482" i="20"/>
  <c r="J1482" i="20"/>
  <c r="K1481" i="20"/>
  <c r="J1481" i="20"/>
  <c r="K1480" i="20"/>
  <c r="J1480" i="20"/>
  <c r="K1478" i="20"/>
  <c r="J1478" i="20"/>
  <c r="K1477" i="20"/>
  <c r="J1477" i="20"/>
  <c r="K1476" i="20"/>
  <c r="J1476" i="20"/>
  <c r="K1475" i="20"/>
  <c r="J1475" i="20"/>
  <c r="K1474" i="20"/>
  <c r="J1474" i="20"/>
  <c r="K1473" i="20"/>
  <c r="J1473" i="20"/>
  <c r="K1472" i="20"/>
  <c r="J1472" i="20"/>
  <c r="K1471" i="20"/>
  <c r="J1471" i="20"/>
  <c r="K1470" i="20"/>
  <c r="J1470" i="20"/>
  <c r="K1469" i="20"/>
  <c r="J1469" i="20"/>
  <c r="K1468" i="20"/>
  <c r="J1468" i="20"/>
  <c r="K1467" i="20"/>
  <c r="J1467" i="20"/>
  <c r="K1466" i="20"/>
  <c r="J1466" i="20"/>
  <c r="K1465" i="20"/>
  <c r="J1465" i="20"/>
  <c r="K1464" i="20"/>
  <c r="J1464" i="20"/>
  <c r="K1463" i="20"/>
  <c r="J1463" i="20"/>
  <c r="K1462" i="20"/>
  <c r="J1462" i="20"/>
  <c r="K1461" i="20"/>
  <c r="J1461" i="20"/>
  <c r="K1460" i="20"/>
  <c r="J1460" i="20"/>
  <c r="K1459" i="20"/>
  <c r="J1459" i="20"/>
  <c r="K1458" i="20"/>
  <c r="J1458" i="20"/>
  <c r="K1457" i="20"/>
  <c r="J1457" i="20"/>
  <c r="K1456" i="20"/>
  <c r="J1456" i="20"/>
  <c r="K1455" i="20"/>
  <c r="J1455" i="20"/>
  <c r="K1454" i="20"/>
  <c r="J1454" i="20"/>
  <c r="K1453" i="20"/>
  <c r="J1453" i="20"/>
  <c r="K1452" i="20"/>
  <c r="J1452" i="20"/>
  <c r="K1451" i="20"/>
  <c r="J1451" i="20"/>
  <c r="K1450" i="20"/>
  <c r="J1450" i="20"/>
  <c r="K1449" i="20"/>
  <c r="J1449" i="20"/>
  <c r="K1448" i="20"/>
  <c r="J1448" i="20"/>
  <c r="K1447" i="20"/>
  <c r="J1447" i="20"/>
  <c r="K1446" i="20"/>
  <c r="J1446" i="20"/>
  <c r="K1445" i="20"/>
  <c r="J1445" i="20"/>
  <c r="K1444" i="20"/>
  <c r="J1444" i="20"/>
  <c r="K1443" i="20"/>
  <c r="J1443" i="20"/>
  <c r="K1442" i="20"/>
  <c r="J1442" i="20"/>
  <c r="K1441" i="20"/>
  <c r="J1441" i="20"/>
  <c r="K1440" i="20"/>
  <c r="J1440" i="20"/>
  <c r="K1439" i="20"/>
  <c r="J1439" i="20"/>
  <c r="K1438" i="20"/>
  <c r="J1438" i="20"/>
  <c r="K1437" i="20"/>
  <c r="J1437" i="20"/>
  <c r="K1436" i="20"/>
  <c r="J1436" i="20"/>
  <c r="K1435" i="20"/>
  <c r="J1435" i="20"/>
  <c r="K1434" i="20"/>
  <c r="J1434" i="20"/>
  <c r="K1433" i="20"/>
  <c r="J1433" i="20"/>
  <c r="K1432" i="20"/>
  <c r="J1432" i="20"/>
  <c r="K1431" i="20"/>
  <c r="J1431" i="20"/>
  <c r="K1430" i="20"/>
  <c r="J1430" i="20"/>
  <c r="K1429" i="20"/>
  <c r="J1429" i="20"/>
  <c r="K1428" i="20"/>
  <c r="J1428" i="20"/>
  <c r="K1427" i="20"/>
  <c r="J1427" i="20"/>
  <c r="K1426" i="20"/>
  <c r="J1426" i="20"/>
  <c r="K1425" i="20"/>
  <c r="J1425" i="20"/>
  <c r="K1424" i="20"/>
  <c r="J1424" i="20"/>
  <c r="K1423" i="20"/>
  <c r="J1423" i="20"/>
  <c r="K1422" i="20"/>
  <c r="J1422" i="20"/>
  <c r="K1421" i="20"/>
  <c r="J1421" i="20"/>
  <c r="K1420" i="20"/>
  <c r="J1420" i="20"/>
  <c r="K1419" i="20"/>
  <c r="J1419" i="20"/>
  <c r="K1418" i="20"/>
  <c r="J1418" i="20"/>
  <c r="K1417" i="20"/>
  <c r="J1417" i="20"/>
  <c r="K1416" i="20"/>
  <c r="J1416" i="20"/>
  <c r="K1415" i="20"/>
  <c r="J1415" i="20"/>
  <c r="K1414" i="20"/>
  <c r="J1414" i="20"/>
  <c r="K1413" i="20"/>
  <c r="J1413" i="20"/>
  <c r="K1412" i="20"/>
  <c r="J1412" i="20"/>
  <c r="K1411" i="20"/>
  <c r="J1411" i="20"/>
  <c r="K1410" i="20"/>
  <c r="J1410" i="20"/>
  <c r="K1409" i="20"/>
  <c r="J1409" i="20"/>
  <c r="K1408" i="20"/>
  <c r="J1408" i="20"/>
  <c r="K1407" i="20"/>
  <c r="J1407" i="20"/>
  <c r="K1406" i="20"/>
  <c r="J1406" i="20"/>
  <c r="K1405" i="20"/>
  <c r="J1405" i="20"/>
  <c r="K1404" i="20"/>
  <c r="J1404" i="20"/>
  <c r="K1403" i="20"/>
  <c r="J1403" i="20"/>
  <c r="K1402" i="20"/>
  <c r="J1402" i="20"/>
  <c r="K1401" i="20"/>
  <c r="J1401" i="20"/>
  <c r="K1400" i="20"/>
  <c r="J1400" i="20"/>
  <c r="K1399" i="20"/>
  <c r="J1399" i="20"/>
  <c r="K1398" i="20"/>
  <c r="J1398" i="20"/>
  <c r="K1397" i="20"/>
  <c r="J1397" i="20"/>
  <c r="K1396" i="20"/>
  <c r="J1396" i="20"/>
  <c r="K1395" i="20"/>
  <c r="J1395" i="20"/>
  <c r="K1394" i="20"/>
  <c r="J1394" i="20"/>
  <c r="K1393" i="20"/>
  <c r="J1393" i="20"/>
  <c r="K1392" i="20"/>
  <c r="J1392" i="20"/>
  <c r="K1391" i="20"/>
  <c r="J1391" i="20"/>
  <c r="K1390" i="20"/>
  <c r="J1390" i="20"/>
  <c r="K1389" i="20"/>
  <c r="J1389" i="20"/>
  <c r="K1388" i="20"/>
  <c r="J1388" i="20"/>
  <c r="K1387" i="20"/>
  <c r="J1387" i="20"/>
  <c r="K1386" i="20"/>
  <c r="J1386" i="20"/>
  <c r="K1385" i="20"/>
  <c r="J1385" i="20"/>
  <c r="K1384" i="20"/>
  <c r="J1384" i="20"/>
  <c r="K1383" i="20"/>
  <c r="J1383" i="20"/>
  <c r="K1382" i="20"/>
  <c r="J1382" i="20"/>
  <c r="K1381" i="20"/>
  <c r="J1381" i="20"/>
  <c r="K1380" i="20"/>
  <c r="J1380" i="20"/>
  <c r="K1379" i="20"/>
  <c r="J1379" i="20"/>
  <c r="K1378" i="20"/>
  <c r="J1378" i="20"/>
  <c r="K1377" i="20"/>
  <c r="J1377" i="20"/>
  <c r="K1376" i="20"/>
  <c r="J1376" i="20"/>
  <c r="K1375" i="20"/>
  <c r="J1375" i="20"/>
  <c r="K1374" i="20"/>
  <c r="J1374" i="20"/>
  <c r="K1373" i="20"/>
  <c r="J1373" i="20"/>
  <c r="K1372" i="20"/>
  <c r="J1372" i="20"/>
  <c r="K1371" i="20"/>
  <c r="J1371" i="20"/>
  <c r="K1370" i="20"/>
  <c r="J1370" i="20"/>
  <c r="K1369" i="20"/>
  <c r="J1369" i="20"/>
  <c r="K1368" i="20"/>
  <c r="J1368" i="20"/>
  <c r="K1367" i="20"/>
  <c r="J1367" i="20"/>
  <c r="K1366" i="20"/>
  <c r="J1366" i="20"/>
  <c r="K1365" i="20"/>
  <c r="J1365" i="20"/>
  <c r="K1364" i="20"/>
  <c r="J1364" i="20"/>
  <c r="K1363" i="20"/>
  <c r="J1363" i="20"/>
  <c r="K1362" i="20"/>
  <c r="J1362" i="20"/>
  <c r="K1361" i="20"/>
  <c r="J1361" i="20"/>
  <c r="K1360" i="20"/>
  <c r="J1360" i="20"/>
  <c r="K1359" i="20"/>
  <c r="J1359" i="20"/>
  <c r="K1358" i="20"/>
  <c r="J1358" i="20"/>
  <c r="K1357" i="20"/>
  <c r="J1357" i="20"/>
  <c r="K1356" i="20"/>
  <c r="J1356" i="20"/>
  <c r="K1355" i="20"/>
  <c r="J1355" i="20"/>
  <c r="K1354" i="20"/>
  <c r="J1354" i="20"/>
  <c r="K1353" i="20"/>
  <c r="J1353" i="20"/>
  <c r="K1352" i="20"/>
  <c r="J1352" i="20"/>
  <c r="K1351" i="20"/>
  <c r="J1351" i="20"/>
  <c r="K1350" i="20"/>
  <c r="J1350" i="20"/>
  <c r="K1349" i="20"/>
  <c r="J1349" i="20"/>
  <c r="K1348" i="20"/>
  <c r="J1348" i="20"/>
  <c r="K1347" i="20"/>
  <c r="J1347" i="20"/>
  <c r="K1346" i="20"/>
  <c r="J1346" i="20"/>
  <c r="K1345" i="20"/>
  <c r="J1345" i="20"/>
  <c r="K1344" i="20"/>
  <c r="J1344" i="20"/>
  <c r="K1343" i="20"/>
  <c r="J1343" i="20"/>
  <c r="K1342" i="20"/>
  <c r="J1342" i="20"/>
  <c r="K1341" i="20"/>
  <c r="J1341" i="20"/>
  <c r="K1340" i="20"/>
  <c r="J1340" i="20"/>
  <c r="K1339" i="20"/>
  <c r="J1339" i="20"/>
  <c r="K1338" i="20"/>
  <c r="J1338" i="20"/>
  <c r="K1337" i="20"/>
  <c r="J1337" i="20"/>
  <c r="K1336" i="20"/>
  <c r="J1336" i="20"/>
  <c r="K1335" i="20"/>
  <c r="J1335" i="20"/>
  <c r="K1334" i="20"/>
  <c r="J1334" i="20"/>
  <c r="K1333" i="20"/>
  <c r="J1333" i="20"/>
  <c r="K1332" i="20"/>
  <c r="J1332" i="20"/>
  <c r="K1331" i="20"/>
  <c r="J1331" i="20"/>
  <c r="K1330" i="20"/>
  <c r="J1330" i="20"/>
  <c r="K1329" i="20"/>
  <c r="J1329" i="20"/>
  <c r="K1328" i="20"/>
  <c r="J1328" i="20"/>
  <c r="K1327" i="20"/>
  <c r="J1327" i="20"/>
  <c r="K1326" i="20"/>
  <c r="J1326" i="20"/>
  <c r="K1325" i="20"/>
  <c r="J1325" i="20"/>
  <c r="K1324" i="20"/>
  <c r="J1324" i="20"/>
  <c r="K1323" i="20"/>
  <c r="J1323" i="20"/>
  <c r="K1322" i="20"/>
  <c r="J1322" i="20"/>
  <c r="K1321" i="20"/>
  <c r="J1321" i="20"/>
  <c r="K1320" i="20"/>
  <c r="J1320" i="20"/>
  <c r="K1319" i="20"/>
  <c r="J1319" i="20"/>
  <c r="K1318" i="20"/>
  <c r="J1318" i="20"/>
  <c r="K1317" i="20"/>
  <c r="J1317" i="20"/>
  <c r="K1316" i="20"/>
  <c r="J1316" i="20"/>
  <c r="K1315" i="20"/>
  <c r="J1315" i="20"/>
  <c r="K1314" i="20"/>
  <c r="J1314" i="20"/>
  <c r="K1313" i="20"/>
  <c r="J1313" i="20"/>
  <c r="K1312" i="20"/>
  <c r="J1312" i="20"/>
  <c r="K1311" i="20"/>
  <c r="J1311" i="20"/>
  <c r="K1310" i="20"/>
  <c r="J1310" i="20"/>
  <c r="K1309" i="20"/>
  <c r="J1309" i="20"/>
  <c r="K1308" i="20"/>
  <c r="J1308" i="20"/>
  <c r="K1307" i="20"/>
  <c r="J1307" i="20"/>
  <c r="K1306" i="20"/>
  <c r="J1306" i="20"/>
  <c r="K1305" i="20"/>
  <c r="J1305" i="20"/>
  <c r="K1304" i="20"/>
  <c r="J1304" i="20"/>
  <c r="K1303" i="20"/>
  <c r="J1303" i="20"/>
  <c r="K1302" i="20"/>
  <c r="J1302" i="20"/>
  <c r="K1301" i="20"/>
  <c r="J1301" i="20"/>
  <c r="K1300" i="20"/>
  <c r="J1300" i="20"/>
  <c r="K1299" i="20"/>
  <c r="J1299" i="20"/>
  <c r="K1298" i="20"/>
  <c r="J1298" i="20"/>
  <c r="K1297" i="20"/>
  <c r="J1297" i="20"/>
  <c r="K1296" i="20"/>
  <c r="J1296" i="20"/>
  <c r="K1295" i="20"/>
  <c r="J1295" i="20"/>
  <c r="K1294" i="20"/>
  <c r="J1294" i="20"/>
  <c r="K1293" i="20"/>
  <c r="J1293" i="20"/>
  <c r="K1292" i="20"/>
  <c r="J1292" i="20"/>
  <c r="K1291" i="20"/>
  <c r="J1291" i="20"/>
  <c r="K1290" i="20"/>
  <c r="J1290" i="20"/>
  <c r="K1289" i="20"/>
  <c r="J1289" i="20"/>
  <c r="K1288" i="20"/>
  <c r="J1288" i="20"/>
  <c r="K1287" i="20"/>
  <c r="J1287" i="20"/>
  <c r="K1286" i="20"/>
  <c r="J1286" i="20"/>
  <c r="K1285" i="20"/>
  <c r="J1285" i="20"/>
  <c r="K1284" i="20"/>
  <c r="J1284" i="20"/>
  <c r="K1283" i="20"/>
  <c r="J1283" i="20"/>
  <c r="K1282" i="20"/>
  <c r="J1282" i="20"/>
  <c r="K1281" i="20"/>
  <c r="J1281" i="20"/>
  <c r="K1280" i="20"/>
  <c r="J1280" i="20"/>
  <c r="K1279" i="20"/>
  <c r="J1279" i="20"/>
  <c r="K1278" i="20"/>
  <c r="J1278" i="20"/>
  <c r="K1277" i="20"/>
  <c r="J1277" i="20"/>
  <c r="K1276" i="20"/>
  <c r="J1276" i="20"/>
  <c r="K1275" i="20"/>
  <c r="J1275" i="20"/>
  <c r="K1274" i="20"/>
  <c r="J1274" i="20"/>
  <c r="K1273" i="20"/>
  <c r="J1273" i="20"/>
  <c r="K1272" i="20"/>
  <c r="J1272" i="20"/>
  <c r="K1271" i="20"/>
  <c r="J1271" i="20"/>
  <c r="K1270" i="20"/>
  <c r="J1270" i="20"/>
  <c r="K1269" i="20"/>
  <c r="J1269" i="20"/>
  <c r="K1268" i="20"/>
  <c r="J1268" i="20"/>
  <c r="K1267" i="20"/>
  <c r="J1267" i="20"/>
  <c r="K1266" i="20"/>
  <c r="J1266" i="20"/>
  <c r="K1265" i="20"/>
  <c r="J1265" i="20"/>
  <c r="K1264" i="20"/>
  <c r="J1264" i="20"/>
  <c r="K1263" i="20"/>
  <c r="J1263" i="20"/>
  <c r="K1262" i="20"/>
  <c r="J1262" i="20"/>
  <c r="K1261" i="20"/>
  <c r="J1261" i="20"/>
  <c r="K1260" i="20"/>
  <c r="J1260" i="20"/>
  <c r="K1259" i="20"/>
  <c r="J1259" i="20"/>
  <c r="K1258" i="20"/>
  <c r="J1258" i="20"/>
  <c r="K1257" i="20"/>
  <c r="J1257" i="20"/>
  <c r="K1256" i="20"/>
  <c r="J1256" i="20"/>
  <c r="K1255" i="20"/>
  <c r="J1255" i="20"/>
  <c r="K1254" i="20"/>
  <c r="J1254" i="20"/>
  <c r="K1253" i="20"/>
  <c r="J1253" i="20"/>
  <c r="K1252" i="20"/>
  <c r="J1252" i="20"/>
  <c r="K1251" i="20"/>
  <c r="J1251" i="20"/>
  <c r="K1250" i="20"/>
  <c r="J1250" i="20"/>
  <c r="K1249" i="20"/>
  <c r="J1249" i="20"/>
  <c r="K1248" i="20"/>
  <c r="J1248" i="20"/>
  <c r="K1247" i="20"/>
  <c r="J1247" i="20"/>
  <c r="K1246" i="20"/>
  <c r="J1246" i="20"/>
  <c r="K1245" i="20"/>
  <c r="J1245" i="20"/>
  <c r="K1244" i="20"/>
  <c r="J1244" i="20"/>
  <c r="K1243" i="20"/>
  <c r="J1243" i="20"/>
  <c r="K1242" i="20"/>
  <c r="J1242" i="20"/>
  <c r="K1241" i="20"/>
  <c r="J1241" i="20"/>
  <c r="K1240" i="20"/>
  <c r="J1240" i="20"/>
  <c r="K1239" i="20"/>
  <c r="J1239" i="20"/>
  <c r="K1238" i="20"/>
  <c r="J1238" i="20"/>
  <c r="K1237" i="20"/>
  <c r="J1237" i="20"/>
  <c r="K1236" i="20"/>
  <c r="J1236" i="20"/>
  <c r="K1235" i="20"/>
  <c r="J1235" i="20"/>
  <c r="K1234" i="20"/>
  <c r="J1234" i="20"/>
  <c r="K1233" i="20"/>
  <c r="J1233" i="20"/>
  <c r="K1232" i="20"/>
  <c r="J1232" i="20"/>
  <c r="K1231" i="20"/>
  <c r="J1231" i="20"/>
  <c r="K1230" i="20"/>
  <c r="J1230" i="20"/>
  <c r="K1229" i="20"/>
  <c r="J1229" i="20"/>
  <c r="K1228" i="20"/>
  <c r="J1228" i="20"/>
  <c r="K1227" i="20"/>
  <c r="J1227" i="20"/>
  <c r="K1226" i="20"/>
  <c r="J1226" i="20"/>
  <c r="K1225" i="20"/>
  <c r="J1225" i="20"/>
  <c r="K1224" i="20"/>
  <c r="J1224" i="20"/>
  <c r="K1223" i="20"/>
  <c r="J1223" i="20"/>
  <c r="K1222" i="20"/>
  <c r="J1222" i="20"/>
  <c r="K1221" i="20"/>
  <c r="J1221" i="20"/>
  <c r="K1220" i="20"/>
  <c r="J1220" i="20"/>
  <c r="K1219" i="20"/>
  <c r="J1219" i="20"/>
  <c r="K1218" i="20"/>
  <c r="J1218" i="20"/>
  <c r="K1217" i="20"/>
  <c r="J1217" i="20"/>
  <c r="K1216" i="20"/>
  <c r="J1216" i="20"/>
  <c r="K1215" i="20"/>
  <c r="J1215" i="20"/>
  <c r="K1214" i="20"/>
  <c r="J1214" i="20"/>
  <c r="K1213" i="20"/>
  <c r="J1213" i="20"/>
  <c r="K1212" i="20"/>
  <c r="J1212" i="20"/>
  <c r="K1211" i="20"/>
  <c r="J1211" i="20"/>
  <c r="K1210" i="20"/>
  <c r="J1210" i="20"/>
  <c r="K1209" i="20"/>
  <c r="J1209" i="20"/>
  <c r="K1208" i="20"/>
  <c r="J1208" i="20"/>
  <c r="K1207" i="20"/>
  <c r="J1207" i="20"/>
  <c r="K1206" i="20"/>
  <c r="J1206" i="20"/>
  <c r="K1205" i="20"/>
  <c r="J1205" i="20"/>
  <c r="K1204" i="20"/>
  <c r="J1204" i="20"/>
  <c r="K1203" i="20"/>
  <c r="J1203" i="20"/>
  <c r="K1202" i="20"/>
  <c r="J1202" i="20"/>
  <c r="K1201" i="20"/>
  <c r="J1201" i="20"/>
  <c r="K1200" i="20"/>
  <c r="J1200" i="20"/>
  <c r="K1199" i="20"/>
  <c r="J1199" i="20"/>
  <c r="K1198" i="20"/>
  <c r="J1198" i="20"/>
  <c r="K1197" i="20"/>
  <c r="J1197" i="20"/>
  <c r="K1196" i="20"/>
  <c r="J1196" i="20"/>
  <c r="K1195" i="20"/>
  <c r="J1195" i="20"/>
  <c r="K1194" i="20"/>
  <c r="J1194" i="20"/>
  <c r="K1193" i="20"/>
  <c r="J1193" i="20"/>
  <c r="K1192" i="20"/>
  <c r="J1192" i="20"/>
  <c r="K1191" i="20"/>
  <c r="J1191" i="20"/>
  <c r="K1190" i="20"/>
  <c r="J1190" i="20"/>
  <c r="K1189" i="20"/>
  <c r="J1189" i="20"/>
  <c r="K1188" i="20"/>
  <c r="J1188" i="20"/>
  <c r="K1187" i="20"/>
  <c r="J1187" i="20"/>
  <c r="K1186" i="20"/>
  <c r="J1186" i="20"/>
  <c r="K1185" i="20"/>
  <c r="J1185" i="20"/>
  <c r="K1184" i="20"/>
  <c r="J1184" i="20"/>
  <c r="K1183" i="20"/>
  <c r="J1183" i="20"/>
  <c r="K1182" i="20"/>
  <c r="J1182" i="20"/>
  <c r="K1181" i="20"/>
  <c r="J1181" i="20"/>
  <c r="K1180" i="20"/>
  <c r="J1180" i="20"/>
  <c r="K1179" i="20"/>
  <c r="J1179" i="20"/>
  <c r="K1178" i="20"/>
  <c r="J1178" i="20"/>
  <c r="K1177" i="20"/>
  <c r="J1177" i="20"/>
  <c r="K1176" i="20"/>
  <c r="J1176" i="20"/>
  <c r="K1175" i="20"/>
  <c r="J1175" i="20"/>
  <c r="K1174" i="20"/>
  <c r="J1174" i="20"/>
  <c r="K1173" i="20"/>
  <c r="J1173" i="20"/>
  <c r="K1172" i="20"/>
  <c r="J1172" i="20"/>
  <c r="K1171" i="20"/>
  <c r="J1171" i="20"/>
  <c r="K1170" i="20"/>
  <c r="J1170" i="20"/>
  <c r="K1169" i="20"/>
  <c r="J1169" i="20"/>
  <c r="K1168" i="20"/>
  <c r="J1168" i="20"/>
  <c r="K1167" i="20"/>
  <c r="J1167" i="20"/>
  <c r="K1166" i="20"/>
  <c r="J1166" i="20"/>
  <c r="K1165" i="20"/>
  <c r="J1165" i="20"/>
  <c r="K1164" i="20"/>
  <c r="J1164" i="20"/>
  <c r="K1163" i="20"/>
  <c r="J1163" i="20"/>
  <c r="K1162" i="20"/>
  <c r="J1162" i="20"/>
  <c r="K1161" i="20"/>
  <c r="J1161" i="20"/>
  <c r="K1160" i="20"/>
  <c r="J1160" i="20"/>
  <c r="K1159" i="20"/>
  <c r="J1159" i="20"/>
  <c r="K1158" i="20"/>
  <c r="J1158" i="20"/>
  <c r="K1157" i="20"/>
  <c r="J1157" i="20"/>
  <c r="K1156" i="20"/>
  <c r="J1156" i="20"/>
  <c r="K1155" i="20"/>
  <c r="J1155" i="20"/>
  <c r="K1154" i="20"/>
  <c r="J1154" i="20"/>
  <c r="K1153" i="20"/>
  <c r="J1153" i="20"/>
  <c r="K1152" i="20"/>
  <c r="J1152" i="20"/>
  <c r="K1151" i="20"/>
  <c r="J1151" i="20"/>
  <c r="K1150" i="20"/>
  <c r="J1150" i="20"/>
  <c r="K1149" i="20"/>
  <c r="J1149" i="20"/>
  <c r="K1148" i="20"/>
  <c r="J1148" i="20"/>
  <c r="K1147" i="20"/>
  <c r="J1147" i="20"/>
  <c r="K1146" i="20"/>
  <c r="J1146" i="20"/>
  <c r="K1145" i="20"/>
  <c r="J1145" i="20"/>
  <c r="K1144" i="20"/>
  <c r="J1144" i="20"/>
  <c r="K1143" i="20"/>
  <c r="J1143" i="20"/>
  <c r="K1142" i="20"/>
  <c r="J1142" i="20"/>
  <c r="K1141" i="20"/>
  <c r="J1141" i="20"/>
  <c r="K1140" i="20"/>
  <c r="J1140" i="20"/>
  <c r="K1139" i="20"/>
  <c r="J1139" i="20"/>
  <c r="K1138" i="20"/>
  <c r="J1138" i="20"/>
  <c r="K1137" i="20"/>
  <c r="J1137" i="20"/>
  <c r="K1136" i="20"/>
  <c r="J1136" i="20"/>
  <c r="K1135" i="20"/>
  <c r="J1135" i="20"/>
  <c r="K1134" i="20"/>
  <c r="J1134" i="20"/>
  <c r="K1133" i="20"/>
  <c r="J1133" i="20"/>
  <c r="K1132" i="20"/>
  <c r="J1132" i="20"/>
  <c r="K1131" i="20"/>
  <c r="J1131" i="20"/>
  <c r="K1130" i="20"/>
  <c r="J1130" i="20"/>
  <c r="K1129" i="20"/>
  <c r="J1129" i="20"/>
  <c r="K1128" i="20"/>
  <c r="J1128" i="20"/>
  <c r="K1127" i="20"/>
  <c r="J1127" i="20"/>
  <c r="K1126" i="20"/>
  <c r="J1126" i="20"/>
  <c r="K1125" i="20"/>
  <c r="J1125" i="20"/>
  <c r="K1124" i="20"/>
  <c r="J1124" i="20"/>
  <c r="K1123" i="20"/>
  <c r="J1123" i="20"/>
  <c r="K1122" i="20"/>
  <c r="J1122" i="20"/>
  <c r="K1121" i="20"/>
  <c r="J1121" i="20"/>
  <c r="K1120" i="20"/>
  <c r="J1120" i="20"/>
  <c r="K1119" i="20"/>
  <c r="J1119" i="20"/>
  <c r="K1118" i="20"/>
  <c r="J1118" i="20"/>
  <c r="K1117" i="20"/>
  <c r="J1117" i="20"/>
  <c r="K1116" i="20"/>
  <c r="J1116" i="20"/>
  <c r="K1115" i="20"/>
  <c r="J1115" i="20"/>
  <c r="K1114" i="20"/>
  <c r="J1114" i="20"/>
  <c r="K1113" i="20"/>
  <c r="J1113" i="20"/>
  <c r="K1112" i="20"/>
  <c r="J1112" i="20"/>
  <c r="K1111" i="20"/>
  <c r="J1111" i="20"/>
  <c r="K1110" i="20"/>
  <c r="J1110" i="20"/>
  <c r="K1109" i="20"/>
  <c r="J1109" i="20"/>
  <c r="K1108" i="20"/>
  <c r="J1108" i="20"/>
  <c r="K1107" i="20"/>
  <c r="J1107" i="20"/>
  <c r="K1106" i="20"/>
  <c r="J1106" i="20"/>
  <c r="K1105" i="20"/>
  <c r="J1105" i="20"/>
  <c r="K1104" i="20"/>
  <c r="J1104" i="20"/>
  <c r="K1103" i="20"/>
  <c r="J1103" i="20"/>
  <c r="K1102" i="20"/>
  <c r="J1102" i="20"/>
  <c r="K1101" i="20"/>
  <c r="J1101" i="20"/>
  <c r="K1100" i="20"/>
  <c r="J1100" i="20"/>
  <c r="K1099" i="20"/>
  <c r="J1099" i="20"/>
  <c r="K1098" i="20"/>
  <c r="J1098" i="20"/>
  <c r="K1097" i="20"/>
  <c r="J1097" i="20"/>
  <c r="K1096" i="20"/>
  <c r="J1096" i="20"/>
  <c r="K1095" i="20"/>
  <c r="J1095" i="20"/>
  <c r="K1094" i="20"/>
  <c r="J1094" i="20"/>
  <c r="K1093" i="20"/>
  <c r="J1093" i="20"/>
  <c r="K1092" i="20"/>
  <c r="J1092" i="20"/>
  <c r="K1091" i="20"/>
  <c r="J1091" i="20"/>
  <c r="K1090" i="20"/>
  <c r="J1090" i="20"/>
  <c r="K1089" i="20"/>
  <c r="J1089" i="20"/>
  <c r="K1088" i="20"/>
  <c r="J1088" i="20"/>
  <c r="K1087" i="20"/>
  <c r="J1087" i="20"/>
  <c r="K1086" i="20"/>
  <c r="J1086" i="20"/>
  <c r="K1085" i="20"/>
  <c r="J1085" i="20"/>
  <c r="K1084" i="20"/>
  <c r="J1084" i="20"/>
  <c r="K1083" i="20"/>
  <c r="J1083" i="20"/>
  <c r="K1082" i="20"/>
  <c r="J1082" i="20"/>
  <c r="K1081" i="20"/>
  <c r="J1081" i="20"/>
  <c r="K1080" i="20"/>
  <c r="J1080" i="20"/>
  <c r="K1079" i="20"/>
  <c r="J1079" i="20"/>
  <c r="K1078" i="20"/>
  <c r="J1078" i="20"/>
  <c r="K1077" i="20"/>
  <c r="J1077" i="20"/>
  <c r="K1076" i="20"/>
  <c r="J1076" i="20"/>
  <c r="K1075" i="20"/>
  <c r="J1075" i="20"/>
  <c r="K1074" i="20"/>
  <c r="J1074" i="20"/>
  <c r="K1073" i="20"/>
  <c r="J1073" i="20"/>
  <c r="K1072" i="20"/>
  <c r="J1072" i="20"/>
  <c r="K1071" i="20"/>
  <c r="J1071" i="20"/>
  <c r="K1070" i="20"/>
  <c r="J1070" i="20"/>
  <c r="K1069" i="20"/>
  <c r="J1069" i="20"/>
  <c r="K1068" i="20"/>
  <c r="J1068" i="20"/>
  <c r="K1067" i="20"/>
  <c r="J1067" i="20"/>
  <c r="K1066" i="20"/>
  <c r="J1066" i="20"/>
  <c r="K1065" i="20"/>
  <c r="J1065" i="20"/>
  <c r="K1064" i="20"/>
  <c r="J1064" i="20"/>
  <c r="K1063" i="20"/>
  <c r="J1063" i="20"/>
  <c r="K1062" i="20"/>
  <c r="J1062" i="20"/>
  <c r="K1061" i="20"/>
  <c r="J1061" i="20"/>
  <c r="K1060" i="20"/>
  <c r="J1060" i="20"/>
  <c r="K1059" i="20"/>
  <c r="J1059" i="20"/>
  <c r="K1058" i="20"/>
  <c r="J1058" i="20"/>
  <c r="K1057" i="20"/>
  <c r="J1057" i="20"/>
  <c r="K1056" i="20"/>
  <c r="J1056" i="20"/>
  <c r="K1055" i="20"/>
  <c r="J1055" i="20"/>
  <c r="K1054" i="20"/>
  <c r="J1054" i="20"/>
  <c r="K1053" i="20"/>
  <c r="J1053" i="20"/>
  <c r="K1052" i="20"/>
  <c r="J1052" i="20"/>
  <c r="K1051" i="20"/>
  <c r="J1051" i="20"/>
  <c r="K1050" i="20"/>
  <c r="J1050" i="20"/>
  <c r="K1049" i="20"/>
  <c r="J1049" i="20"/>
  <c r="K1048" i="20"/>
  <c r="J1048" i="20"/>
  <c r="K1047" i="20"/>
  <c r="J1047" i="20"/>
  <c r="K1046" i="20"/>
  <c r="J1046" i="20"/>
  <c r="K1045" i="20"/>
  <c r="J1045" i="20"/>
  <c r="K1044" i="20"/>
  <c r="J1044" i="20"/>
  <c r="K1043" i="20"/>
  <c r="J1043" i="20"/>
  <c r="K1042" i="20"/>
  <c r="J1042" i="20"/>
  <c r="K1041" i="20"/>
  <c r="J1041" i="20"/>
  <c r="K1040" i="20"/>
  <c r="J1040" i="20"/>
  <c r="K1039" i="20"/>
  <c r="J1039" i="20"/>
  <c r="K1038" i="20"/>
  <c r="J1038" i="20"/>
  <c r="K1037" i="20"/>
  <c r="J1037" i="20"/>
  <c r="K1036" i="20"/>
  <c r="J1036" i="20"/>
  <c r="K1035" i="20"/>
  <c r="J1035" i="20"/>
  <c r="K1034" i="20"/>
  <c r="J1034" i="20"/>
  <c r="K1033" i="20"/>
  <c r="J1033" i="20"/>
  <c r="K1032" i="20"/>
  <c r="J1032" i="20"/>
  <c r="K1031" i="20"/>
  <c r="J1031" i="20"/>
  <c r="K1030" i="20"/>
  <c r="J1030" i="20"/>
  <c r="K1029" i="20"/>
  <c r="J1029" i="20"/>
  <c r="K1028" i="20"/>
  <c r="J1028" i="20"/>
  <c r="K1027" i="20"/>
  <c r="J1027" i="20"/>
  <c r="K1026" i="20"/>
  <c r="J1026" i="20"/>
  <c r="K1025" i="20"/>
  <c r="J1025" i="20"/>
  <c r="K1024" i="20"/>
  <c r="J1024" i="20"/>
  <c r="K1023" i="20"/>
  <c r="J1023" i="20"/>
  <c r="K1022" i="20"/>
  <c r="J1022" i="20"/>
  <c r="K1021" i="20"/>
  <c r="J1021" i="20"/>
  <c r="K1020" i="20"/>
  <c r="J1020" i="20"/>
  <c r="K1019" i="20"/>
  <c r="J1019" i="20"/>
  <c r="K1018" i="20"/>
  <c r="J1018" i="20"/>
  <c r="K1017" i="20"/>
  <c r="J1017" i="20"/>
  <c r="K1016" i="20"/>
  <c r="J1016" i="20"/>
  <c r="K1015" i="20"/>
  <c r="J1015" i="20"/>
  <c r="K1014" i="20"/>
  <c r="J1014" i="20"/>
  <c r="K1013" i="20"/>
  <c r="J1013" i="20"/>
  <c r="K1012" i="20"/>
  <c r="J1012" i="20"/>
  <c r="K1011" i="20"/>
  <c r="J1011" i="20"/>
  <c r="K1010" i="20"/>
  <c r="J1010" i="20"/>
  <c r="K1009" i="20"/>
  <c r="J1009" i="20"/>
  <c r="K1008" i="20"/>
  <c r="J1008" i="20"/>
  <c r="K1007" i="20"/>
  <c r="J1007" i="20"/>
  <c r="K1006" i="20"/>
  <c r="J1006" i="20"/>
  <c r="K1005" i="20"/>
  <c r="J1005" i="20"/>
  <c r="K1004" i="20"/>
  <c r="J1004" i="20"/>
  <c r="K1003" i="20"/>
  <c r="J1003" i="20"/>
  <c r="K1002" i="20"/>
  <c r="J1002" i="20"/>
  <c r="K1001" i="20"/>
  <c r="J1001" i="20"/>
  <c r="K1000" i="20"/>
  <c r="J1000" i="20"/>
  <c r="K999" i="20"/>
  <c r="J999" i="20"/>
  <c r="K998" i="20"/>
  <c r="J998" i="20"/>
  <c r="K997" i="20"/>
  <c r="J997" i="20"/>
  <c r="K996" i="20"/>
  <c r="J996" i="20"/>
  <c r="K995" i="20"/>
  <c r="J995" i="20"/>
  <c r="K994" i="20"/>
  <c r="J994" i="20"/>
  <c r="K993" i="20"/>
  <c r="J993" i="20"/>
  <c r="K992" i="20"/>
  <c r="J992" i="20"/>
  <c r="K991" i="20"/>
  <c r="J991" i="20"/>
  <c r="K990" i="20"/>
  <c r="J990" i="20"/>
  <c r="K989" i="20"/>
  <c r="J989" i="20"/>
  <c r="K988" i="20"/>
  <c r="J988" i="20"/>
  <c r="K987" i="20"/>
  <c r="J987" i="20"/>
  <c r="K986" i="20"/>
  <c r="J986" i="20"/>
  <c r="K985" i="20"/>
  <c r="J985" i="20"/>
  <c r="K984" i="20"/>
  <c r="J984" i="20"/>
  <c r="K983" i="20"/>
  <c r="J983" i="20"/>
  <c r="K982" i="20"/>
  <c r="J982" i="20"/>
  <c r="K981" i="20"/>
  <c r="J981" i="20"/>
  <c r="K980" i="20"/>
  <c r="J980" i="20"/>
  <c r="K979" i="20"/>
  <c r="J979" i="20"/>
  <c r="K978" i="20"/>
  <c r="J978" i="20"/>
  <c r="K977" i="20"/>
  <c r="J977" i="20"/>
  <c r="K976" i="20"/>
  <c r="J976" i="20"/>
  <c r="K975" i="20"/>
  <c r="J975" i="20"/>
  <c r="K974" i="20"/>
  <c r="J974" i="20"/>
  <c r="K973" i="20"/>
  <c r="J973" i="20"/>
  <c r="K972" i="20"/>
  <c r="J972" i="20"/>
  <c r="K971" i="20"/>
  <c r="J971" i="20"/>
  <c r="K970" i="20"/>
  <c r="J970" i="20"/>
  <c r="K969" i="20"/>
  <c r="J969" i="20"/>
  <c r="K968" i="20"/>
  <c r="J968" i="20"/>
  <c r="K967" i="20"/>
  <c r="J967" i="20"/>
  <c r="K966" i="20"/>
  <c r="J966" i="20"/>
  <c r="K965" i="20"/>
  <c r="J965" i="20"/>
  <c r="K964" i="20"/>
  <c r="J964" i="20"/>
  <c r="K963" i="20"/>
  <c r="J963" i="20"/>
  <c r="K962" i="20"/>
  <c r="J962" i="20"/>
  <c r="K961" i="20"/>
  <c r="J961" i="20"/>
  <c r="K960" i="20"/>
  <c r="J960" i="20"/>
  <c r="K959" i="20"/>
  <c r="J959" i="20"/>
  <c r="K958" i="20"/>
  <c r="J958" i="20"/>
  <c r="K957" i="20"/>
  <c r="J957" i="20"/>
  <c r="K956" i="20"/>
  <c r="J956" i="20"/>
  <c r="K955" i="20"/>
  <c r="J955" i="20"/>
  <c r="K954" i="20"/>
  <c r="J954" i="20"/>
  <c r="K953" i="20"/>
  <c r="J953" i="20"/>
  <c r="K952" i="20"/>
  <c r="J952" i="20"/>
  <c r="K951" i="20"/>
  <c r="J951" i="20"/>
  <c r="K950" i="20"/>
  <c r="J950" i="20"/>
  <c r="K949" i="20"/>
  <c r="J949" i="20"/>
  <c r="K948" i="20"/>
  <c r="J948" i="20"/>
  <c r="K947" i="20"/>
  <c r="J947" i="20"/>
  <c r="K946" i="20"/>
  <c r="J946" i="20"/>
  <c r="K945" i="20"/>
  <c r="J945" i="20"/>
  <c r="K944" i="20"/>
  <c r="J944" i="20"/>
  <c r="K943" i="20"/>
  <c r="J943" i="20"/>
  <c r="K942" i="20"/>
  <c r="J942" i="20"/>
  <c r="K941" i="20"/>
  <c r="J941" i="20"/>
  <c r="K940" i="20"/>
  <c r="J940" i="20"/>
  <c r="K939" i="20"/>
  <c r="J939" i="20"/>
  <c r="K938" i="20"/>
  <c r="J938" i="20"/>
  <c r="K937" i="20"/>
  <c r="J937" i="20"/>
  <c r="K936" i="20"/>
  <c r="J936" i="20"/>
  <c r="K935" i="20"/>
  <c r="J935" i="20"/>
  <c r="K934" i="20"/>
  <c r="J934" i="20"/>
  <c r="K933" i="20"/>
  <c r="J933" i="20"/>
  <c r="K932" i="20"/>
  <c r="J932" i="20"/>
  <c r="K931" i="20"/>
  <c r="J931" i="20"/>
  <c r="K930" i="20"/>
  <c r="J930" i="20"/>
  <c r="K929" i="20"/>
  <c r="J929" i="20"/>
  <c r="K928" i="20"/>
  <c r="J928" i="20"/>
  <c r="K927" i="20"/>
  <c r="J927" i="20"/>
  <c r="K926" i="20"/>
  <c r="J926" i="20"/>
  <c r="K925" i="20"/>
  <c r="J925" i="20"/>
  <c r="K924" i="20"/>
  <c r="J924" i="20"/>
  <c r="K923" i="20"/>
  <c r="J923" i="20"/>
  <c r="K922" i="20"/>
  <c r="J922" i="20"/>
  <c r="K921" i="20"/>
  <c r="J921" i="20"/>
  <c r="K920" i="20"/>
  <c r="J920" i="20"/>
  <c r="K919" i="20"/>
  <c r="J919" i="20"/>
  <c r="K918" i="20"/>
  <c r="J918" i="20"/>
  <c r="K917" i="20"/>
  <c r="J917" i="20"/>
  <c r="K916" i="20"/>
  <c r="J916" i="20"/>
  <c r="K915" i="20"/>
  <c r="J915" i="20"/>
  <c r="K914" i="20"/>
  <c r="J914" i="20"/>
  <c r="K913" i="20"/>
  <c r="J913" i="20"/>
  <c r="K912" i="20"/>
  <c r="J912" i="20"/>
  <c r="K911" i="20"/>
  <c r="J911" i="20"/>
  <c r="K910" i="20"/>
  <c r="J910" i="20"/>
  <c r="K909" i="20"/>
  <c r="J909" i="20"/>
  <c r="K908" i="20"/>
  <c r="J908" i="20"/>
  <c r="K907" i="20"/>
  <c r="J907" i="20"/>
  <c r="K906" i="20"/>
  <c r="J906" i="20"/>
  <c r="K905" i="20"/>
  <c r="J905" i="20"/>
  <c r="K904" i="20"/>
  <c r="J904" i="20"/>
  <c r="K903" i="20"/>
  <c r="J903" i="20"/>
  <c r="K902" i="20"/>
  <c r="J902" i="20"/>
  <c r="K901" i="20"/>
  <c r="J901" i="20"/>
  <c r="K900" i="20"/>
  <c r="J900" i="20"/>
  <c r="K899" i="20"/>
  <c r="J899" i="20"/>
  <c r="K898" i="20"/>
  <c r="J898" i="20"/>
  <c r="K897" i="20"/>
  <c r="J897" i="20"/>
  <c r="K896" i="20"/>
  <c r="J896" i="20"/>
  <c r="K895" i="20"/>
  <c r="J895" i="20"/>
  <c r="K894" i="20"/>
  <c r="J894" i="20"/>
  <c r="K893" i="20"/>
  <c r="J893" i="20"/>
  <c r="K892" i="20"/>
  <c r="J892" i="20"/>
  <c r="K891" i="20"/>
  <c r="J891" i="20"/>
  <c r="K890" i="20"/>
  <c r="J890" i="20"/>
  <c r="K889" i="20"/>
  <c r="J889" i="20"/>
  <c r="K888" i="20"/>
  <c r="J888" i="20"/>
  <c r="K887" i="20"/>
  <c r="J887" i="20"/>
  <c r="K886" i="20"/>
  <c r="J886" i="20"/>
  <c r="K885" i="20"/>
  <c r="J885" i="20"/>
  <c r="K884" i="20"/>
  <c r="J884" i="20"/>
  <c r="K883" i="20"/>
  <c r="J883" i="20"/>
  <c r="K882" i="20"/>
  <c r="J882" i="20"/>
  <c r="K881" i="20"/>
  <c r="J881" i="20"/>
  <c r="K880" i="20"/>
  <c r="J880" i="20"/>
  <c r="K879" i="20"/>
  <c r="J879" i="20"/>
  <c r="K878" i="20"/>
  <c r="J878" i="20"/>
  <c r="K877" i="20"/>
  <c r="J877" i="20"/>
  <c r="K876" i="20"/>
  <c r="J876" i="20"/>
  <c r="K875" i="20"/>
  <c r="J875" i="20"/>
  <c r="K874" i="20"/>
  <c r="J874" i="20"/>
  <c r="K873" i="20"/>
  <c r="J873" i="20"/>
  <c r="K872" i="20"/>
  <c r="J872" i="20"/>
  <c r="K871" i="20"/>
  <c r="J871" i="20"/>
  <c r="K870" i="20"/>
  <c r="J870" i="20"/>
  <c r="K869" i="20"/>
  <c r="J869" i="20"/>
  <c r="K868" i="20"/>
  <c r="J868" i="20"/>
  <c r="K867" i="20"/>
  <c r="J867" i="20"/>
  <c r="K866" i="20"/>
  <c r="J866" i="20"/>
  <c r="K865" i="20"/>
  <c r="J865" i="20"/>
  <c r="K864" i="20"/>
  <c r="J864" i="20"/>
  <c r="K863" i="20"/>
  <c r="J863" i="20"/>
  <c r="K862" i="20"/>
  <c r="J862" i="20"/>
  <c r="K861" i="20"/>
  <c r="J861" i="20"/>
  <c r="K860" i="20"/>
  <c r="J860" i="20"/>
  <c r="K859" i="20"/>
  <c r="J859" i="20"/>
  <c r="K858" i="20"/>
  <c r="J858" i="20"/>
  <c r="K857" i="20"/>
  <c r="J857" i="20"/>
  <c r="K856" i="20"/>
  <c r="J856" i="20"/>
  <c r="K855" i="20"/>
  <c r="J855" i="20"/>
  <c r="K854" i="20"/>
  <c r="J854" i="20"/>
  <c r="K853" i="20"/>
  <c r="J853" i="20"/>
  <c r="K852" i="20"/>
  <c r="J852" i="20"/>
  <c r="K851" i="20"/>
  <c r="J851" i="20"/>
  <c r="K850" i="20"/>
  <c r="J850" i="20"/>
  <c r="K849" i="20"/>
  <c r="J849" i="20"/>
  <c r="K848" i="20"/>
  <c r="J848" i="20"/>
  <c r="K847" i="20"/>
  <c r="J847" i="20"/>
  <c r="K846" i="20"/>
  <c r="J846" i="20"/>
  <c r="K845" i="20"/>
  <c r="J845" i="20"/>
  <c r="K844" i="20"/>
  <c r="J844" i="20"/>
  <c r="K843" i="20"/>
  <c r="J843" i="20"/>
  <c r="K842" i="20"/>
  <c r="J842" i="20"/>
  <c r="K841" i="20"/>
  <c r="J841" i="20"/>
  <c r="K840" i="20"/>
  <c r="J840" i="20"/>
  <c r="K839" i="20"/>
  <c r="J839" i="20"/>
  <c r="K838" i="20"/>
  <c r="J838" i="20"/>
  <c r="K837" i="20"/>
  <c r="J837" i="20"/>
  <c r="K836" i="20"/>
  <c r="J836" i="20"/>
  <c r="K835" i="20"/>
  <c r="J835" i="20"/>
  <c r="K834" i="20"/>
  <c r="J834" i="20"/>
  <c r="K833" i="20"/>
  <c r="J833" i="20"/>
  <c r="K832" i="20"/>
  <c r="J832" i="20"/>
  <c r="K831" i="20"/>
  <c r="J831" i="20"/>
  <c r="K830" i="20"/>
  <c r="J830" i="20"/>
  <c r="K829" i="20"/>
  <c r="J829" i="20"/>
  <c r="K828" i="20"/>
  <c r="J828" i="20"/>
  <c r="K827" i="20"/>
  <c r="J827" i="20"/>
  <c r="K826" i="20"/>
  <c r="J826" i="20"/>
  <c r="K825" i="20"/>
  <c r="J825" i="20"/>
  <c r="K824" i="20"/>
  <c r="J824" i="20"/>
  <c r="K823" i="20"/>
  <c r="J823" i="20"/>
  <c r="K822" i="20"/>
  <c r="J822" i="20"/>
  <c r="K821" i="20"/>
  <c r="J821" i="20"/>
  <c r="K820" i="20"/>
  <c r="J820" i="20"/>
  <c r="K819" i="20"/>
  <c r="J819" i="20"/>
  <c r="K818" i="20"/>
  <c r="J818" i="20"/>
  <c r="K817" i="20"/>
  <c r="J817" i="20"/>
  <c r="K816" i="20"/>
  <c r="J816" i="20"/>
  <c r="K815" i="20"/>
  <c r="J815" i="20"/>
  <c r="K814" i="20"/>
  <c r="J814" i="20"/>
  <c r="K813" i="20"/>
  <c r="J813" i="20"/>
  <c r="K812" i="20"/>
  <c r="J812" i="20"/>
  <c r="K811" i="20"/>
  <c r="J811" i="20"/>
  <c r="K810" i="20"/>
  <c r="J810" i="20"/>
  <c r="K809" i="20"/>
  <c r="J809" i="20"/>
  <c r="K808" i="20"/>
  <c r="J808" i="20"/>
  <c r="K807" i="20"/>
  <c r="J807" i="20"/>
  <c r="K806" i="20"/>
  <c r="J806" i="20"/>
  <c r="K805" i="20"/>
  <c r="J805" i="20"/>
  <c r="K804" i="20"/>
  <c r="J804" i="20"/>
  <c r="K803" i="20"/>
  <c r="J803" i="20"/>
  <c r="K802" i="20"/>
  <c r="J802" i="20"/>
  <c r="K801" i="20"/>
  <c r="J801" i="20"/>
  <c r="K800" i="20"/>
  <c r="J800" i="20"/>
  <c r="K799" i="20"/>
  <c r="J799" i="20"/>
  <c r="K798" i="20"/>
  <c r="J798" i="20"/>
  <c r="K797" i="20"/>
  <c r="J797" i="20"/>
  <c r="K796" i="20"/>
  <c r="J796" i="20"/>
  <c r="K795" i="20"/>
  <c r="J795" i="20"/>
  <c r="K793" i="20"/>
  <c r="J793" i="20"/>
  <c r="K792" i="20"/>
  <c r="J792" i="20"/>
  <c r="K791" i="20"/>
  <c r="J791" i="20"/>
  <c r="K790" i="20"/>
  <c r="J790" i="20"/>
  <c r="K789" i="20"/>
  <c r="J789" i="20"/>
  <c r="K788" i="20"/>
  <c r="J788" i="20"/>
  <c r="K787" i="20"/>
  <c r="J787" i="20"/>
  <c r="K786" i="20"/>
  <c r="J786" i="20"/>
  <c r="K785" i="20"/>
  <c r="J785" i="20"/>
  <c r="K784" i="20"/>
  <c r="J784" i="20"/>
  <c r="K783" i="20"/>
  <c r="J783" i="20"/>
  <c r="K782" i="20"/>
  <c r="J782" i="20"/>
  <c r="K781" i="20"/>
  <c r="J781" i="20"/>
  <c r="K780" i="20"/>
  <c r="J780" i="20"/>
  <c r="K779" i="20"/>
  <c r="J779" i="20"/>
  <c r="K778" i="20"/>
  <c r="J778" i="20"/>
  <c r="K777" i="20"/>
  <c r="J777" i="20"/>
  <c r="K776" i="20"/>
  <c r="J776" i="20"/>
  <c r="K775" i="20"/>
  <c r="J775" i="20"/>
  <c r="K774" i="20"/>
  <c r="J774" i="20"/>
  <c r="K773" i="20"/>
  <c r="J773" i="20"/>
  <c r="K772" i="20"/>
  <c r="J772" i="20"/>
  <c r="K771" i="20"/>
  <c r="J771" i="20"/>
  <c r="K770" i="20"/>
  <c r="J770" i="20"/>
  <c r="K769" i="20"/>
  <c r="J769" i="20"/>
  <c r="K768" i="20"/>
  <c r="J768" i="20"/>
  <c r="K767" i="20"/>
  <c r="J767" i="20"/>
  <c r="K766" i="20"/>
  <c r="J766" i="20"/>
  <c r="K765" i="20"/>
  <c r="J765" i="20"/>
  <c r="K764" i="20"/>
  <c r="J764" i="20"/>
  <c r="K763" i="20"/>
  <c r="J763" i="20"/>
  <c r="K762" i="20"/>
  <c r="J762" i="20"/>
  <c r="K761" i="20"/>
  <c r="J761" i="20"/>
  <c r="K760" i="20"/>
  <c r="J760" i="20"/>
  <c r="K759" i="20"/>
  <c r="J759" i="20"/>
  <c r="K758" i="20"/>
  <c r="J758" i="20"/>
  <c r="K757" i="20"/>
  <c r="J757" i="20"/>
  <c r="K756" i="20"/>
  <c r="J756" i="20"/>
  <c r="K755" i="20"/>
  <c r="J755" i="20"/>
  <c r="K754" i="20"/>
  <c r="J754" i="20"/>
  <c r="K753" i="20"/>
  <c r="J753" i="20"/>
  <c r="K752" i="20"/>
  <c r="J752" i="20"/>
  <c r="K751" i="20"/>
  <c r="J751" i="20"/>
  <c r="K750" i="20"/>
  <c r="J750" i="20"/>
  <c r="K749" i="20"/>
  <c r="J749" i="20"/>
  <c r="K748" i="20"/>
  <c r="J748" i="20"/>
  <c r="K747" i="20"/>
  <c r="J747" i="20"/>
  <c r="K746" i="20"/>
  <c r="J746" i="20"/>
  <c r="K745" i="20"/>
  <c r="J745" i="20"/>
  <c r="K744" i="20"/>
  <c r="J744" i="20"/>
  <c r="K743" i="20"/>
  <c r="J743" i="20"/>
  <c r="K742" i="20"/>
  <c r="J742" i="20"/>
  <c r="K741" i="20"/>
  <c r="J741" i="20"/>
  <c r="K740" i="20"/>
  <c r="J740" i="20"/>
  <c r="K739" i="20"/>
  <c r="J739" i="20"/>
  <c r="K738" i="20"/>
  <c r="J738" i="20"/>
  <c r="K737" i="20"/>
  <c r="J737" i="20"/>
  <c r="K736" i="20"/>
  <c r="J736" i="20"/>
  <c r="K735" i="20"/>
  <c r="J735" i="20"/>
  <c r="K734" i="20"/>
  <c r="J734" i="20"/>
  <c r="K733" i="20"/>
  <c r="J733" i="20"/>
  <c r="K732" i="20"/>
  <c r="J732" i="20"/>
  <c r="K731" i="20"/>
  <c r="J731" i="20"/>
  <c r="K730" i="20"/>
  <c r="J730" i="20"/>
  <c r="K729" i="20"/>
  <c r="J729" i="20"/>
  <c r="K727" i="20"/>
  <c r="J727" i="20"/>
  <c r="K726" i="20"/>
  <c r="J726" i="20"/>
  <c r="K725" i="20"/>
  <c r="J725" i="20"/>
  <c r="K724" i="20"/>
  <c r="J724" i="20"/>
  <c r="K723" i="20"/>
  <c r="J723" i="20"/>
  <c r="K722" i="20"/>
  <c r="J722" i="20"/>
  <c r="K721" i="20"/>
  <c r="J721" i="20"/>
  <c r="K720" i="20"/>
  <c r="J720" i="20"/>
  <c r="K719" i="20"/>
  <c r="J719" i="20"/>
  <c r="K718" i="20"/>
  <c r="J718" i="20"/>
  <c r="K717" i="20"/>
  <c r="J717" i="20"/>
  <c r="K716" i="20"/>
  <c r="J716" i="20"/>
  <c r="K715" i="20"/>
  <c r="J715" i="20"/>
  <c r="K714" i="20"/>
  <c r="J714" i="20"/>
  <c r="K713" i="20"/>
  <c r="J713" i="20"/>
  <c r="K712" i="20"/>
  <c r="J712" i="20"/>
  <c r="K711" i="20"/>
  <c r="J711" i="20"/>
  <c r="K710" i="20"/>
  <c r="J710" i="20"/>
  <c r="K709" i="20"/>
  <c r="J709" i="20"/>
  <c r="K707" i="20"/>
  <c r="J707" i="20"/>
  <c r="K706" i="20"/>
  <c r="J706" i="20"/>
  <c r="K705" i="20"/>
  <c r="J705" i="20"/>
  <c r="K704" i="20"/>
  <c r="J704" i="20"/>
  <c r="K703" i="20"/>
  <c r="J703" i="20"/>
  <c r="K702" i="20"/>
  <c r="J702" i="20"/>
  <c r="K701" i="20"/>
  <c r="J701" i="20"/>
  <c r="K700" i="20"/>
  <c r="J700" i="20"/>
  <c r="K699" i="20"/>
  <c r="J699" i="20"/>
  <c r="K698" i="20"/>
  <c r="J698" i="20"/>
  <c r="K697" i="20"/>
  <c r="J697" i="20"/>
  <c r="K696" i="20"/>
  <c r="J696" i="20"/>
  <c r="K695" i="20"/>
  <c r="J695" i="20"/>
  <c r="K694" i="20"/>
  <c r="J694" i="20"/>
  <c r="K693" i="20"/>
  <c r="J693" i="20"/>
  <c r="K692" i="20"/>
  <c r="J692" i="20"/>
  <c r="K691" i="20"/>
  <c r="J691" i="20"/>
  <c r="K690" i="20"/>
  <c r="J690" i="20"/>
  <c r="K689" i="20"/>
  <c r="J689" i="20"/>
  <c r="K687" i="20"/>
  <c r="J687" i="20"/>
  <c r="K686" i="20"/>
  <c r="J686" i="20"/>
  <c r="K685" i="20"/>
  <c r="J685" i="20"/>
  <c r="K684" i="20"/>
  <c r="J684" i="20"/>
  <c r="K683" i="20"/>
  <c r="J683" i="20"/>
  <c r="K682" i="20"/>
  <c r="J682" i="20"/>
  <c r="K681" i="20"/>
  <c r="J681" i="20"/>
  <c r="K680" i="20"/>
  <c r="J680" i="20"/>
  <c r="K679" i="20"/>
  <c r="J679" i="20"/>
  <c r="K678" i="20"/>
  <c r="J678" i="20"/>
  <c r="K677" i="20"/>
  <c r="J677" i="20"/>
  <c r="K676" i="20"/>
  <c r="J676" i="20"/>
  <c r="K675" i="20"/>
  <c r="J675" i="20"/>
  <c r="K674" i="20"/>
  <c r="J674" i="20"/>
  <c r="K673" i="20"/>
  <c r="J673" i="20"/>
  <c r="K672" i="20"/>
  <c r="J672" i="20"/>
  <c r="K671" i="20"/>
  <c r="J671" i="20"/>
  <c r="K670" i="20"/>
  <c r="J670" i="20"/>
  <c r="K669" i="20"/>
  <c r="J669" i="20"/>
  <c r="K667" i="20"/>
  <c r="J667" i="20"/>
  <c r="K666" i="20"/>
  <c r="J666" i="20"/>
  <c r="K665" i="20"/>
  <c r="J665" i="20"/>
  <c r="K664" i="20"/>
  <c r="J664" i="20"/>
  <c r="K663" i="20"/>
  <c r="J663" i="20"/>
  <c r="K662" i="20"/>
  <c r="J662" i="20"/>
  <c r="K661" i="20"/>
  <c r="J661" i="20"/>
  <c r="K660" i="20"/>
  <c r="J660" i="20"/>
  <c r="K659" i="20"/>
  <c r="J659" i="20"/>
  <c r="K658" i="20"/>
  <c r="J658" i="20"/>
  <c r="K657" i="20"/>
  <c r="J657" i="20"/>
  <c r="K656" i="20"/>
  <c r="J656" i="20"/>
  <c r="K655" i="20"/>
  <c r="J655" i="20"/>
  <c r="K654" i="20"/>
  <c r="J654" i="20"/>
  <c r="K653" i="20"/>
  <c r="J653" i="20"/>
  <c r="K652" i="20"/>
  <c r="J652" i="20"/>
  <c r="K651" i="20"/>
  <c r="J651" i="20"/>
  <c r="K650" i="20"/>
  <c r="J650" i="20"/>
  <c r="K649" i="20"/>
  <c r="J649" i="20"/>
  <c r="K648" i="20"/>
  <c r="J648" i="20"/>
  <c r="K647" i="20"/>
  <c r="J647" i="20"/>
  <c r="K646" i="20"/>
  <c r="J646" i="20"/>
  <c r="K645" i="20"/>
  <c r="J645" i="20"/>
  <c r="K644" i="20"/>
  <c r="J644" i="20"/>
  <c r="K643" i="20"/>
  <c r="J643" i="20"/>
  <c r="K642" i="20"/>
  <c r="J642" i="20"/>
  <c r="K641" i="20"/>
  <c r="J641" i="20"/>
  <c r="K640" i="20"/>
  <c r="J640" i="20"/>
  <c r="K639" i="20"/>
  <c r="J639" i="20"/>
  <c r="K638" i="20"/>
  <c r="J638" i="20"/>
  <c r="K637" i="20"/>
  <c r="J637" i="20"/>
  <c r="K636" i="20"/>
  <c r="J636" i="20"/>
  <c r="K635" i="20"/>
  <c r="J635" i="20"/>
  <c r="K634" i="20"/>
  <c r="J634" i="20"/>
  <c r="K633" i="20"/>
  <c r="J633" i="20"/>
  <c r="K632" i="20"/>
  <c r="J632" i="20"/>
  <c r="K631" i="20"/>
  <c r="J631" i="20"/>
  <c r="K630" i="20"/>
  <c r="J630" i="20"/>
  <c r="K629" i="20"/>
  <c r="J629" i="20"/>
  <c r="K628" i="20"/>
  <c r="J628" i="20"/>
  <c r="K627" i="20"/>
  <c r="J627" i="20"/>
  <c r="K626" i="20"/>
  <c r="J626" i="20"/>
  <c r="K625" i="20"/>
  <c r="J625" i="20"/>
  <c r="K624" i="20"/>
  <c r="J624" i="20"/>
  <c r="K623" i="20"/>
  <c r="J623" i="20"/>
  <c r="K622" i="20"/>
  <c r="J622" i="20"/>
  <c r="K621" i="20"/>
  <c r="J621" i="20"/>
  <c r="K620" i="20"/>
  <c r="J620" i="20"/>
  <c r="K619" i="20"/>
  <c r="J619" i="20"/>
  <c r="K618" i="20"/>
  <c r="J618" i="20"/>
  <c r="K617" i="20"/>
  <c r="J617" i="20"/>
  <c r="K616" i="20"/>
  <c r="J616" i="20"/>
  <c r="K615" i="20"/>
  <c r="J615" i="20"/>
  <c r="K614" i="20"/>
  <c r="J614" i="20"/>
  <c r="K613" i="20"/>
  <c r="J613" i="20"/>
  <c r="K612" i="20"/>
  <c r="J612" i="20"/>
  <c r="K611" i="20"/>
  <c r="J611" i="20"/>
  <c r="K610" i="20"/>
  <c r="J610" i="20"/>
  <c r="K609" i="20"/>
  <c r="J609" i="20"/>
  <c r="K608" i="20"/>
  <c r="J608" i="20"/>
  <c r="K606" i="20"/>
  <c r="J606" i="20"/>
  <c r="K605" i="20"/>
  <c r="J605" i="20"/>
  <c r="K604" i="20"/>
  <c r="J604" i="20"/>
  <c r="K603" i="20"/>
  <c r="J603" i="20"/>
  <c r="K602" i="20"/>
  <c r="J602" i="20"/>
  <c r="K601" i="20"/>
  <c r="J601" i="20"/>
  <c r="K600" i="20"/>
  <c r="J600" i="20"/>
  <c r="K599" i="20"/>
  <c r="J599" i="20"/>
  <c r="K598" i="20"/>
  <c r="J598" i="20"/>
  <c r="K597" i="20"/>
  <c r="J597" i="20"/>
  <c r="K596" i="20"/>
  <c r="J596" i="20"/>
  <c r="K595" i="20"/>
  <c r="J595" i="20"/>
  <c r="K594" i="20"/>
  <c r="J594" i="20"/>
  <c r="K593" i="20"/>
  <c r="J593" i="20"/>
  <c r="K592" i="20"/>
  <c r="J592" i="20"/>
  <c r="K591" i="20"/>
  <c r="J591" i="20"/>
  <c r="K590" i="20"/>
  <c r="J590" i="20"/>
  <c r="K589" i="20"/>
  <c r="J589" i="20"/>
  <c r="K588" i="20"/>
  <c r="J588" i="20"/>
  <c r="K586" i="20"/>
  <c r="J586" i="20"/>
  <c r="K585" i="20"/>
  <c r="J585" i="20"/>
  <c r="K584" i="20"/>
  <c r="J584" i="20"/>
  <c r="K583" i="20"/>
  <c r="J583" i="20"/>
  <c r="K582" i="20"/>
  <c r="J582" i="20"/>
  <c r="K581" i="20"/>
  <c r="J581" i="20"/>
  <c r="K580" i="20"/>
  <c r="J580" i="20"/>
  <c r="K579" i="20"/>
  <c r="J579" i="20"/>
  <c r="K578" i="20"/>
  <c r="J578" i="20"/>
  <c r="K577" i="20"/>
  <c r="J577" i="20"/>
  <c r="K576" i="20"/>
  <c r="J576" i="20"/>
  <c r="K575" i="20"/>
  <c r="J575" i="20"/>
  <c r="K574" i="20"/>
  <c r="J574" i="20"/>
  <c r="K573" i="20"/>
  <c r="J573" i="20"/>
  <c r="K572" i="20"/>
  <c r="J572" i="20"/>
  <c r="K571" i="20"/>
  <c r="J571" i="20"/>
  <c r="K570" i="20"/>
  <c r="J570" i="20"/>
  <c r="K569" i="20"/>
  <c r="J569" i="20"/>
  <c r="K568" i="20"/>
  <c r="J568" i="20"/>
  <c r="K566" i="20"/>
  <c r="J566" i="20"/>
  <c r="K565" i="20"/>
  <c r="J565" i="20"/>
  <c r="K564" i="20"/>
  <c r="J564" i="20"/>
  <c r="K563" i="20"/>
  <c r="J563" i="20"/>
  <c r="K562" i="20"/>
  <c r="J562" i="20"/>
  <c r="K561" i="20"/>
  <c r="J561" i="20"/>
  <c r="K560" i="20"/>
  <c r="J560" i="20"/>
  <c r="K559" i="20"/>
  <c r="J559" i="20"/>
  <c r="K558" i="20"/>
  <c r="J558" i="20"/>
  <c r="K557" i="20"/>
  <c r="J557" i="20"/>
  <c r="K556" i="20"/>
  <c r="J556" i="20"/>
  <c r="K555" i="20"/>
  <c r="J555" i="20"/>
  <c r="K554" i="20"/>
  <c r="J554" i="20"/>
  <c r="K553" i="20"/>
  <c r="J553" i="20"/>
  <c r="K552" i="20"/>
  <c r="J552" i="20"/>
  <c r="K551" i="20"/>
  <c r="J551" i="20"/>
  <c r="K550" i="20"/>
  <c r="J550" i="20"/>
  <c r="K549" i="20"/>
  <c r="J549" i="20"/>
  <c r="K548" i="20"/>
  <c r="J548" i="20"/>
  <c r="K546" i="20"/>
  <c r="J546" i="20"/>
  <c r="K545" i="20"/>
  <c r="J545" i="20"/>
  <c r="K544" i="20"/>
  <c r="J544" i="20"/>
  <c r="K543" i="20"/>
  <c r="J543" i="20"/>
  <c r="K542" i="20"/>
  <c r="J542" i="20"/>
  <c r="K541" i="20"/>
  <c r="J541" i="20"/>
  <c r="K540" i="20"/>
  <c r="J540" i="20"/>
  <c r="K539" i="20"/>
  <c r="J539" i="20"/>
  <c r="K538" i="20"/>
  <c r="J538" i="20"/>
  <c r="K537" i="20"/>
  <c r="J537" i="20"/>
  <c r="K536" i="20"/>
  <c r="J536" i="20"/>
  <c r="K535" i="20"/>
  <c r="J535" i="20"/>
  <c r="K534" i="20"/>
  <c r="J534" i="20"/>
  <c r="K533" i="20"/>
  <c r="J533" i="20"/>
  <c r="K532" i="20"/>
  <c r="J532" i="20"/>
  <c r="K531" i="20"/>
  <c r="J531" i="20"/>
  <c r="K530" i="20"/>
  <c r="J530" i="20"/>
  <c r="K529" i="20"/>
  <c r="J529" i="20"/>
  <c r="K528" i="20"/>
  <c r="J528" i="20"/>
  <c r="K527" i="20"/>
  <c r="J527" i="20"/>
  <c r="K526" i="20"/>
  <c r="J526" i="20"/>
  <c r="K525" i="20"/>
  <c r="J525" i="20"/>
  <c r="K524" i="20"/>
  <c r="J524" i="20"/>
  <c r="K523" i="20"/>
  <c r="J523" i="20"/>
  <c r="K522" i="20"/>
  <c r="J522" i="20"/>
  <c r="K521" i="20"/>
  <c r="J521" i="20"/>
  <c r="K520" i="20"/>
  <c r="J520" i="20"/>
  <c r="K519" i="20"/>
  <c r="J519" i="20"/>
  <c r="K518" i="20"/>
  <c r="J518" i="20"/>
  <c r="K517" i="20"/>
  <c r="J517" i="20"/>
  <c r="K516" i="20"/>
  <c r="J516" i="20"/>
  <c r="K515" i="20"/>
  <c r="J515" i="20"/>
  <c r="K514" i="20"/>
  <c r="J514" i="20"/>
  <c r="K513" i="20"/>
  <c r="J513" i="20"/>
  <c r="K512" i="20"/>
  <c r="J512" i="20"/>
  <c r="K511" i="20"/>
  <c r="J511" i="20"/>
  <c r="K510" i="20"/>
  <c r="J510" i="20"/>
  <c r="B29" i="24"/>
  <c r="A29" i="24" s="1"/>
  <c r="G18" i="20"/>
  <c r="I18" i="20"/>
  <c r="G81" i="20"/>
  <c r="I81" i="20"/>
  <c r="G82" i="20"/>
  <c r="I82" i="20"/>
  <c r="G83" i="20"/>
  <c r="I83" i="20"/>
  <c r="G84" i="20"/>
  <c r="I84" i="20"/>
  <c r="I102" i="20"/>
  <c r="G102" i="20"/>
  <c r="I101" i="20"/>
  <c r="G101" i="20"/>
  <c r="I100" i="20"/>
  <c r="G100" i="20"/>
  <c r="I99" i="20"/>
  <c r="G99" i="20"/>
  <c r="G91" i="20"/>
  <c r="I91" i="20"/>
  <c r="G93" i="20"/>
  <c r="I93" i="20"/>
  <c r="G94" i="20"/>
  <c r="I94" i="20"/>
  <c r="G95" i="20"/>
  <c r="I95" i="20"/>
  <c r="G96" i="20"/>
  <c r="I96" i="20"/>
  <c r="G103" i="20"/>
  <c r="I103" i="20"/>
  <c r="I55" i="20"/>
  <c r="G55" i="20"/>
  <c r="I54" i="20"/>
  <c r="G54" i="20"/>
  <c r="I53" i="20"/>
  <c r="G53" i="20"/>
  <c r="I52" i="20"/>
  <c r="G52" i="20"/>
  <c r="I51" i="20"/>
  <c r="G51" i="20"/>
  <c r="B27" i="24"/>
  <c r="A27" i="24" s="1"/>
  <c r="B28" i="24"/>
  <c r="A28" i="24" s="1"/>
  <c r="B30" i="24"/>
  <c r="A30" i="24" s="1"/>
  <c r="B31" i="24"/>
  <c r="A31" i="24" s="1"/>
  <c r="B32" i="24"/>
  <c r="A32" i="24" s="1"/>
  <c r="B33" i="24"/>
  <c r="A33" i="24" s="1"/>
  <c r="B34" i="24"/>
  <c r="A34" i="24" s="1"/>
  <c r="B35" i="24"/>
  <c r="A35" i="24" s="1"/>
  <c r="B36" i="24"/>
  <c r="A36" i="24" s="1"/>
  <c r="B37" i="24"/>
  <c r="A37" i="24" s="1"/>
  <c r="B38" i="24"/>
  <c r="A38" i="24" s="1"/>
  <c r="B39" i="24"/>
  <c r="A39" i="24" s="1"/>
  <c r="B40" i="24"/>
  <c r="A40" i="24" s="1"/>
  <c r="B41" i="24"/>
  <c r="A41" i="24" s="1"/>
  <c r="B26" i="24"/>
  <c r="G105" i="20"/>
  <c r="I105" i="20"/>
  <c r="G106" i="20"/>
  <c r="I106" i="20"/>
  <c r="G107" i="20"/>
  <c r="I107" i="20"/>
  <c r="G108" i="20"/>
  <c r="I108" i="20"/>
  <c r="G87" i="20"/>
  <c r="I87" i="20"/>
  <c r="G88" i="20"/>
  <c r="I88" i="20"/>
  <c r="G89" i="20"/>
  <c r="I89" i="20"/>
  <c r="G90" i="20"/>
  <c r="I90" i="20"/>
  <c r="C1" i="27"/>
  <c r="D1" i="27" s="1"/>
  <c r="I77" i="20"/>
  <c r="G77" i="20"/>
  <c r="I76" i="20"/>
  <c r="G76" i="20"/>
  <c r="H6" i="20"/>
  <c r="G9" i="20"/>
  <c r="G10" i="20"/>
  <c r="G11" i="20"/>
  <c r="G13" i="20"/>
  <c r="G14" i="20"/>
  <c r="G15" i="20"/>
  <c r="G17" i="20"/>
  <c r="G24" i="20"/>
  <c r="G25" i="20"/>
  <c r="G27" i="20"/>
  <c r="G28" i="20"/>
  <c r="G29" i="20"/>
  <c r="G30" i="20"/>
  <c r="G31" i="20"/>
  <c r="G33" i="20"/>
  <c r="G34" i="20"/>
  <c r="G36" i="20"/>
  <c r="G37" i="20"/>
  <c r="G39" i="20"/>
  <c r="G40" i="20"/>
  <c r="G41" i="20"/>
  <c r="G42" i="20"/>
  <c r="G43" i="20"/>
  <c r="G45" i="20"/>
  <c r="G46" i="20"/>
  <c r="G47" i="20"/>
  <c r="G48" i="20"/>
  <c r="G49" i="20"/>
  <c r="G57" i="20"/>
  <c r="G58" i="20"/>
  <c r="G59" i="20"/>
  <c r="G60" i="20"/>
  <c r="G61" i="20"/>
  <c r="G63" i="20"/>
  <c r="G64" i="20"/>
  <c r="G65" i="20"/>
  <c r="G66" i="20"/>
  <c r="G67" i="20"/>
  <c r="G69" i="20"/>
  <c r="G70" i="20"/>
  <c r="G71" i="20"/>
  <c r="G72" i="20"/>
  <c r="G73" i="20"/>
  <c r="G75" i="20"/>
  <c r="G78" i="20"/>
  <c r="G79" i="20"/>
  <c r="G6" i="20"/>
  <c r="I79" i="20"/>
  <c r="I78" i="20"/>
  <c r="I75" i="20"/>
  <c r="I73" i="20"/>
  <c r="I72" i="20"/>
  <c r="I71" i="20"/>
  <c r="I70" i="20"/>
  <c r="I69" i="20"/>
  <c r="I67" i="20"/>
  <c r="I66" i="20"/>
  <c r="I65" i="20"/>
  <c r="I64" i="20"/>
  <c r="I63" i="20"/>
  <c r="I61" i="20"/>
  <c r="I60" i="20"/>
  <c r="I59" i="20"/>
  <c r="I58" i="20"/>
  <c r="I57" i="20"/>
  <c r="I49" i="20"/>
  <c r="I48" i="20"/>
  <c r="I47" i="20"/>
  <c r="I46" i="20"/>
  <c r="I45" i="20"/>
  <c r="I43" i="20"/>
  <c r="I42" i="20"/>
  <c r="I41" i="20"/>
  <c r="I40" i="20"/>
  <c r="I39" i="20"/>
  <c r="I37" i="20"/>
  <c r="I36" i="20"/>
  <c r="I34" i="20"/>
  <c r="I33" i="20"/>
  <c r="I31" i="20"/>
  <c r="I30" i="20"/>
  <c r="I29" i="20"/>
  <c r="I28" i="20"/>
  <c r="I27" i="20"/>
  <c r="I25" i="20"/>
  <c r="I24" i="20"/>
  <c r="I17" i="20"/>
  <c r="I15" i="20"/>
  <c r="I13" i="20"/>
  <c r="I6" i="20"/>
  <c r="C52" i="15"/>
  <c r="C17" i="15"/>
  <c r="F17" i="15"/>
  <c r="C10" i="15"/>
  <c r="C12" i="15"/>
  <c r="F8" i="15"/>
  <c r="F9" i="15"/>
  <c r="F10" i="15"/>
  <c r="F11" i="15"/>
  <c r="F12" i="15"/>
  <c r="F14" i="15"/>
  <c r="F15" i="15"/>
  <c r="F16" i="15"/>
  <c r="F18" i="15"/>
  <c r="F21" i="15"/>
  <c r="F22" i="15"/>
  <c r="C46" i="15"/>
  <c r="C51" i="15"/>
  <c r="H49" i="15"/>
  <c r="H44" i="15"/>
  <c r="G44" i="15" s="1"/>
  <c r="H39" i="15"/>
  <c r="H34" i="15"/>
  <c r="H29" i="15"/>
  <c r="H24" i="15"/>
  <c r="C20" i="15"/>
  <c r="C19" i="15"/>
  <c r="C13" i="15"/>
  <c r="D13" i="15" s="1"/>
  <c r="C14" i="15"/>
  <c r="C15" i="15"/>
  <c r="C16" i="15"/>
  <c r="C18" i="15"/>
  <c r="D18" i="15" s="1"/>
  <c r="E18" i="15" s="1"/>
  <c r="C21" i="15"/>
  <c r="C22" i="15"/>
  <c r="C23" i="15"/>
  <c r="C25" i="15"/>
  <c r="C26" i="15"/>
  <c r="C27" i="15"/>
  <c r="C28" i="15"/>
  <c r="D28" i="15" s="1"/>
  <c r="E28" i="15" s="1"/>
  <c r="C30" i="15"/>
  <c r="C31" i="15"/>
  <c r="C32" i="15"/>
  <c r="C33" i="15"/>
  <c r="D33" i="15" s="1"/>
  <c r="E33" i="15" s="1"/>
  <c r="C35" i="15"/>
  <c r="C36" i="15"/>
  <c r="C37" i="15"/>
  <c r="C38" i="15"/>
  <c r="C40" i="15"/>
  <c r="C41" i="15"/>
  <c r="C42" i="15"/>
  <c r="C43" i="15"/>
  <c r="D43" i="15" s="1"/>
  <c r="E43" i="15" s="1"/>
  <c r="C45" i="15"/>
  <c r="C47" i="15"/>
  <c r="C48" i="15"/>
  <c r="D48" i="15" s="1"/>
  <c r="E48" i="15" s="1"/>
  <c r="C50" i="15"/>
  <c r="J101" i="11"/>
  <c r="J100" i="11"/>
  <c r="J99" i="11"/>
  <c r="J98" i="11"/>
  <c r="M153" i="14"/>
  <c r="M152" i="14"/>
  <c r="M151" i="14"/>
  <c r="M150" i="14"/>
  <c r="J94" i="11"/>
  <c r="J93" i="11"/>
  <c r="J92" i="11"/>
  <c r="J91" i="11"/>
  <c r="J90" i="11"/>
  <c r="M146" i="14"/>
  <c r="M145" i="14"/>
  <c r="M144" i="14"/>
  <c r="M143" i="14"/>
  <c r="M142" i="14"/>
  <c r="J89" i="11"/>
  <c r="M141" i="14"/>
  <c r="A8" i="14"/>
  <c r="A9" i="14" s="1"/>
  <c r="A10" i="14" s="1"/>
  <c r="A13" i="14"/>
  <c r="A15" i="14" s="1"/>
  <c r="B9" i="11"/>
  <c r="B8" i="13"/>
  <c r="B8" i="14"/>
  <c r="B9" i="13"/>
  <c r="B9" i="14"/>
  <c r="B10" i="11"/>
  <c r="B10" i="14"/>
  <c r="B11" i="11"/>
  <c r="B10" i="13"/>
  <c r="F20" i="15"/>
  <c r="D5" i="20"/>
  <c r="D6" i="20" s="1"/>
  <c r="D7" i="20" s="1"/>
  <c r="D8" i="20" s="1"/>
  <c r="D9" i="20" s="1"/>
  <c r="D10" i="20" s="1"/>
  <c r="D11" i="20" s="1"/>
  <c r="D12" i="20" s="1"/>
  <c r="D13" i="20" s="1"/>
  <c r="D14" i="20" s="1"/>
  <c r="D15" i="20" s="1"/>
  <c r="D16" i="20" s="1"/>
  <c r="O10" i="32" l="1"/>
  <c r="N7" i="32"/>
  <c r="O6" i="32"/>
  <c r="O7" i="32"/>
  <c r="N29" i="32"/>
  <c r="N8" i="32"/>
  <c r="O8" i="32"/>
  <c r="O9" i="32"/>
  <c r="X13" i="20"/>
  <c r="X8" i="20"/>
  <c r="D19" i="15"/>
  <c r="E19" i="15" s="1"/>
  <c r="E20" i="15" s="1"/>
  <c r="E21" i="15" s="1"/>
  <c r="E22" i="15" s="1"/>
  <c r="E59" i="15"/>
  <c r="E60" i="15" s="1"/>
  <c r="E61" i="15" s="1"/>
  <c r="E62" i="15" s="1"/>
  <c r="X6" i="20"/>
  <c r="C110" i="20"/>
  <c r="C14" i="20"/>
  <c r="C15" i="20" s="1"/>
  <c r="C9" i="20"/>
  <c r="C10" i="20" s="1"/>
  <c r="C11" i="20" s="1"/>
  <c r="A26" i="24"/>
  <c r="C34" i="20"/>
  <c r="C95" i="20"/>
  <c r="C96" i="20" s="1"/>
  <c r="C97" i="20" s="1"/>
  <c r="C40" i="20"/>
  <c r="C82" i="20"/>
  <c r="C89" i="20"/>
  <c r="C90" i="20" s="1"/>
  <c r="C91" i="20" s="1"/>
  <c r="C28" i="20"/>
  <c r="C53" i="20"/>
  <c r="C54" i="20" s="1"/>
  <c r="C55" i="20" s="1"/>
  <c r="C64" i="20"/>
  <c r="C47" i="20"/>
  <c r="C48" i="20" s="1"/>
  <c r="C49" i="20" s="1"/>
  <c r="C58" i="20"/>
  <c r="C101" i="20"/>
  <c r="C102" i="20" s="1"/>
  <c r="C103" i="20" s="1"/>
  <c r="C104" i="20" s="1"/>
  <c r="C105" i="20" s="1"/>
  <c r="C22" i="20"/>
  <c r="C71" i="20"/>
  <c r="C72" i="20" s="1"/>
  <c r="C73" i="20" s="1"/>
  <c r="C77" i="20"/>
  <c r="C78" i="20" s="1"/>
  <c r="C79" i="20" s="1"/>
  <c r="G24" i="15"/>
  <c r="G34" i="15"/>
  <c r="L6" i="20"/>
  <c r="I29" i="15"/>
  <c r="G29" i="15"/>
  <c r="I39" i="15"/>
  <c r="G39" i="15"/>
  <c r="I49" i="15"/>
  <c r="G49" i="15"/>
  <c r="C24" i="15"/>
  <c r="D24" i="15" s="1"/>
  <c r="I24" i="15"/>
  <c r="C34" i="15"/>
  <c r="D34" i="15" s="1"/>
  <c r="I34" i="15"/>
  <c r="C44" i="15"/>
  <c r="D44" i="15" s="1"/>
  <c r="I44" i="15"/>
  <c r="E1" i="27"/>
  <c r="F1" i="27" s="1"/>
  <c r="G1" i="27" s="1"/>
  <c r="H1" i="27" s="1"/>
  <c r="I1" i="27" s="1"/>
  <c r="J1" i="27" s="1"/>
  <c r="K1" i="27" s="1"/>
  <c r="L1" i="27" s="1"/>
  <c r="M1" i="27" s="1"/>
  <c r="N1" i="27" s="1"/>
  <c r="O1" i="27" s="1"/>
  <c r="P1" i="27" s="1"/>
  <c r="Q1" i="27" s="1"/>
  <c r="R1" i="27" s="1"/>
  <c r="S1" i="27" s="1"/>
  <c r="E6" i="20"/>
  <c r="P6" i="20" s="1"/>
  <c r="E5" i="20"/>
  <c r="F5" i="20" s="1"/>
  <c r="C39" i="15"/>
  <c r="D39" i="15" s="1"/>
  <c r="D14" i="15"/>
  <c r="D15" i="15" s="1"/>
  <c r="D16" i="15" s="1"/>
  <c r="D17" i="15" s="1"/>
  <c r="C7" i="15"/>
  <c r="D7" i="15" s="1"/>
  <c r="C29" i="15"/>
  <c r="D29" i="15" s="1"/>
  <c r="E29" i="15" s="1"/>
  <c r="C49" i="15"/>
  <c r="D49" i="15" s="1"/>
  <c r="D20" i="15" l="1"/>
  <c r="N30" i="32"/>
  <c r="N10" i="32" s="1"/>
  <c r="N9" i="32"/>
  <c r="C16" i="20"/>
  <c r="X15" i="20"/>
  <c r="C111" i="20"/>
  <c r="C112" i="20" s="1"/>
  <c r="C113" i="20" s="1"/>
  <c r="C114" i="20" s="1"/>
  <c r="E49" i="15"/>
  <c r="E50" i="15" s="1"/>
  <c r="E51" i="15" s="1"/>
  <c r="E52" i="15" s="1"/>
  <c r="D45" i="15"/>
  <c r="D46" i="15" s="1"/>
  <c r="D47" i="15" s="1"/>
  <c r="E44" i="15"/>
  <c r="E45" i="15" s="1"/>
  <c r="E46" i="15" s="1"/>
  <c r="E47" i="15" s="1"/>
  <c r="E39" i="15"/>
  <c r="E40" i="15" s="1"/>
  <c r="E41" i="15" s="1"/>
  <c r="E42" i="15" s="1"/>
  <c r="E34" i="15"/>
  <c r="E35" i="15" s="1"/>
  <c r="E36" i="15" s="1"/>
  <c r="E37" i="15" s="1"/>
  <c r="D25" i="15"/>
  <c r="D26" i="15" s="1"/>
  <c r="E24" i="15"/>
  <c r="E25" i="15" s="1"/>
  <c r="E26" i="15" s="1"/>
  <c r="E27" i="15" s="1"/>
  <c r="E13" i="15"/>
  <c r="E14" i="15" s="1"/>
  <c r="E15" i="15" s="1"/>
  <c r="E16" i="15" s="1"/>
  <c r="E17" i="15" s="1"/>
  <c r="T15" i="20"/>
  <c r="Q15" i="20"/>
  <c r="C23" i="20"/>
  <c r="C24" i="20" s="1"/>
  <c r="C25" i="20" s="1"/>
  <c r="C65" i="20"/>
  <c r="C66" i="20" s="1"/>
  <c r="C67" i="20" s="1"/>
  <c r="C106" i="20"/>
  <c r="C41" i="20"/>
  <c r="C42" i="20" s="1"/>
  <c r="C29" i="20"/>
  <c r="C30" i="20" s="1"/>
  <c r="C31" i="20" s="1"/>
  <c r="C17" i="20"/>
  <c r="C18" i="20" s="1"/>
  <c r="D17" i="20"/>
  <c r="E16" i="20"/>
  <c r="F16" i="20" s="1"/>
  <c r="L7" i="20"/>
  <c r="D35" i="15"/>
  <c r="D36" i="15" s="1"/>
  <c r="D37" i="15" s="1"/>
  <c r="D40" i="15"/>
  <c r="D41" i="15" s="1"/>
  <c r="J15" i="15"/>
  <c r="J16" i="15"/>
  <c r="F6" i="20"/>
  <c r="J14" i="15"/>
  <c r="D8" i="15"/>
  <c r="E7" i="15"/>
  <c r="E8" i="15" s="1"/>
  <c r="E9" i="15" s="1"/>
  <c r="E10" i="15" s="1"/>
  <c r="E11" i="15" s="1"/>
  <c r="E30" i="15"/>
  <c r="E31" i="15" s="1"/>
  <c r="E32" i="15" s="1"/>
  <c r="D30" i="15"/>
  <c r="D21" i="15"/>
  <c r="J20" i="15"/>
  <c r="D50" i="15"/>
  <c r="J45" i="15" l="1"/>
  <c r="J46" i="15"/>
  <c r="J25" i="15"/>
  <c r="C115" i="20"/>
  <c r="C116" i="20" s="1"/>
  <c r="C117" i="20" s="1"/>
  <c r="C118" i="20" s="1"/>
  <c r="E17" i="20"/>
  <c r="F17" i="20" s="1"/>
  <c r="D18" i="20"/>
  <c r="L8" i="20"/>
  <c r="E8" i="20"/>
  <c r="J36" i="15"/>
  <c r="J35" i="15"/>
  <c r="J40" i="15"/>
  <c r="D42" i="15"/>
  <c r="J41" i="15"/>
  <c r="E7" i="20"/>
  <c r="P7" i="20" s="1"/>
  <c r="D9" i="15"/>
  <c r="J8" i="15"/>
  <c r="D31" i="15"/>
  <c r="J30" i="15"/>
  <c r="D27" i="15"/>
  <c r="J26" i="15"/>
  <c r="D51" i="15"/>
  <c r="J50" i="15"/>
  <c r="D22" i="15"/>
  <c r="J21" i="15"/>
  <c r="E18" i="20" l="1"/>
  <c r="F18" i="20" s="1"/>
  <c r="D19" i="20"/>
  <c r="E10" i="20"/>
  <c r="F10" i="20" s="1"/>
  <c r="R7" i="20"/>
  <c r="U7" i="20"/>
  <c r="L9" i="20"/>
  <c r="F8" i="20"/>
  <c r="P8" i="20"/>
  <c r="F7" i="20"/>
  <c r="W7" i="20" s="1"/>
  <c r="J9" i="15"/>
  <c r="D10" i="15"/>
  <c r="D52" i="15"/>
  <c r="J51" i="15"/>
  <c r="D32" i="15"/>
  <c r="J31" i="15"/>
  <c r="E19" i="20" l="1"/>
  <c r="F19" i="20" s="1"/>
  <c r="D20" i="20"/>
  <c r="E11" i="20"/>
  <c r="F11" i="20" s="1"/>
  <c r="D11" i="15"/>
  <c r="J10" i="15"/>
  <c r="E20" i="20" l="1"/>
  <c r="F20" i="20" s="1"/>
  <c r="D21" i="20"/>
  <c r="E12" i="20"/>
  <c r="F12" i="20" s="1"/>
  <c r="E21" i="20" l="1"/>
  <c r="F21" i="20" s="1"/>
  <c r="D22" i="20"/>
  <c r="E13" i="20"/>
  <c r="F13" i="20" s="1"/>
  <c r="L10" i="20"/>
  <c r="E9" i="20"/>
  <c r="F9" i="20" s="1"/>
  <c r="D23" i="20" l="1"/>
  <c r="E22" i="20"/>
  <c r="F22" i="20" s="1"/>
  <c r="E14" i="20"/>
  <c r="F14" i="20" s="1"/>
  <c r="L11" i="20"/>
  <c r="D24" i="20" l="1"/>
  <c r="E23" i="20"/>
  <c r="F23" i="20" s="1"/>
  <c r="E15" i="20"/>
  <c r="L12" i="20"/>
  <c r="F15" i="20" l="1"/>
  <c r="P15" i="20"/>
  <c r="E24" i="20"/>
  <c r="F24" i="20" s="1"/>
  <c r="D25" i="20"/>
  <c r="L13" i="20"/>
  <c r="E25" i="20" l="1"/>
  <c r="F25" i="20" s="1"/>
  <c r="D26" i="20"/>
  <c r="L14" i="20"/>
  <c r="E26" i="20" l="1"/>
  <c r="F26" i="20" s="1"/>
  <c r="D27" i="20"/>
  <c r="L15" i="20"/>
  <c r="E27" i="20" l="1"/>
  <c r="F27" i="20" s="1"/>
  <c r="D28" i="20"/>
  <c r="J16" i="20"/>
  <c r="K16" i="20"/>
  <c r="L17" i="20"/>
  <c r="D29" i="20" l="1"/>
  <c r="E28" i="20"/>
  <c r="F28" i="20" s="1"/>
  <c r="E29" i="20" l="1"/>
  <c r="F29" i="20" s="1"/>
  <c r="D30" i="20"/>
  <c r="L18" i="20"/>
  <c r="P14" i="20"/>
  <c r="D31" i="20" l="1"/>
  <c r="E30" i="20"/>
  <c r="F30" i="20" s="1"/>
  <c r="U14" i="20"/>
  <c r="R14" i="20"/>
  <c r="L19" i="20"/>
  <c r="J19" i="20"/>
  <c r="K19" i="20"/>
  <c r="E31" i="20" l="1"/>
  <c r="F31" i="20" s="1"/>
  <c r="D32" i="20"/>
  <c r="L20" i="20"/>
  <c r="K20" i="20"/>
  <c r="J20" i="20"/>
  <c r="F29" i="15"/>
  <c r="I5" i="20"/>
  <c r="F13" i="15"/>
  <c r="F34" i="15"/>
  <c r="F49" i="15"/>
  <c r="F24" i="15"/>
  <c r="F39" i="15"/>
  <c r="F44" i="15"/>
  <c r="F7" i="15"/>
  <c r="F19" i="15"/>
  <c r="E32" i="20" l="1"/>
  <c r="F32" i="20" s="1"/>
  <c r="D33" i="20"/>
  <c r="L21" i="20"/>
  <c r="J21" i="20"/>
  <c r="K21" i="20"/>
  <c r="K15" i="20"/>
  <c r="J15" i="20"/>
  <c r="G12" i="20"/>
  <c r="J12" i="20" s="1"/>
  <c r="K12" i="20"/>
  <c r="J14" i="20"/>
  <c r="K14" i="20"/>
  <c r="J7" i="20"/>
  <c r="K7" i="20"/>
  <c r="I68" i="20"/>
  <c r="G68" i="20"/>
  <c r="I86" i="20"/>
  <c r="G86" i="20"/>
  <c r="G74" i="20"/>
  <c r="I74" i="20"/>
  <c r="J13" i="20"/>
  <c r="K13" i="20"/>
  <c r="G62" i="20"/>
  <c r="I62" i="20"/>
  <c r="J11" i="20"/>
  <c r="K11" i="20"/>
  <c r="G104" i="20"/>
  <c r="I104" i="20"/>
  <c r="G32" i="20"/>
  <c r="I32" i="20"/>
  <c r="J10" i="20"/>
  <c r="K10" i="20"/>
  <c r="I56" i="20"/>
  <c r="G56" i="20"/>
  <c r="G26" i="20"/>
  <c r="I26" i="20"/>
  <c r="I38" i="20"/>
  <c r="G38" i="20"/>
  <c r="K9" i="20"/>
  <c r="J9" i="20"/>
  <c r="I92" i="20"/>
  <c r="G92" i="20"/>
  <c r="G98" i="20"/>
  <c r="I98" i="20"/>
  <c r="G50" i="20"/>
  <c r="I50" i="20"/>
  <c r="K6" i="20"/>
  <c r="J6" i="20"/>
  <c r="G80" i="20"/>
  <c r="I80" i="20"/>
  <c r="I44" i="20"/>
  <c r="G44" i="20"/>
  <c r="E33" i="20" l="1"/>
  <c r="F33" i="20" s="1"/>
  <c r="D34" i="20"/>
  <c r="P21" i="20"/>
  <c r="L22" i="20"/>
  <c r="J22" i="20"/>
  <c r="K22" i="20"/>
  <c r="D35" i="20" l="1"/>
  <c r="E34" i="20"/>
  <c r="F34" i="20" s="1"/>
  <c r="P22" i="20"/>
  <c r="L23" i="20"/>
  <c r="J23" i="20"/>
  <c r="K23" i="20"/>
  <c r="J18" i="20"/>
  <c r="K18" i="20"/>
  <c r="W14" i="20"/>
  <c r="Y14" i="20" s="1"/>
  <c r="K15" i="15"/>
  <c r="K9" i="15"/>
  <c r="D36" i="20" l="1"/>
  <c r="E35" i="20"/>
  <c r="F35" i="20" s="1"/>
  <c r="M15" i="15"/>
  <c r="N15" i="15" s="1"/>
  <c r="M9" i="15"/>
  <c r="N9" i="15" s="1"/>
  <c r="E36" i="20" l="1"/>
  <c r="F36" i="20" s="1"/>
  <c r="D37" i="20"/>
  <c r="E37" i="20" l="1"/>
  <c r="F37" i="20" s="1"/>
  <c r="D38" i="20"/>
  <c r="L24" i="20"/>
  <c r="D39" i="20" l="1"/>
  <c r="E38" i="20"/>
  <c r="F38" i="20" s="1"/>
  <c r="L25" i="20"/>
  <c r="E39" i="20" l="1"/>
  <c r="F39" i="20" s="1"/>
  <c r="D40" i="20"/>
  <c r="L26" i="20"/>
  <c r="E40" i="20" l="1"/>
  <c r="F40" i="20" s="1"/>
  <c r="D41" i="20"/>
  <c r="L27" i="20"/>
  <c r="K24" i="20"/>
  <c r="J24" i="20"/>
  <c r="D42" i="20" l="1"/>
  <c r="E41" i="20"/>
  <c r="F41" i="20" s="1"/>
  <c r="L28" i="20"/>
  <c r="D43" i="20" l="1"/>
  <c r="E42" i="20"/>
  <c r="F42" i="20" s="1"/>
  <c r="L29" i="20"/>
  <c r="K25" i="20"/>
  <c r="J25" i="20"/>
  <c r="E43" i="20" l="1"/>
  <c r="F43" i="20" s="1"/>
  <c r="D44" i="20"/>
  <c r="J26" i="20"/>
  <c r="K26" i="20"/>
  <c r="D45" i="20" l="1"/>
  <c r="E44" i="20"/>
  <c r="F44" i="20" s="1"/>
  <c r="P27" i="20"/>
  <c r="P28" i="20"/>
  <c r="J27" i="20"/>
  <c r="K27" i="20"/>
  <c r="D46" i="20" l="1"/>
  <c r="E45" i="20"/>
  <c r="F45" i="20" s="1"/>
  <c r="L30" i="20"/>
  <c r="J28" i="20"/>
  <c r="K28" i="20"/>
  <c r="D47" i="20" l="1"/>
  <c r="E46" i="20"/>
  <c r="F46" i="20" s="1"/>
  <c r="L31" i="20"/>
  <c r="K29" i="20"/>
  <c r="J29" i="20"/>
  <c r="D48" i="20" l="1"/>
  <c r="E47" i="20"/>
  <c r="F47" i="20" s="1"/>
  <c r="L32" i="20"/>
  <c r="D49" i="20" l="1"/>
  <c r="E48" i="20"/>
  <c r="F48" i="20" s="1"/>
  <c r="L33" i="20"/>
  <c r="D50" i="20" l="1"/>
  <c r="E49" i="20"/>
  <c r="F49" i="20" s="1"/>
  <c r="L34" i="20"/>
  <c r="K30" i="20"/>
  <c r="J30" i="20"/>
  <c r="D51" i="20" l="1"/>
  <c r="E50" i="20"/>
  <c r="F50" i="20" s="1"/>
  <c r="L35" i="20"/>
  <c r="J35" i="20"/>
  <c r="K35" i="20"/>
  <c r="D52" i="20" l="1"/>
  <c r="E51" i="20"/>
  <c r="F51" i="20" s="1"/>
  <c r="J31" i="20"/>
  <c r="K31" i="20"/>
  <c r="D53" i="20" l="1"/>
  <c r="E52" i="20"/>
  <c r="F52" i="20" s="1"/>
  <c r="J32" i="20"/>
  <c r="K32" i="20"/>
  <c r="D54" i="20" l="1"/>
  <c r="E53" i="20"/>
  <c r="F53" i="20" s="1"/>
  <c r="L36" i="20"/>
  <c r="K33" i="20"/>
  <c r="J33" i="20"/>
  <c r="P33" i="20"/>
  <c r="D55" i="20" l="1"/>
  <c r="E54" i="20"/>
  <c r="F54" i="20" s="1"/>
  <c r="L37" i="20"/>
  <c r="J34" i="20"/>
  <c r="K34" i="20"/>
  <c r="P34" i="20"/>
  <c r="D56" i="20" l="1"/>
  <c r="E55" i="20"/>
  <c r="F55" i="20" s="1"/>
  <c r="L38" i="20"/>
  <c r="D57" i="20" l="1"/>
  <c r="E56" i="20"/>
  <c r="F56" i="20" s="1"/>
  <c r="L39" i="20"/>
  <c r="D58" i="20" l="1"/>
  <c r="E57" i="20"/>
  <c r="F57" i="20" s="1"/>
  <c r="L40" i="20"/>
  <c r="D59" i="20" l="1"/>
  <c r="E58" i="20"/>
  <c r="F58" i="20" s="1"/>
  <c r="L41" i="20"/>
  <c r="J36" i="20"/>
  <c r="K36" i="20"/>
  <c r="D60" i="20" l="1"/>
  <c r="E59" i="20"/>
  <c r="F59" i="20" s="1"/>
  <c r="K37" i="20"/>
  <c r="J37" i="20"/>
  <c r="D61" i="20" l="1"/>
  <c r="E60" i="20"/>
  <c r="F60" i="20" s="1"/>
  <c r="L42" i="20"/>
  <c r="K38" i="20"/>
  <c r="J38" i="20"/>
  <c r="D62" i="20" l="1"/>
  <c r="E61" i="20"/>
  <c r="F61" i="20" s="1"/>
  <c r="L43" i="20"/>
  <c r="K39" i="20"/>
  <c r="J39" i="20"/>
  <c r="P39" i="20"/>
  <c r="D63" i="20" l="1"/>
  <c r="E62" i="20"/>
  <c r="F62" i="20" s="1"/>
  <c r="L44" i="20"/>
  <c r="P40" i="20"/>
  <c r="K40" i="20"/>
  <c r="J40" i="20"/>
  <c r="D64" i="20" l="1"/>
  <c r="E63" i="20"/>
  <c r="F63" i="20" s="1"/>
  <c r="L45" i="20"/>
  <c r="J41" i="20"/>
  <c r="K41" i="20"/>
  <c r="D65" i="20" l="1"/>
  <c r="E64" i="20"/>
  <c r="F64" i="20" s="1"/>
  <c r="L46" i="20"/>
  <c r="D66" i="20" l="1"/>
  <c r="E65" i="20"/>
  <c r="F65" i="20" s="1"/>
  <c r="L47" i="20"/>
  <c r="D67" i="20" l="1"/>
  <c r="E66" i="20"/>
  <c r="F66" i="20" s="1"/>
  <c r="J42" i="20"/>
  <c r="K42" i="20"/>
  <c r="D68" i="20" l="1"/>
  <c r="E67" i="20"/>
  <c r="F67" i="20" s="1"/>
  <c r="L48" i="20"/>
  <c r="J43" i="20"/>
  <c r="K43" i="20"/>
  <c r="D69" i="20" l="1"/>
  <c r="E68" i="20"/>
  <c r="F68" i="20" s="1"/>
  <c r="L49" i="20"/>
  <c r="J44" i="20"/>
  <c r="K44" i="20"/>
  <c r="D70" i="20" l="1"/>
  <c r="Q72" i="20" s="1"/>
  <c r="E69" i="20"/>
  <c r="F69" i="20" s="1"/>
  <c r="L50" i="20"/>
  <c r="P45" i="20"/>
  <c r="J45" i="20"/>
  <c r="K45" i="20"/>
  <c r="D71" i="20" l="1"/>
  <c r="E70" i="20"/>
  <c r="F70" i="20" s="1"/>
  <c r="L51" i="20"/>
  <c r="P46" i="20"/>
  <c r="J46" i="20"/>
  <c r="K46" i="20"/>
  <c r="D72" i="20" l="1"/>
  <c r="E71" i="20"/>
  <c r="F71" i="20" s="1"/>
  <c r="L52" i="20"/>
  <c r="K47" i="20"/>
  <c r="J47" i="20"/>
  <c r="D73" i="20" l="1"/>
  <c r="E72" i="20"/>
  <c r="F72" i="20" s="1"/>
  <c r="L53" i="20"/>
  <c r="D74" i="20" l="1"/>
  <c r="E73" i="20"/>
  <c r="F73" i="20" s="1"/>
  <c r="K48" i="20"/>
  <c r="J48" i="20"/>
  <c r="D75" i="20" l="1"/>
  <c r="E74" i="20"/>
  <c r="F74" i="20" s="1"/>
  <c r="L54" i="20"/>
  <c r="D76" i="20" l="1"/>
  <c r="E75" i="20"/>
  <c r="F75" i="20" s="1"/>
  <c r="L55" i="20"/>
  <c r="J49" i="20"/>
  <c r="K49" i="20"/>
  <c r="D77" i="20" l="1"/>
  <c r="E76" i="20"/>
  <c r="F76" i="20" s="1"/>
  <c r="L56" i="20"/>
  <c r="J56" i="20"/>
  <c r="K56" i="20"/>
  <c r="K50" i="20"/>
  <c r="J50" i="20"/>
  <c r="D78" i="20" l="1"/>
  <c r="E77" i="20"/>
  <c r="F77" i="20" s="1"/>
  <c r="L57" i="20"/>
  <c r="K51" i="20"/>
  <c r="J51" i="20"/>
  <c r="J57" i="20"/>
  <c r="K57" i="20"/>
  <c r="P51" i="20"/>
  <c r="D79" i="20" l="1"/>
  <c r="E78" i="20"/>
  <c r="F78" i="20" s="1"/>
  <c r="P57" i="20"/>
  <c r="P58" i="20"/>
  <c r="L58" i="20"/>
  <c r="P52" i="20"/>
  <c r="K52" i="20"/>
  <c r="J52" i="20"/>
  <c r="K58" i="20"/>
  <c r="J58" i="20"/>
  <c r="D80" i="20" l="1"/>
  <c r="E79" i="20"/>
  <c r="F79" i="20" s="1"/>
  <c r="L59" i="20"/>
  <c r="J53" i="20"/>
  <c r="K53" i="20"/>
  <c r="K59" i="20"/>
  <c r="J59" i="20"/>
  <c r="D81" i="20" l="1"/>
  <c r="E80" i="20"/>
  <c r="F80" i="20" s="1"/>
  <c r="L60" i="20"/>
  <c r="K60" i="20"/>
  <c r="J60" i="20"/>
  <c r="K54" i="20"/>
  <c r="J54" i="20"/>
  <c r="D82" i="20" l="1"/>
  <c r="E81" i="20"/>
  <c r="F81" i="20" s="1"/>
  <c r="L61" i="20"/>
  <c r="D83" i="20" l="1"/>
  <c r="E82" i="20"/>
  <c r="F82" i="20" s="1"/>
  <c r="L62" i="20"/>
  <c r="K55" i="20"/>
  <c r="J55" i="20"/>
  <c r="D84" i="20" l="1"/>
  <c r="E83" i="20"/>
  <c r="F83" i="20" s="1"/>
  <c r="L63" i="20"/>
  <c r="D85" i="20" l="1"/>
  <c r="E84" i="20"/>
  <c r="F84" i="20" s="1"/>
  <c r="L64" i="20"/>
  <c r="K61" i="20"/>
  <c r="J61" i="20"/>
  <c r="D86" i="20" l="1"/>
  <c r="E85" i="20"/>
  <c r="F85" i="20" s="1"/>
  <c r="L65" i="20"/>
  <c r="J62" i="20"/>
  <c r="K62" i="20"/>
  <c r="D87" i="20" l="1"/>
  <c r="E86" i="20"/>
  <c r="F86" i="20" s="1"/>
  <c r="P63" i="20"/>
  <c r="J63" i="20"/>
  <c r="K63" i="20"/>
  <c r="D88" i="20" l="1"/>
  <c r="E87" i="20"/>
  <c r="F87" i="20" s="1"/>
  <c r="P64" i="20"/>
  <c r="K64" i="20"/>
  <c r="J64" i="20"/>
  <c r="D89" i="20" l="1"/>
  <c r="E88" i="20"/>
  <c r="F88" i="20" s="1"/>
  <c r="L66" i="20"/>
  <c r="J65" i="20"/>
  <c r="K65" i="20"/>
  <c r="D90" i="20" l="1"/>
  <c r="E89" i="20"/>
  <c r="F89" i="20" s="1"/>
  <c r="L67" i="20"/>
  <c r="D91" i="20" l="1"/>
  <c r="E90" i="20"/>
  <c r="F90" i="20" s="1"/>
  <c r="L68" i="20"/>
  <c r="D92" i="20" l="1"/>
  <c r="E91" i="20"/>
  <c r="F91" i="20" s="1"/>
  <c r="L69" i="20"/>
  <c r="J66" i="20"/>
  <c r="K66" i="20"/>
  <c r="D93" i="20" l="1"/>
  <c r="E92" i="20"/>
  <c r="F92" i="20" s="1"/>
  <c r="L70" i="20"/>
  <c r="D94" i="20" l="1"/>
  <c r="E93" i="20"/>
  <c r="F93" i="20" s="1"/>
  <c r="L71" i="20"/>
  <c r="K67" i="20"/>
  <c r="J67" i="20"/>
  <c r="D95" i="20" l="1"/>
  <c r="E94" i="20"/>
  <c r="F94" i="20" s="1"/>
  <c r="J68" i="20"/>
  <c r="K68" i="20"/>
  <c r="D96" i="20" l="1"/>
  <c r="E95" i="20"/>
  <c r="F95" i="20" s="1"/>
  <c r="P69" i="20"/>
  <c r="J69" i="20"/>
  <c r="K69" i="20"/>
  <c r="D97" i="20" l="1"/>
  <c r="E96" i="20"/>
  <c r="F96" i="20" s="1"/>
  <c r="L72" i="20"/>
  <c r="R69" i="20"/>
  <c r="P70" i="20"/>
  <c r="J70" i="20"/>
  <c r="K70" i="20"/>
  <c r="D98" i="20" l="1"/>
  <c r="E97" i="20"/>
  <c r="F97" i="20" s="1"/>
  <c r="L73" i="20"/>
  <c r="R70" i="20"/>
  <c r="R71" i="20" s="1"/>
  <c r="K71" i="20"/>
  <c r="J71" i="20"/>
  <c r="D99" i="20" l="1"/>
  <c r="X99" i="20" s="1"/>
  <c r="E98" i="20"/>
  <c r="F98" i="20" s="1"/>
  <c r="L74" i="20"/>
  <c r="D100" i="20" l="1"/>
  <c r="X100" i="20" s="1"/>
  <c r="E99" i="20"/>
  <c r="F99" i="20" s="1"/>
  <c r="L75" i="20"/>
  <c r="D101" i="20" l="1"/>
  <c r="E100" i="20"/>
  <c r="F100" i="20" s="1"/>
  <c r="L76" i="20"/>
  <c r="J72" i="20"/>
  <c r="K72" i="20"/>
  <c r="D102" i="20" l="1"/>
  <c r="E101" i="20"/>
  <c r="F101" i="20" s="1"/>
  <c r="L77" i="20"/>
  <c r="D103" i="20" l="1"/>
  <c r="E102" i="20"/>
  <c r="F102" i="20" s="1"/>
  <c r="J73" i="20"/>
  <c r="K73" i="20"/>
  <c r="D104" i="20" l="1"/>
  <c r="E103" i="20"/>
  <c r="F103" i="20" s="1"/>
  <c r="K74" i="20"/>
  <c r="J74" i="20"/>
  <c r="D105" i="20" l="1"/>
  <c r="E104" i="20"/>
  <c r="F104" i="20" s="1"/>
  <c r="L78" i="20"/>
  <c r="P75" i="20"/>
  <c r="J75" i="20"/>
  <c r="K75" i="20"/>
  <c r="D106" i="20" l="1"/>
  <c r="E105" i="20"/>
  <c r="F105" i="20" s="1"/>
  <c r="L79" i="20"/>
  <c r="R75" i="20"/>
  <c r="K76" i="20"/>
  <c r="J76" i="20"/>
  <c r="P76" i="20"/>
  <c r="D107" i="20" l="1"/>
  <c r="E106" i="20"/>
  <c r="F106" i="20" s="1"/>
  <c r="L80" i="20"/>
  <c r="R76" i="20"/>
  <c r="R77" i="20" s="1"/>
  <c r="K77" i="20"/>
  <c r="J77" i="20"/>
  <c r="D108" i="20" l="1"/>
  <c r="D109" i="20" s="1"/>
  <c r="E107" i="20"/>
  <c r="F107" i="20" s="1"/>
  <c r="L81" i="20"/>
  <c r="J78" i="20"/>
  <c r="K78" i="20"/>
  <c r="E109" i="20" l="1"/>
  <c r="F109" i="20" s="1"/>
  <c r="K109" i="20"/>
  <c r="J109" i="20"/>
  <c r="E108" i="20"/>
  <c r="F108" i="20" s="1"/>
  <c r="L82" i="20"/>
  <c r="D110" i="20" l="1"/>
  <c r="X110" i="20" s="1"/>
  <c r="L83" i="20"/>
  <c r="J79" i="20"/>
  <c r="K79" i="20"/>
  <c r="E110" i="20" l="1"/>
  <c r="P110" i="20" s="1"/>
  <c r="D111" i="20"/>
  <c r="X111" i="20" s="1"/>
  <c r="L110" i="20"/>
  <c r="J110" i="20"/>
  <c r="K110" i="20"/>
  <c r="K80" i="20"/>
  <c r="J80" i="20"/>
  <c r="D112" i="20" l="1"/>
  <c r="X112" i="20" s="1"/>
  <c r="L111" i="20"/>
  <c r="E111" i="20"/>
  <c r="J111" i="20"/>
  <c r="K111" i="20"/>
  <c r="F110" i="20"/>
  <c r="P81" i="20"/>
  <c r="J81" i="20"/>
  <c r="K81" i="20"/>
  <c r="K112" i="20" l="1"/>
  <c r="J112" i="20"/>
  <c r="D113" i="20"/>
  <c r="D114" i="20" s="1"/>
  <c r="K114" i="20" s="1"/>
  <c r="L112" i="20"/>
  <c r="E112" i="20"/>
  <c r="F112" i="20" s="1"/>
  <c r="F111" i="20"/>
  <c r="P111" i="20"/>
  <c r="L84" i="20"/>
  <c r="P82" i="20"/>
  <c r="K82" i="20"/>
  <c r="J82" i="20"/>
  <c r="J113" i="20" l="1"/>
  <c r="K113" i="20"/>
  <c r="L113" i="20"/>
  <c r="E113" i="20"/>
  <c r="F113" i="20" s="1"/>
  <c r="E114" i="20"/>
  <c r="F114" i="20" s="1"/>
  <c r="D115" i="20"/>
  <c r="K115" i="20" s="1"/>
  <c r="J114" i="20"/>
  <c r="J85" i="20"/>
  <c r="K85" i="20"/>
  <c r="J83" i="20"/>
  <c r="K83" i="20"/>
  <c r="J115" i="20" l="1"/>
  <c r="D116" i="20"/>
  <c r="L115" i="20"/>
  <c r="E115" i="20"/>
  <c r="L116" i="20"/>
  <c r="D117" i="20"/>
  <c r="E116" i="20"/>
  <c r="K116" i="20"/>
  <c r="J116" i="20"/>
  <c r="F115" i="20"/>
  <c r="P115" i="20"/>
  <c r="L86" i="20"/>
  <c r="J86" i="20"/>
  <c r="K86" i="20"/>
  <c r="F116" i="20" l="1"/>
  <c r="P116" i="20"/>
  <c r="E117" i="20"/>
  <c r="F117" i="20" s="1"/>
  <c r="L117" i="20"/>
  <c r="D118" i="20"/>
  <c r="K117" i="20"/>
  <c r="J117" i="20"/>
  <c r="L87" i="20"/>
  <c r="J87" i="20"/>
  <c r="K87" i="20"/>
  <c r="L118" i="20" l="1"/>
  <c r="E118" i="20"/>
  <c r="F118" i="20" s="1"/>
  <c r="K118" i="20"/>
  <c r="J118" i="20"/>
  <c r="P87" i="20"/>
  <c r="L88" i="20"/>
  <c r="K88" i="20"/>
  <c r="J88" i="20"/>
  <c r="J84" i="20"/>
  <c r="K84" i="20"/>
  <c r="P88" i="20" l="1"/>
  <c r="L89" i="20"/>
  <c r="K89" i="20"/>
  <c r="J89" i="20"/>
  <c r="L90" i="20" l="1"/>
  <c r="J90" i="20"/>
  <c r="K90" i="20"/>
  <c r="L91" i="20" l="1"/>
  <c r="K91" i="20"/>
  <c r="J91" i="20"/>
  <c r="L92" i="20" l="1"/>
  <c r="J92" i="20"/>
  <c r="K92" i="20"/>
  <c r="L93" i="20" l="1"/>
  <c r="J93" i="20"/>
  <c r="K93" i="20"/>
  <c r="P93" i="20" l="1"/>
  <c r="L94" i="20"/>
  <c r="J94" i="20"/>
  <c r="K94" i="20"/>
  <c r="P94" i="20" l="1"/>
  <c r="L95" i="20"/>
  <c r="J95" i="20"/>
  <c r="K95" i="20"/>
  <c r="L96" i="20" l="1"/>
  <c r="K96" i="20"/>
  <c r="J96" i="20"/>
  <c r="J97" i="20" l="1"/>
  <c r="K97" i="20"/>
  <c r="L98" i="20" l="1"/>
  <c r="K98" i="20"/>
  <c r="J98" i="20"/>
  <c r="X101" i="20"/>
  <c r="L99" i="20" l="1"/>
  <c r="J99" i="20"/>
  <c r="K99" i="20"/>
  <c r="P99" i="20" l="1"/>
  <c r="L100" i="20"/>
  <c r="J100" i="20"/>
  <c r="K100" i="20"/>
  <c r="P100" i="20" l="1"/>
  <c r="L101" i="20"/>
  <c r="K101" i="20"/>
  <c r="J101" i="20"/>
  <c r="L102" i="20" l="1"/>
  <c r="L103" i="20"/>
  <c r="J103" i="20"/>
  <c r="K103" i="20"/>
  <c r="K102" i="20"/>
  <c r="J102" i="20"/>
  <c r="L104" i="20" l="1"/>
  <c r="K104" i="20"/>
  <c r="J104" i="20"/>
  <c r="L105" i="20" l="1"/>
  <c r="J105" i="20"/>
  <c r="K105" i="20"/>
  <c r="P105" i="20" l="1"/>
  <c r="L106" i="20"/>
  <c r="J106" i="20"/>
  <c r="K106" i="20"/>
  <c r="L107" i="20" l="1"/>
  <c r="J107" i="20"/>
  <c r="K107" i="20"/>
  <c r="P106" i="20"/>
  <c r="L108" i="20" l="1"/>
  <c r="K108" i="20"/>
  <c r="J108" i="20"/>
  <c r="E31" i="27" l="1"/>
  <c r="D31" i="27"/>
  <c r="R15" i="20" l="1"/>
  <c r="Q18" i="20" l="1"/>
  <c r="D16" i="27" s="1"/>
  <c r="L3" i="67" l="1"/>
  <c r="M3" i="67" s="1"/>
  <c r="D15" i="13"/>
  <c r="T111" i="20"/>
  <c r="T113" i="20" s="1"/>
  <c r="T116" i="20"/>
  <c r="T118" i="20" s="1"/>
  <c r="T110" i="20"/>
  <c r="T115" i="20"/>
  <c r="R93" i="20"/>
  <c r="Q106" i="20"/>
  <c r="Q100" i="20"/>
  <c r="Q88" i="20"/>
  <c r="Q111" i="20"/>
  <c r="Q116" i="20"/>
  <c r="Q115" i="20"/>
  <c r="Q110" i="20"/>
  <c r="R88" i="20" l="1"/>
  <c r="Q90" i="20"/>
  <c r="D26" i="27" s="1"/>
  <c r="U115" i="20"/>
  <c r="U110" i="20"/>
  <c r="U116" i="20"/>
  <c r="X113" i="20"/>
  <c r="U111" i="20"/>
  <c r="T96" i="20"/>
  <c r="U94" i="20"/>
  <c r="U93" i="20"/>
  <c r="T78" i="20"/>
  <c r="U76" i="20"/>
  <c r="U75" i="20"/>
  <c r="T72" i="20"/>
  <c r="U70" i="20"/>
  <c r="U69" i="20"/>
  <c r="C29" i="27"/>
  <c r="R110" i="20"/>
  <c r="C30" i="27"/>
  <c r="R115" i="20"/>
  <c r="Q118" i="20"/>
  <c r="D30" i="27" s="1"/>
  <c r="R116" i="20"/>
  <c r="R111" i="20"/>
  <c r="Q113" i="20"/>
  <c r="D29" i="27" s="1"/>
  <c r="R100" i="20"/>
  <c r="Q102" i="20"/>
  <c r="D27" i="27" s="1"/>
  <c r="R106" i="20"/>
  <c r="Q108" i="20"/>
  <c r="D28" i="27" s="1"/>
  <c r="Q96" i="20"/>
  <c r="R94" i="20"/>
  <c r="R95" i="20" s="1"/>
  <c r="L3" i="79" l="1"/>
  <c r="M3" i="79" s="1"/>
  <c r="L3" i="78"/>
  <c r="M3" i="78" s="1"/>
  <c r="L3" i="76"/>
  <c r="M3" i="76" s="1"/>
  <c r="L3" i="77"/>
  <c r="M3" i="77" s="1"/>
  <c r="L3" i="75"/>
  <c r="M3" i="75" s="1"/>
  <c r="C29" i="13"/>
  <c r="L2" i="78"/>
  <c r="M2" i="78" s="1"/>
  <c r="C28" i="13"/>
  <c r="L2" i="79"/>
  <c r="M2" i="79" s="1"/>
  <c r="D26" i="13"/>
  <c r="D28" i="13"/>
  <c r="D27" i="13"/>
  <c r="D29" i="13"/>
  <c r="D25" i="13"/>
  <c r="U117" i="20"/>
  <c r="J30" i="27" s="1"/>
  <c r="R112" i="20"/>
  <c r="E29" i="27" s="1"/>
  <c r="U95" i="20"/>
  <c r="R117" i="20"/>
  <c r="E30" i="27" s="1"/>
  <c r="N29" i="27"/>
  <c r="N30" i="27"/>
  <c r="U71" i="20"/>
  <c r="U77" i="20"/>
  <c r="U112" i="20"/>
  <c r="J29" i="27" s="1"/>
  <c r="M29" i="27"/>
  <c r="M30" i="27"/>
  <c r="M29" i="13" s="1"/>
  <c r="E29" i="13" l="1"/>
  <c r="E28" i="13"/>
  <c r="L3" i="99"/>
  <c r="M3" i="99" s="1"/>
  <c r="L2" i="99"/>
  <c r="M2" i="99" s="1"/>
  <c r="M28" i="13"/>
  <c r="G29" i="11"/>
  <c r="C30" i="11"/>
  <c r="C29" i="11"/>
  <c r="G30" i="11"/>
  <c r="F29" i="27"/>
  <c r="F30" i="27"/>
  <c r="K30" i="27"/>
  <c r="N29" i="13"/>
  <c r="O29" i="13" s="1"/>
  <c r="N28" i="13"/>
  <c r="K29" i="27"/>
  <c r="O28" i="13" l="1"/>
  <c r="E30" i="11"/>
  <c r="E29" i="11"/>
  <c r="Q99" i="20"/>
  <c r="Q87" i="20"/>
  <c r="R87" i="20" l="1"/>
  <c r="R89" i="20" s="1"/>
  <c r="E26" i="27" s="1"/>
  <c r="C26" i="27"/>
  <c r="R99" i="20"/>
  <c r="R101" i="20" s="1"/>
  <c r="E27" i="27" s="1"/>
  <c r="C27" i="27"/>
  <c r="Q105" i="20"/>
  <c r="C26" i="13" l="1"/>
  <c r="E26" i="13" s="1"/>
  <c r="L2" i="76"/>
  <c r="M2" i="76" s="1"/>
  <c r="C25" i="13"/>
  <c r="E25" i="13" s="1"/>
  <c r="L2" i="75"/>
  <c r="M2" i="75" s="1"/>
  <c r="C27" i="11"/>
  <c r="C26" i="11"/>
  <c r="C28" i="27"/>
  <c r="R105" i="20"/>
  <c r="R107" i="20" s="1"/>
  <c r="E28" i="27" s="1"/>
  <c r="F27" i="27"/>
  <c r="F26" i="27"/>
  <c r="C27" i="13" l="1"/>
  <c r="E27" i="13" s="1"/>
  <c r="L2" i="77"/>
  <c r="M2" i="77" s="1"/>
  <c r="C28" i="11"/>
  <c r="F28" i="27"/>
  <c r="T88" i="20"/>
  <c r="T106" i="20"/>
  <c r="T100" i="20"/>
  <c r="T105" i="20"/>
  <c r="T99" i="20"/>
  <c r="T87" i="20"/>
  <c r="U105" i="20" l="1"/>
  <c r="U87" i="20"/>
  <c r="T102" i="20"/>
  <c r="X102" i="20"/>
  <c r="N27" i="27" s="1"/>
  <c r="U100" i="20"/>
  <c r="T108" i="20"/>
  <c r="N28" i="27"/>
  <c r="N27" i="13" s="1"/>
  <c r="U106" i="20"/>
  <c r="U99" i="20"/>
  <c r="T90" i="20"/>
  <c r="N26" i="27"/>
  <c r="N25" i="13" s="1"/>
  <c r="U88" i="20"/>
  <c r="L3" i="98" l="1"/>
  <c r="M3" i="98" s="1"/>
  <c r="N26" i="13"/>
  <c r="U89" i="20"/>
  <c r="J26" i="27" s="1"/>
  <c r="U101" i="20"/>
  <c r="J27" i="27" s="1"/>
  <c r="M26" i="27"/>
  <c r="M25" i="13" s="1"/>
  <c r="M27" i="27"/>
  <c r="U107" i="20"/>
  <c r="J28" i="27" s="1"/>
  <c r="M28" i="27"/>
  <c r="M27" i="13" s="1"/>
  <c r="O27" i="13" s="1"/>
  <c r="L2" i="98" l="1"/>
  <c r="M2" i="98" s="1"/>
  <c r="M26" i="13"/>
  <c r="O26" i="13" s="1"/>
  <c r="G28" i="11"/>
  <c r="E28" i="11" s="1"/>
  <c r="G27" i="11"/>
  <c r="E27" i="11" s="1"/>
  <c r="G26" i="11"/>
  <c r="E26" i="11" s="1"/>
  <c r="O25" i="13"/>
  <c r="K26" i="27"/>
  <c r="K27" i="27"/>
  <c r="K28" i="27"/>
  <c r="T82" i="20" l="1"/>
  <c r="Q34" i="20"/>
  <c r="Q58" i="20"/>
  <c r="T58" i="20"/>
  <c r="T34" i="20"/>
  <c r="Q28" i="20"/>
  <c r="T40" i="20"/>
  <c r="Q60" i="20" l="1"/>
  <c r="D23" i="27" s="1"/>
  <c r="R58" i="20"/>
  <c r="Q36" i="20"/>
  <c r="D19" i="27" s="1"/>
  <c r="R34" i="20"/>
  <c r="U82" i="20"/>
  <c r="N25" i="27"/>
  <c r="T84" i="20"/>
  <c r="U40" i="20"/>
  <c r="T42" i="20"/>
  <c r="Q30" i="20"/>
  <c r="D18" i="27" s="1"/>
  <c r="R28" i="20"/>
  <c r="U34" i="20"/>
  <c r="T36" i="20"/>
  <c r="U58" i="20"/>
  <c r="T60" i="20"/>
  <c r="T22" i="20"/>
  <c r="Q40" i="20"/>
  <c r="T46" i="20"/>
  <c r="Q82" i="20"/>
  <c r="T28" i="20"/>
  <c r="Q46" i="20"/>
  <c r="T52" i="20"/>
  <c r="Q52" i="20"/>
  <c r="Q33" i="20"/>
  <c r="Q57" i="20"/>
  <c r="L3" i="70" l="1"/>
  <c r="M3" i="70" s="1"/>
  <c r="L3" i="73"/>
  <c r="M3" i="73" s="1"/>
  <c r="D18" i="13"/>
  <c r="D17" i="13"/>
  <c r="N24" i="13"/>
  <c r="U46" i="20"/>
  <c r="T48" i="20"/>
  <c r="Q42" i="20"/>
  <c r="D20" i="27" s="1"/>
  <c r="R40" i="20"/>
  <c r="C23" i="27"/>
  <c r="R57" i="20"/>
  <c r="R59" i="20" s="1"/>
  <c r="E23" i="27" s="1"/>
  <c r="N20" i="27"/>
  <c r="R52" i="20"/>
  <c r="Q54" i="20"/>
  <c r="D22" i="27" s="1"/>
  <c r="Q48" i="20"/>
  <c r="D21" i="27" s="1"/>
  <c r="R46" i="20"/>
  <c r="U28" i="20"/>
  <c r="T30" i="20"/>
  <c r="N23" i="27"/>
  <c r="U22" i="20"/>
  <c r="T24" i="20"/>
  <c r="C19" i="27"/>
  <c r="L2" i="73" s="1"/>
  <c r="M2" i="73" s="1"/>
  <c r="R33" i="20"/>
  <c r="R35" i="20" s="1"/>
  <c r="E19" i="27" s="1"/>
  <c r="Q84" i="20"/>
  <c r="D25" i="27" s="1"/>
  <c r="R82" i="20"/>
  <c r="N19" i="27"/>
  <c r="N18" i="13" s="1"/>
  <c r="U52" i="20"/>
  <c r="T54" i="20"/>
  <c r="D22" i="13"/>
  <c r="Q51" i="20"/>
  <c r="Q45" i="20"/>
  <c r="Q27" i="20"/>
  <c r="Q81" i="20"/>
  <c r="Q39" i="20"/>
  <c r="L3" i="74" l="1"/>
  <c r="M3" i="74" s="1"/>
  <c r="L3" i="72"/>
  <c r="M3" i="72" s="1"/>
  <c r="L3" i="69"/>
  <c r="M3" i="69" s="1"/>
  <c r="L3" i="71"/>
  <c r="M3" i="71" s="1"/>
  <c r="C18" i="13"/>
  <c r="E18" i="13" s="1"/>
  <c r="D20" i="13"/>
  <c r="D21" i="13"/>
  <c r="C23" i="11"/>
  <c r="C19" i="11"/>
  <c r="D10" i="27"/>
  <c r="C22" i="13"/>
  <c r="E22" i="13" s="1"/>
  <c r="F19" i="27"/>
  <c r="N19" i="13"/>
  <c r="F23" i="27"/>
  <c r="C21" i="27"/>
  <c r="L2" i="71" s="1"/>
  <c r="M2" i="71" s="1"/>
  <c r="R45" i="20"/>
  <c r="R47" i="20" s="1"/>
  <c r="E21" i="27" s="1"/>
  <c r="N18" i="27"/>
  <c r="N17" i="13" s="1"/>
  <c r="D24" i="13"/>
  <c r="C20" i="27"/>
  <c r="L2" i="72" s="1"/>
  <c r="M2" i="72" s="1"/>
  <c r="R39" i="20"/>
  <c r="R41" i="20" s="1"/>
  <c r="E20" i="27" s="1"/>
  <c r="C18" i="27"/>
  <c r="L2" i="70" s="1"/>
  <c r="M2" i="70" s="1"/>
  <c r="R27" i="20"/>
  <c r="R29" i="20" s="1"/>
  <c r="E18" i="27" s="1"/>
  <c r="R51" i="20"/>
  <c r="R53" i="20" s="1"/>
  <c r="E22" i="27" s="1"/>
  <c r="C22" i="27"/>
  <c r="L2" i="74" s="1"/>
  <c r="M2" i="74" s="1"/>
  <c r="N22" i="27"/>
  <c r="N21" i="13" s="1"/>
  <c r="D19" i="13"/>
  <c r="Q22" i="20"/>
  <c r="N22" i="13"/>
  <c r="C25" i="27"/>
  <c r="L2" i="69" s="1"/>
  <c r="M2" i="69" s="1"/>
  <c r="R81" i="20"/>
  <c r="R83" i="20" s="1"/>
  <c r="E25" i="27" s="1"/>
  <c r="T33" i="20"/>
  <c r="T57" i="20"/>
  <c r="Q21" i="20"/>
  <c r="C20" i="13" l="1"/>
  <c r="E20" i="13" s="1"/>
  <c r="C21" i="13"/>
  <c r="E21" i="13" s="1"/>
  <c r="C17" i="13"/>
  <c r="E17" i="13" s="1"/>
  <c r="D10" i="13"/>
  <c r="C18" i="11"/>
  <c r="C25" i="11"/>
  <c r="C22" i="11"/>
  <c r="C21" i="11"/>
  <c r="C20" i="11"/>
  <c r="E10" i="27"/>
  <c r="C10" i="27"/>
  <c r="F20" i="27"/>
  <c r="C19" i="13"/>
  <c r="U57" i="20"/>
  <c r="U59" i="20" s="1"/>
  <c r="J23" i="27" s="1"/>
  <c r="H23" i="27"/>
  <c r="C17" i="27"/>
  <c r="L2" i="68" s="1"/>
  <c r="M2" i="68" s="1"/>
  <c r="R21" i="20"/>
  <c r="F25" i="27"/>
  <c r="Q24" i="20"/>
  <c r="D17" i="27" s="1"/>
  <c r="R22" i="20"/>
  <c r="F22" i="27"/>
  <c r="C24" i="13"/>
  <c r="U33" i="20"/>
  <c r="U35" i="20" s="1"/>
  <c r="J19" i="27" s="1"/>
  <c r="H19" i="27"/>
  <c r="L2" i="87" s="1"/>
  <c r="M2" i="87" s="1"/>
  <c r="F18" i="27"/>
  <c r="F21" i="27"/>
  <c r="T51" i="20"/>
  <c r="T45" i="20"/>
  <c r="T27" i="20"/>
  <c r="T81" i="20"/>
  <c r="T39" i="20"/>
  <c r="L3" i="68" l="1"/>
  <c r="M3" i="68" s="1"/>
  <c r="I18" i="13"/>
  <c r="C9" i="27"/>
  <c r="D301" i="11" s="1"/>
  <c r="C10" i="13"/>
  <c r="D9" i="27"/>
  <c r="C11" i="11"/>
  <c r="L57" i="59" s="1"/>
  <c r="G23" i="11"/>
  <c r="E23" i="11" s="1"/>
  <c r="G19" i="11"/>
  <c r="E19" i="11" s="1"/>
  <c r="E24" i="13"/>
  <c r="E19" i="13"/>
  <c r="E10" i="13" s="1"/>
  <c r="R23" i="20"/>
  <c r="E17" i="27" s="1"/>
  <c r="M19" i="27"/>
  <c r="M18" i="13" s="1"/>
  <c r="O18" i="13" s="1"/>
  <c r="I22" i="13"/>
  <c r="U45" i="20"/>
  <c r="U47" i="20" s="1"/>
  <c r="J21" i="27" s="1"/>
  <c r="H21" i="27"/>
  <c r="L2" i="86" s="1"/>
  <c r="M2" i="86" s="1"/>
  <c r="K19" i="27"/>
  <c r="M23" i="27"/>
  <c r="U81" i="20"/>
  <c r="U83" i="20" s="1"/>
  <c r="J25" i="27" s="1"/>
  <c r="H25" i="27"/>
  <c r="L2" i="83" s="1"/>
  <c r="M2" i="83" s="1"/>
  <c r="D16" i="13"/>
  <c r="D9" i="13" s="1"/>
  <c r="K23" i="27"/>
  <c r="U51" i="20"/>
  <c r="U53" i="20" s="1"/>
  <c r="J22" i="27" s="1"/>
  <c r="H22" i="27"/>
  <c r="L2" i="88" s="1"/>
  <c r="M2" i="88" s="1"/>
  <c r="F10" i="27"/>
  <c r="C10" i="14" s="1"/>
  <c r="U39" i="20"/>
  <c r="U41" i="20" s="1"/>
  <c r="J20" i="27" s="1"/>
  <c r="H20" i="27"/>
  <c r="L2" i="84" s="1"/>
  <c r="M2" i="84" s="1"/>
  <c r="U27" i="20"/>
  <c r="U29" i="20" s="1"/>
  <c r="J18" i="27" s="1"/>
  <c r="H18" i="27"/>
  <c r="L2" i="85" s="1"/>
  <c r="M2" i="85" s="1"/>
  <c r="C16" i="13"/>
  <c r="C9" i="13" s="1"/>
  <c r="T21" i="20"/>
  <c r="I20" i="13" l="1"/>
  <c r="I21" i="13"/>
  <c r="I17" i="13"/>
  <c r="G22" i="11"/>
  <c r="E22" i="11" s="1"/>
  <c r="G18" i="11"/>
  <c r="E18" i="11" s="1"/>
  <c r="G25" i="11"/>
  <c r="E25" i="11" s="1"/>
  <c r="G21" i="11"/>
  <c r="E21" i="11" s="1"/>
  <c r="E9" i="27"/>
  <c r="C17" i="11"/>
  <c r="J10" i="27"/>
  <c r="K10" i="27" s="1"/>
  <c r="G49" i="52" s="1"/>
  <c r="G22" i="52" s="1"/>
  <c r="G20" i="11"/>
  <c r="F17" i="27"/>
  <c r="I19" i="13"/>
  <c r="M20" i="27"/>
  <c r="K20" i="27"/>
  <c r="U21" i="20"/>
  <c r="U23" i="20" s="1"/>
  <c r="J17" i="27" s="1"/>
  <c r="H17" i="27"/>
  <c r="L2" i="82" s="1"/>
  <c r="M2" i="82" s="1"/>
  <c r="E256" i="27"/>
  <c r="E301" i="13"/>
  <c r="K21" i="27"/>
  <c r="M18" i="27"/>
  <c r="M17" i="13" s="1"/>
  <c r="O17" i="13" s="1"/>
  <c r="E16" i="13"/>
  <c r="E9" i="13" s="1"/>
  <c r="K18" i="27"/>
  <c r="M22" i="27"/>
  <c r="M21" i="13" s="1"/>
  <c r="O21" i="13" s="1"/>
  <c r="M25" i="27"/>
  <c r="K22" i="27"/>
  <c r="I24" i="13"/>
  <c r="K25" i="27"/>
  <c r="M22" i="13"/>
  <c r="G23" i="52" l="1"/>
  <c r="H9" i="27"/>
  <c r="F50" i="52" s="1"/>
  <c r="J9" i="27"/>
  <c r="K9" i="27" s="1"/>
  <c r="F49" i="52" s="1"/>
  <c r="F22" i="52" s="1"/>
  <c r="G17" i="11"/>
  <c r="G10" i="11" s="1"/>
  <c r="G11" i="11"/>
  <c r="F10" i="14" s="1"/>
  <c r="E20" i="11"/>
  <c r="E11" i="11" s="1"/>
  <c r="C10" i="11"/>
  <c r="I57" i="59" s="1"/>
  <c r="F9" i="27"/>
  <c r="C9" i="14" s="1"/>
  <c r="M24" i="13"/>
  <c r="I16" i="13"/>
  <c r="I9" i="13" s="1"/>
  <c r="K24" i="59" s="1"/>
  <c r="K17" i="27"/>
  <c r="M19" i="13"/>
  <c r="O22" i="13"/>
  <c r="F23" i="52" l="1"/>
  <c r="E17" i="11"/>
  <c r="E10" i="11" s="1"/>
  <c r="H301" i="13"/>
  <c r="G301" i="11"/>
  <c r="O19" i="13"/>
  <c r="F9" i="14"/>
  <c r="O24" i="13"/>
  <c r="T64" i="20" l="1"/>
  <c r="T66" i="20" l="1"/>
  <c r="U64" i="20"/>
  <c r="Q63" i="20"/>
  <c r="T18" i="20" l="1"/>
  <c r="U15" i="20"/>
  <c r="Q64" i="20"/>
  <c r="R63" i="20"/>
  <c r="C24" i="27"/>
  <c r="C23" i="13" l="1"/>
  <c r="I16" i="27"/>
  <c r="X18" i="20"/>
  <c r="N16" i="27" s="1"/>
  <c r="Q66" i="20"/>
  <c r="D24" i="27" s="1"/>
  <c r="R64" i="20"/>
  <c r="R65" i="20" s="1"/>
  <c r="E24" i="27" s="1"/>
  <c r="Q13" i="20"/>
  <c r="L3" i="95" l="1"/>
  <c r="M3" i="95" s="1"/>
  <c r="L3" i="81"/>
  <c r="M3" i="81" s="1"/>
  <c r="J15" i="13"/>
  <c r="G15" i="13" s="1"/>
  <c r="N15" i="13"/>
  <c r="B5" i="49"/>
  <c r="B7" i="49" s="1"/>
  <c r="B9" i="49" s="1"/>
  <c r="C24" i="11"/>
  <c r="F24" i="27"/>
  <c r="C16" i="27"/>
  <c r="L2" i="67" s="1"/>
  <c r="M2" i="67" s="1"/>
  <c r="R13" i="20"/>
  <c r="D23" i="13"/>
  <c r="T63" i="20"/>
  <c r="C15" i="13" l="1"/>
  <c r="E15" i="13" s="1"/>
  <c r="U63" i="20"/>
  <c r="U65" i="20" s="1"/>
  <c r="J24" i="27" s="1"/>
  <c r="H24" i="27"/>
  <c r="E23" i="13"/>
  <c r="R17" i="20"/>
  <c r="E16" i="27" s="1"/>
  <c r="T13" i="20"/>
  <c r="C16" i="11" l="1"/>
  <c r="G24" i="11"/>
  <c r="E24" i="11" s="1"/>
  <c r="F16" i="27"/>
  <c r="I23" i="13"/>
  <c r="K24" i="27"/>
  <c r="U13" i="20"/>
  <c r="H16" i="27"/>
  <c r="L2" i="81" s="1"/>
  <c r="M2" i="81" s="1"/>
  <c r="N24" i="27"/>
  <c r="M24" i="27"/>
  <c r="I15" i="13" l="1"/>
  <c r="K15" i="13" s="1"/>
  <c r="U17" i="20"/>
  <c r="J16" i="27" s="1"/>
  <c r="M16" i="27"/>
  <c r="M23" i="13"/>
  <c r="N23" i="13"/>
  <c r="L2" i="95" l="1"/>
  <c r="M2" i="95" s="1"/>
  <c r="B10" i="49"/>
  <c r="B11" i="49" s="1"/>
  <c r="M15" i="13"/>
  <c r="O15" i="13" s="1"/>
  <c r="G16" i="11"/>
  <c r="E16" i="11" s="1"/>
  <c r="K16" i="27"/>
  <c r="O23" i="13"/>
  <c r="T8" i="20" l="1"/>
  <c r="Q8" i="20" l="1"/>
  <c r="U8" i="20"/>
  <c r="T10" i="20"/>
  <c r="Q6" i="20"/>
  <c r="I15" i="27" l="1"/>
  <c r="C15" i="27"/>
  <c r="L2" i="66" s="1"/>
  <c r="M2" i="66" s="1"/>
  <c r="R6" i="20"/>
  <c r="X10" i="20"/>
  <c r="N15" i="27" s="1"/>
  <c r="R8" i="20"/>
  <c r="Q10" i="20"/>
  <c r="D15" i="27" s="1"/>
  <c r="T6" i="20"/>
  <c r="L3" i="66" l="1"/>
  <c r="M3" i="66" s="1"/>
  <c r="L3" i="94"/>
  <c r="M3" i="94" s="1"/>
  <c r="L3" i="80"/>
  <c r="M3" i="80" s="1"/>
  <c r="C8" i="27"/>
  <c r="C11" i="27" s="1"/>
  <c r="C33" i="27" s="1"/>
  <c r="N8" i="27"/>
  <c r="E48" i="53" s="1"/>
  <c r="D8" i="27"/>
  <c r="D11" i="27" s="1"/>
  <c r="D12" i="27" s="1"/>
  <c r="J14" i="13"/>
  <c r="D14" i="13"/>
  <c r="D8" i="13" s="1"/>
  <c r="D11" i="13" s="1"/>
  <c r="N14" i="13"/>
  <c r="N8" i="13" s="1"/>
  <c r="G20" i="59" s="1"/>
  <c r="R9" i="20"/>
  <c r="U6" i="20"/>
  <c r="U9" i="20" s="1"/>
  <c r="H15" i="27"/>
  <c r="L2" i="80" s="1"/>
  <c r="M2" i="80" s="1"/>
  <c r="C14" i="13"/>
  <c r="C8" i="13" s="1"/>
  <c r="C11" i="13" s="1"/>
  <c r="G7" i="59" l="1"/>
  <c r="E55" i="58"/>
  <c r="H8" i="27"/>
  <c r="E50" i="52" s="1"/>
  <c r="S8" i="30"/>
  <c r="N8" i="30"/>
  <c r="G14" i="13"/>
  <c r="E15" i="27"/>
  <c r="Q120" i="20"/>
  <c r="Q123" i="20" s="1"/>
  <c r="J15" i="27"/>
  <c r="T120" i="20"/>
  <c r="I14" i="13"/>
  <c r="I8" i="13" s="1"/>
  <c r="H24" i="59" s="1"/>
  <c r="M15" i="27"/>
  <c r="D30" i="13"/>
  <c r="E14" i="13"/>
  <c r="E8" i="13" s="1"/>
  <c r="E11" i="13" s="1"/>
  <c r="L2" i="94" l="1"/>
  <c r="M2" i="94" s="1"/>
  <c r="E30" i="58"/>
  <c r="M8" i="27"/>
  <c r="E50" i="53" s="1"/>
  <c r="J8" i="27"/>
  <c r="K8" i="27" s="1"/>
  <c r="E49" i="52" s="1"/>
  <c r="E8" i="27"/>
  <c r="E11" i="27" s="1"/>
  <c r="C15" i="11"/>
  <c r="C9" i="11" s="1"/>
  <c r="F57" i="59" s="1"/>
  <c r="C30" i="13"/>
  <c r="C33" i="13"/>
  <c r="E30" i="13"/>
  <c r="D33" i="27"/>
  <c r="D33" i="13"/>
  <c r="G15" i="11"/>
  <c r="G9" i="11" s="1"/>
  <c r="I17" i="27"/>
  <c r="I18" i="27"/>
  <c r="I19" i="27"/>
  <c r="I20" i="27"/>
  <c r="K15" i="27"/>
  <c r="H28" i="27"/>
  <c r="I26" i="27"/>
  <c r="I23" i="27"/>
  <c r="I27" i="27"/>
  <c r="I24" i="27"/>
  <c r="I30" i="27"/>
  <c r="H27" i="27"/>
  <c r="H29" i="27"/>
  <c r="I22" i="27"/>
  <c r="I29" i="27"/>
  <c r="I28" i="27"/>
  <c r="I25" i="27"/>
  <c r="I21" i="27"/>
  <c r="H30" i="27"/>
  <c r="H26" i="27"/>
  <c r="L2" i="89" s="1"/>
  <c r="M2" i="89" s="1"/>
  <c r="F15" i="27"/>
  <c r="M14" i="13"/>
  <c r="M8" i="13" s="1"/>
  <c r="K14" i="13"/>
  <c r="L3" i="87" l="1"/>
  <c r="M3" i="87" s="1"/>
  <c r="L3" i="85"/>
  <c r="M3" i="85" s="1"/>
  <c r="L3" i="92"/>
  <c r="M3" i="92" s="1"/>
  <c r="L3" i="83"/>
  <c r="M3" i="83" s="1"/>
  <c r="L3" i="91"/>
  <c r="M3" i="91" s="1"/>
  <c r="L3" i="82"/>
  <c r="M3" i="82" s="1"/>
  <c r="L3" i="90"/>
  <c r="M3" i="90" s="1"/>
  <c r="L3" i="93"/>
  <c r="M3" i="93" s="1"/>
  <c r="L3" i="89"/>
  <c r="M3" i="89" s="1"/>
  <c r="L3" i="88"/>
  <c r="M3" i="88" s="1"/>
  <c r="L3" i="86"/>
  <c r="M3" i="86" s="1"/>
  <c r="L3" i="84"/>
  <c r="M3" i="84" s="1"/>
  <c r="I29" i="13"/>
  <c r="L2" i="92"/>
  <c r="M2" i="92" s="1"/>
  <c r="I27" i="13"/>
  <c r="L2" i="90"/>
  <c r="M2" i="90" s="1"/>
  <c r="I28" i="13"/>
  <c r="L2" i="93"/>
  <c r="M2" i="93" s="1"/>
  <c r="I26" i="13"/>
  <c r="L2" i="91"/>
  <c r="M2" i="91" s="1"/>
  <c r="E56" i="58"/>
  <c r="E57" i="59"/>
  <c r="F97" i="59" s="1"/>
  <c r="E22" i="52"/>
  <c r="D49" i="52"/>
  <c r="J25" i="13"/>
  <c r="G25" i="13" s="1"/>
  <c r="J18" i="13"/>
  <c r="G18" i="13" s="1"/>
  <c r="J17" i="13"/>
  <c r="G17" i="13" s="1"/>
  <c r="J28" i="13"/>
  <c r="J29" i="13"/>
  <c r="G29" i="13" s="1"/>
  <c r="J27" i="13"/>
  <c r="J21" i="13"/>
  <c r="K21" i="13" s="1"/>
  <c r="J26" i="13"/>
  <c r="J11" i="27"/>
  <c r="J12" i="27" s="1"/>
  <c r="J19" i="13"/>
  <c r="I10" i="27"/>
  <c r="G48" i="52" s="1"/>
  <c r="I25" i="13"/>
  <c r="H10" i="27"/>
  <c r="G50" i="52" s="1"/>
  <c r="D50" i="52" s="1"/>
  <c r="G12" i="11"/>
  <c r="C12" i="11"/>
  <c r="I9" i="27"/>
  <c r="F48" i="52" s="1"/>
  <c r="J23" i="13"/>
  <c r="J8" i="13" s="1"/>
  <c r="I8" i="27"/>
  <c r="E48" i="52" s="1"/>
  <c r="E15" i="11"/>
  <c r="E9" i="11" s="1"/>
  <c r="K11" i="27"/>
  <c r="J16" i="13"/>
  <c r="F8" i="27"/>
  <c r="C8" i="14" s="1"/>
  <c r="C11" i="14" s="1"/>
  <c r="C15" i="14" s="1"/>
  <c r="J20" i="13"/>
  <c r="J24" i="13"/>
  <c r="J22" i="13"/>
  <c r="O14" i="13"/>
  <c r="O8" i="13" s="1"/>
  <c r="K12" i="27" l="1"/>
  <c r="K27" i="13"/>
  <c r="I10" i="13"/>
  <c r="N24" i="59" s="1"/>
  <c r="E24" i="59" s="1"/>
  <c r="N54" i="59" s="1"/>
  <c r="K28" i="13"/>
  <c r="K26" i="13"/>
  <c r="E23" i="52"/>
  <c r="D22" i="52"/>
  <c r="E28" i="52" s="1"/>
  <c r="J97" i="59"/>
  <c r="G97" i="59"/>
  <c r="H97" i="59"/>
  <c r="M97" i="59"/>
  <c r="K97" i="59"/>
  <c r="N97" i="59"/>
  <c r="L97" i="59"/>
  <c r="I97" i="59"/>
  <c r="D48" i="52"/>
  <c r="G27" i="13"/>
  <c r="K18" i="13"/>
  <c r="G26" i="13"/>
  <c r="G21" i="13"/>
  <c r="G28" i="13"/>
  <c r="K29" i="13"/>
  <c r="K17" i="13"/>
  <c r="H11" i="27"/>
  <c r="H33" i="27" s="1"/>
  <c r="C29" i="14"/>
  <c r="J9" i="13"/>
  <c r="G19" i="13"/>
  <c r="J10" i="13"/>
  <c r="K19" i="13"/>
  <c r="K25" i="13"/>
  <c r="F8" i="14"/>
  <c r="F11" i="14" s="1"/>
  <c r="E12" i="11"/>
  <c r="K23" i="13"/>
  <c r="K8" i="13" s="1"/>
  <c r="G23" i="13"/>
  <c r="G8" i="13" s="1"/>
  <c r="E33" i="27"/>
  <c r="K33" i="27"/>
  <c r="E12" i="27"/>
  <c r="F11" i="27"/>
  <c r="G16" i="13"/>
  <c r="K16" i="13"/>
  <c r="I11" i="27"/>
  <c r="G22" i="13"/>
  <c r="K22" i="13"/>
  <c r="G20" i="13"/>
  <c r="K20" i="13"/>
  <c r="G24" i="13"/>
  <c r="K24" i="13"/>
  <c r="I11" i="13" l="1"/>
  <c r="I33" i="13" s="1"/>
  <c r="E97" i="59"/>
  <c r="N58" i="59"/>
  <c r="N14" i="59"/>
  <c r="M54" i="59"/>
  <c r="G54" i="59"/>
  <c r="G66" i="59"/>
  <c r="M66" i="59"/>
  <c r="J66" i="59"/>
  <c r="L54" i="59"/>
  <c r="I66" i="59"/>
  <c r="F54" i="59"/>
  <c r="I54" i="59"/>
  <c r="L66" i="59"/>
  <c r="F66" i="59"/>
  <c r="J54" i="59"/>
  <c r="K58" i="59"/>
  <c r="K14" i="59"/>
  <c r="K66" i="59"/>
  <c r="K56" i="59"/>
  <c r="K54" i="59"/>
  <c r="H14" i="59"/>
  <c r="H58" i="59"/>
  <c r="H54" i="59"/>
  <c r="H56" i="59"/>
  <c r="H66" i="59"/>
  <c r="N56" i="59"/>
  <c r="N66" i="59"/>
  <c r="E29" i="52"/>
  <c r="E31" i="52" s="1"/>
  <c r="E29" i="53"/>
  <c r="D23" i="52"/>
  <c r="G28" i="52"/>
  <c r="F28" i="52"/>
  <c r="J11" i="13"/>
  <c r="F15" i="14"/>
  <c r="F29" i="14"/>
  <c r="G9" i="13"/>
  <c r="K9" i="13"/>
  <c r="K10" i="13"/>
  <c r="G10" i="13"/>
  <c r="I12" i="27"/>
  <c r="I33" i="27"/>
  <c r="I30" i="13" l="1"/>
  <c r="E56" i="59"/>
  <c r="H96" i="59" s="1"/>
  <c r="I22" i="55" s="1"/>
  <c r="I23" i="55"/>
  <c r="I38" i="54"/>
  <c r="I71" i="55"/>
  <c r="I11" i="54"/>
  <c r="E14" i="59"/>
  <c r="G29" i="52"/>
  <c r="G31" i="52" s="1"/>
  <c r="G29" i="53"/>
  <c r="G30" i="53" s="1"/>
  <c r="K37" i="55"/>
  <c r="K36" i="55"/>
  <c r="K39" i="55"/>
  <c r="K63" i="54"/>
  <c r="K38" i="55"/>
  <c r="K64" i="54"/>
  <c r="K31" i="55"/>
  <c r="N38" i="55"/>
  <c r="N37" i="55"/>
  <c r="N36" i="55"/>
  <c r="N64" i="54"/>
  <c r="N63" i="54"/>
  <c r="N39" i="55"/>
  <c r="N31" i="55"/>
  <c r="E54" i="59"/>
  <c r="N94" i="59" s="1"/>
  <c r="F29" i="53"/>
  <c r="F30" i="53" s="1"/>
  <c r="F29" i="52"/>
  <c r="F31" i="52" s="1"/>
  <c r="E30" i="53"/>
  <c r="L38" i="55"/>
  <c r="L37" i="55"/>
  <c r="L39" i="55"/>
  <c r="L36" i="55"/>
  <c r="L64" i="54"/>
  <c r="L63" i="54"/>
  <c r="L31" i="55"/>
  <c r="H38" i="55"/>
  <c r="H64" i="54"/>
  <c r="H39" i="55"/>
  <c r="H37" i="55"/>
  <c r="H63" i="54"/>
  <c r="H36" i="55"/>
  <c r="H31" i="55"/>
  <c r="M37" i="55"/>
  <c r="M39" i="55"/>
  <c r="M38" i="55"/>
  <c r="M63" i="54"/>
  <c r="M64" i="54"/>
  <c r="M36" i="55"/>
  <c r="M31" i="55"/>
  <c r="J64" i="54"/>
  <c r="J38" i="55"/>
  <c r="J37" i="55"/>
  <c r="J39" i="55"/>
  <c r="J63" i="54"/>
  <c r="J36" i="55"/>
  <c r="J31" i="55"/>
  <c r="D28" i="52"/>
  <c r="L38" i="54"/>
  <c r="L23" i="55"/>
  <c r="L71" i="55"/>
  <c r="L11" i="54"/>
  <c r="I63" i="54"/>
  <c r="I39" i="55"/>
  <c r="I37" i="55"/>
  <c r="I38" i="55"/>
  <c r="I64" i="54"/>
  <c r="I36" i="55"/>
  <c r="I31" i="55"/>
  <c r="O64" i="54"/>
  <c r="O63" i="54"/>
  <c r="O37" i="55"/>
  <c r="O39" i="55"/>
  <c r="O38" i="55"/>
  <c r="O36" i="55"/>
  <c r="O31" i="55"/>
  <c r="O23" i="55"/>
  <c r="O38" i="54"/>
  <c r="O71" i="55"/>
  <c r="O11" i="54"/>
  <c r="G37" i="55"/>
  <c r="G63" i="54"/>
  <c r="G64" i="54"/>
  <c r="E66" i="59"/>
  <c r="G36" i="55"/>
  <c r="G38" i="55"/>
  <c r="G39" i="55"/>
  <c r="G31" i="55"/>
  <c r="K11" i="13"/>
  <c r="K30" i="13" s="1"/>
  <c r="G11" i="13"/>
  <c r="G30" i="13" s="1"/>
  <c r="J30" i="13"/>
  <c r="J33" i="13"/>
  <c r="J33" i="27"/>
  <c r="N96" i="59" l="1"/>
  <c r="O22" i="55" s="1"/>
  <c r="F90" i="65" s="1"/>
  <c r="O90" i="65" s="1"/>
  <c r="L94" i="59"/>
  <c r="M94" i="59"/>
  <c r="G94" i="59"/>
  <c r="H94" i="59"/>
  <c r="D29" i="53"/>
  <c r="D30" i="53" s="1"/>
  <c r="I30" i="53" s="1"/>
  <c r="U39" i="55"/>
  <c r="F107" i="63"/>
  <c r="F107" i="64"/>
  <c r="E65" i="65"/>
  <c r="W65" i="65"/>
  <c r="F99" i="65"/>
  <c r="O40" i="55"/>
  <c r="D64" i="64"/>
  <c r="V64" i="64"/>
  <c r="J65" i="54"/>
  <c r="V66" i="64" s="1"/>
  <c r="F12" i="52"/>
  <c r="F12" i="53"/>
  <c r="D105" i="65"/>
  <c r="V105" i="65"/>
  <c r="D104" i="63"/>
  <c r="V104" i="63"/>
  <c r="S36" i="55"/>
  <c r="F36" i="55"/>
  <c r="Q36" i="55" s="1"/>
  <c r="F104" i="65"/>
  <c r="F64" i="63"/>
  <c r="U63" i="54"/>
  <c r="I65" i="54"/>
  <c r="D107" i="64"/>
  <c r="V107" i="64"/>
  <c r="E99" i="63"/>
  <c r="T31" i="55"/>
  <c r="W99" i="63"/>
  <c r="H40" i="55"/>
  <c r="F105" i="64"/>
  <c r="W104" i="65"/>
  <c r="E104" i="65"/>
  <c r="W104" i="63"/>
  <c r="T36" i="55"/>
  <c r="E104" i="63"/>
  <c r="V65" i="64"/>
  <c r="F13" i="53"/>
  <c r="F13" i="52"/>
  <c r="D65" i="64"/>
  <c r="S37" i="55"/>
  <c r="F37" i="55"/>
  <c r="Q37" i="55" s="1"/>
  <c r="D105" i="63"/>
  <c r="V105" i="63"/>
  <c r="O65" i="54"/>
  <c r="F64" i="65"/>
  <c r="F16" i="64"/>
  <c r="K44" i="59"/>
  <c r="L21" i="54"/>
  <c r="E107" i="63"/>
  <c r="T39" i="55"/>
  <c r="W107" i="63"/>
  <c r="E65" i="64"/>
  <c r="W65" i="64"/>
  <c r="F119" i="63"/>
  <c r="U71" i="55"/>
  <c r="I81" i="55"/>
  <c r="F71" i="55"/>
  <c r="V105" i="64"/>
  <c r="D105" i="64"/>
  <c r="F107" i="65"/>
  <c r="F105" i="65"/>
  <c r="W65" i="63"/>
  <c r="T64" i="54"/>
  <c r="E65" i="63"/>
  <c r="W106" i="64"/>
  <c r="E106" i="64"/>
  <c r="I48" i="54"/>
  <c r="F41" i="63"/>
  <c r="U38" i="54"/>
  <c r="F38" i="54"/>
  <c r="E105" i="65"/>
  <c r="W105" i="65"/>
  <c r="V99" i="65"/>
  <c r="D99" i="65"/>
  <c r="M40" i="55"/>
  <c r="V108" i="65" s="1"/>
  <c r="U31" i="55"/>
  <c r="I40" i="55"/>
  <c r="F99" i="63"/>
  <c r="F91" i="64"/>
  <c r="D104" i="65"/>
  <c r="V104" i="65"/>
  <c r="W106" i="63"/>
  <c r="E106" i="63"/>
  <c r="T38" i="55"/>
  <c r="K65" i="54"/>
  <c r="W66" i="64" s="1"/>
  <c r="E64" i="64"/>
  <c r="W64" i="64"/>
  <c r="F91" i="63"/>
  <c r="U23" i="55"/>
  <c r="F23" i="55"/>
  <c r="Q23" i="55" s="1"/>
  <c r="F106" i="64"/>
  <c r="T37" i="55"/>
  <c r="W105" i="63"/>
  <c r="E105" i="63"/>
  <c r="U11" i="54"/>
  <c r="F11" i="54"/>
  <c r="F16" i="63"/>
  <c r="H44" i="59"/>
  <c r="I21" i="54"/>
  <c r="F65" i="65"/>
  <c r="F104" i="63"/>
  <c r="U36" i="55"/>
  <c r="L48" i="54"/>
  <c r="F41" i="64"/>
  <c r="V65" i="65"/>
  <c r="G13" i="53"/>
  <c r="D65" i="65"/>
  <c r="G13" i="52"/>
  <c r="F99" i="64"/>
  <c r="L40" i="55"/>
  <c r="F94" i="59"/>
  <c r="E107" i="64"/>
  <c r="W107" i="64"/>
  <c r="D106" i="64"/>
  <c r="V106" i="64"/>
  <c r="F119" i="64"/>
  <c r="L81" i="55"/>
  <c r="L88" i="55" s="1"/>
  <c r="F16" i="65"/>
  <c r="N44" i="59"/>
  <c r="O21" i="54"/>
  <c r="D64" i="65"/>
  <c r="V64" i="65"/>
  <c r="G12" i="52"/>
  <c r="G12" i="53"/>
  <c r="M65" i="54"/>
  <c r="V66" i="65" s="1"/>
  <c r="E99" i="65"/>
  <c r="W99" i="65"/>
  <c r="N40" i="55"/>
  <c r="W108" i="65" s="1"/>
  <c r="E104" i="64"/>
  <c r="W104" i="64"/>
  <c r="F90" i="63"/>
  <c r="F38" i="55"/>
  <c r="Q38" i="55" s="1"/>
  <c r="D106" i="63"/>
  <c r="V106" i="63"/>
  <c r="S38" i="55"/>
  <c r="V65" i="63"/>
  <c r="D65" i="63"/>
  <c r="S64" i="54"/>
  <c r="E13" i="53"/>
  <c r="F64" i="54"/>
  <c r="Q64" i="54" s="1"/>
  <c r="E13" i="52"/>
  <c r="E64" i="63"/>
  <c r="T63" i="54"/>
  <c r="H65" i="54"/>
  <c r="W64" i="63"/>
  <c r="V64" i="63"/>
  <c r="S63" i="54"/>
  <c r="D64" i="63"/>
  <c r="F63" i="54"/>
  <c r="G65" i="54"/>
  <c r="E12" i="52"/>
  <c r="E12" i="53"/>
  <c r="J28" i="52"/>
  <c r="D29" i="52"/>
  <c r="D31" i="52" s="1"/>
  <c r="J31" i="52" s="1"/>
  <c r="F65" i="64"/>
  <c r="W107" i="65"/>
  <c r="E107" i="65"/>
  <c r="E105" i="64"/>
  <c r="W105" i="64"/>
  <c r="K96" i="59"/>
  <c r="L22" i="55" s="1"/>
  <c r="F96" i="59"/>
  <c r="M96" i="59"/>
  <c r="N22" i="55" s="1"/>
  <c r="J96" i="59"/>
  <c r="K22" i="55" s="1"/>
  <c r="L96" i="59"/>
  <c r="M22" i="55" s="1"/>
  <c r="I96" i="59"/>
  <c r="J22" i="55" s="1"/>
  <c r="G96" i="59"/>
  <c r="H22" i="55" s="1"/>
  <c r="F106" i="65"/>
  <c r="E106" i="65"/>
  <c r="W106" i="65"/>
  <c r="K40" i="55"/>
  <c r="W108" i="64" s="1"/>
  <c r="W99" i="64"/>
  <c r="E99" i="64"/>
  <c r="F119" i="65"/>
  <c r="O81" i="55"/>
  <c r="O88" i="55" s="1"/>
  <c r="O48" i="54"/>
  <c r="F39" i="65"/>
  <c r="F65" i="63"/>
  <c r="U64" i="54"/>
  <c r="F64" i="64"/>
  <c r="L65" i="54"/>
  <c r="G40" i="55"/>
  <c r="S31" i="55"/>
  <c r="F31" i="55"/>
  <c r="D99" i="63"/>
  <c r="V99" i="63"/>
  <c r="F91" i="65"/>
  <c r="F106" i="63"/>
  <c r="U38" i="55"/>
  <c r="D99" i="64"/>
  <c r="J40" i="55"/>
  <c r="V108" i="64" s="1"/>
  <c r="V99" i="64"/>
  <c r="V106" i="65"/>
  <c r="D106" i="65"/>
  <c r="S39" i="55"/>
  <c r="F39" i="55"/>
  <c r="Q39" i="55" s="1"/>
  <c r="D107" i="63"/>
  <c r="V107" i="63"/>
  <c r="J94" i="59"/>
  <c r="F105" i="63"/>
  <c r="U37" i="55"/>
  <c r="D104" i="64"/>
  <c r="V104" i="64"/>
  <c r="V107" i="65"/>
  <c r="D107" i="65"/>
  <c r="F104" i="64"/>
  <c r="W64" i="65"/>
  <c r="N65" i="54"/>
  <c r="W66" i="65" s="1"/>
  <c r="E64" i="65"/>
  <c r="K94" i="59"/>
  <c r="I94" i="59"/>
  <c r="AT37" i="24"/>
  <c r="AT28" i="24"/>
  <c r="M39" i="24"/>
  <c r="M30" i="24"/>
  <c r="M29" i="24"/>
  <c r="M43" i="24"/>
  <c r="M42" i="24"/>
  <c r="M41" i="24"/>
  <c r="M40" i="24"/>
  <c r="M38" i="24"/>
  <c r="M33" i="24"/>
  <c r="M27" i="24"/>
  <c r="M35" i="24"/>
  <c r="M34" i="24"/>
  <c r="M32" i="24"/>
  <c r="M31" i="24"/>
  <c r="M25" i="24"/>
  <c r="M26" i="24"/>
  <c r="M37" i="24"/>
  <c r="M28" i="24"/>
  <c r="U22" i="55" l="1"/>
  <c r="I5" i="51"/>
  <c r="M34" i="51" s="1"/>
  <c r="M14" i="30"/>
  <c r="M90" i="65"/>
  <c r="Q90" i="65"/>
  <c r="P90" i="65"/>
  <c r="R90" i="65"/>
  <c r="N90" i="65"/>
  <c r="E66" i="65"/>
  <c r="D66" i="65"/>
  <c r="D13" i="52"/>
  <c r="E108" i="65"/>
  <c r="E66" i="64"/>
  <c r="E66" i="63"/>
  <c r="D108" i="63"/>
  <c r="D66" i="63"/>
  <c r="D12" i="53"/>
  <c r="I12" i="53" s="1"/>
  <c r="D12" i="52"/>
  <c r="D13" i="53"/>
  <c r="I13" i="53" s="1"/>
  <c r="N105" i="63"/>
  <c r="M105" i="63"/>
  <c r="O105" i="63"/>
  <c r="P105" i="63"/>
  <c r="Q105" i="63"/>
  <c r="R105" i="63"/>
  <c r="N65" i="63"/>
  <c r="R65" i="63"/>
  <c r="O65" i="63"/>
  <c r="P65" i="63"/>
  <c r="Q65" i="63"/>
  <c r="M65" i="63"/>
  <c r="D108" i="65"/>
  <c r="F48" i="54"/>
  <c r="Q48" i="54" s="1"/>
  <c r="Q38" i="54"/>
  <c r="N105" i="65"/>
  <c r="O105" i="65"/>
  <c r="P105" i="65"/>
  <c r="R105" i="65"/>
  <c r="M105" i="65"/>
  <c r="Q105" i="65"/>
  <c r="D66" i="64"/>
  <c r="N46" i="59"/>
  <c r="N42" i="59"/>
  <c r="U40" i="55"/>
  <c r="Q91" i="65"/>
  <c r="P91" i="65"/>
  <c r="N91" i="65"/>
  <c r="O91" i="65"/>
  <c r="R91" i="65"/>
  <c r="M91" i="65"/>
  <c r="M106" i="65"/>
  <c r="R106" i="65"/>
  <c r="O106" i="65"/>
  <c r="P106" i="65"/>
  <c r="Q106" i="65"/>
  <c r="N106" i="65"/>
  <c r="W66" i="63"/>
  <c r="T65" i="54"/>
  <c r="P105" i="64"/>
  <c r="O105" i="64"/>
  <c r="Q105" i="64"/>
  <c r="N105" i="64"/>
  <c r="M105" i="64"/>
  <c r="R105" i="64"/>
  <c r="R104" i="65"/>
  <c r="P104" i="65"/>
  <c r="N104" i="65"/>
  <c r="Q104" i="65"/>
  <c r="M104" i="65"/>
  <c r="O104" i="65"/>
  <c r="F49" i="65"/>
  <c r="P39" i="65"/>
  <c r="P49" i="65" s="1"/>
  <c r="R39" i="65"/>
  <c r="R49" i="65" s="1"/>
  <c r="Q39" i="65"/>
  <c r="Q49" i="65" s="1"/>
  <c r="M39" i="65"/>
  <c r="O39" i="65"/>
  <c r="O49" i="65" s="1"/>
  <c r="N39" i="65"/>
  <c r="N49" i="65" s="1"/>
  <c r="W108" i="63"/>
  <c r="T40" i="55"/>
  <c r="P104" i="63"/>
  <c r="Q104" i="63"/>
  <c r="R104" i="63"/>
  <c r="M104" i="63"/>
  <c r="N104" i="63"/>
  <c r="O104" i="63"/>
  <c r="N106" i="64"/>
  <c r="P106" i="64"/>
  <c r="Q106" i="64"/>
  <c r="R106" i="64"/>
  <c r="M106" i="64"/>
  <c r="O106" i="64"/>
  <c r="U48" i="54"/>
  <c r="K42" i="59"/>
  <c r="K46" i="59"/>
  <c r="E90" i="64"/>
  <c r="W90" i="64"/>
  <c r="N99" i="64"/>
  <c r="R99" i="64"/>
  <c r="F108" i="64"/>
  <c r="P99" i="64"/>
  <c r="M99" i="64"/>
  <c r="Q99" i="64"/>
  <c r="O99" i="64"/>
  <c r="R65" i="65"/>
  <c r="M65" i="65"/>
  <c r="N65" i="65"/>
  <c r="O65" i="65"/>
  <c r="P65" i="65"/>
  <c r="Q65" i="65"/>
  <c r="E108" i="63"/>
  <c r="M91" i="64"/>
  <c r="R91" i="64"/>
  <c r="Q91" i="64"/>
  <c r="O91" i="64"/>
  <c r="P91" i="64"/>
  <c r="N91" i="64"/>
  <c r="Q71" i="55"/>
  <c r="F81" i="55"/>
  <c r="O16" i="64"/>
  <c r="O26" i="64" s="1"/>
  <c r="O30" i="64" s="1"/>
  <c r="C16" i="64"/>
  <c r="M16" i="64"/>
  <c r="R16" i="64"/>
  <c r="R26" i="64" s="1"/>
  <c r="R30" i="64" s="1"/>
  <c r="N16" i="64"/>
  <c r="N26" i="64" s="1"/>
  <c r="N30" i="64" s="1"/>
  <c r="P16" i="64"/>
  <c r="P26" i="64" s="1"/>
  <c r="P30" i="64" s="1"/>
  <c r="Q16" i="64"/>
  <c r="Q26" i="64" s="1"/>
  <c r="Q30" i="64" s="1"/>
  <c r="F26" i="64"/>
  <c r="F30" i="64" s="1"/>
  <c r="W90" i="63"/>
  <c r="E90" i="63"/>
  <c r="T22" i="55"/>
  <c r="I88" i="55"/>
  <c r="U88" i="55" s="1"/>
  <c r="U81" i="55"/>
  <c r="N104" i="64"/>
  <c r="O104" i="64"/>
  <c r="M104" i="64"/>
  <c r="Q104" i="64"/>
  <c r="R104" i="64"/>
  <c r="P104" i="64"/>
  <c r="M99" i="65"/>
  <c r="P99" i="65"/>
  <c r="Q99" i="65"/>
  <c r="F108" i="65"/>
  <c r="O99" i="65"/>
  <c r="R99" i="65"/>
  <c r="N99" i="65"/>
  <c r="V108" i="63"/>
  <c r="S40" i="55"/>
  <c r="P16" i="65"/>
  <c r="P26" i="65" s="1"/>
  <c r="R16" i="65"/>
  <c r="R26" i="65" s="1"/>
  <c r="C16" i="65"/>
  <c r="Q16" i="65"/>
  <c r="Q26" i="65" s="1"/>
  <c r="N16" i="65"/>
  <c r="N26" i="65" s="1"/>
  <c r="O16" i="65"/>
  <c r="O26" i="65" s="1"/>
  <c r="M16" i="65"/>
  <c r="F26" i="65"/>
  <c r="E108" i="64"/>
  <c r="V66" i="63"/>
  <c r="S65" i="54"/>
  <c r="H46" i="59"/>
  <c r="H42" i="59"/>
  <c r="U21" i="54"/>
  <c r="D108" i="64"/>
  <c r="F90" i="64"/>
  <c r="Q63" i="54"/>
  <c r="F65" i="54"/>
  <c r="Q65" i="54" s="1"/>
  <c r="E44" i="59"/>
  <c r="K85" i="59" s="1"/>
  <c r="L14" i="55" s="1"/>
  <c r="M91" i="63"/>
  <c r="O91" i="63"/>
  <c r="N91" i="63"/>
  <c r="P91" i="63"/>
  <c r="Q91" i="63"/>
  <c r="R91" i="63"/>
  <c r="N99" i="63"/>
  <c r="P99" i="63"/>
  <c r="Q99" i="63"/>
  <c r="M99" i="63"/>
  <c r="F108" i="63"/>
  <c r="R99" i="63"/>
  <c r="O99" i="63"/>
  <c r="P64" i="65"/>
  <c r="Q64" i="65"/>
  <c r="O64" i="65"/>
  <c r="F66" i="65"/>
  <c r="R64" i="65"/>
  <c r="M64" i="65"/>
  <c r="N64" i="65"/>
  <c r="Q107" i="64"/>
  <c r="P107" i="64"/>
  <c r="O107" i="64"/>
  <c r="M107" i="64"/>
  <c r="N107" i="64"/>
  <c r="R107" i="64"/>
  <c r="N119" i="63"/>
  <c r="N129" i="63" s="1"/>
  <c r="R119" i="63"/>
  <c r="R129" i="63" s="1"/>
  <c r="Q119" i="63"/>
  <c r="Q129" i="63" s="1"/>
  <c r="F129" i="63"/>
  <c r="O119" i="63"/>
  <c r="O129" i="63" s="1"/>
  <c r="P119" i="63"/>
  <c r="P129" i="63" s="1"/>
  <c r="M119" i="63"/>
  <c r="U65" i="54"/>
  <c r="D90" i="64"/>
  <c r="D90" i="65"/>
  <c r="O90" i="63"/>
  <c r="P90" i="63"/>
  <c r="M90" i="63"/>
  <c r="Q90" i="63"/>
  <c r="R90" i="63"/>
  <c r="N90" i="63"/>
  <c r="Q119" i="65"/>
  <c r="Q129" i="65" s="1"/>
  <c r="R119" i="65"/>
  <c r="R129" i="65" s="1"/>
  <c r="N119" i="65"/>
  <c r="N129" i="65" s="1"/>
  <c r="P119" i="65"/>
  <c r="P129" i="65" s="1"/>
  <c r="M119" i="65"/>
  <c r="O119" i="65"/>
  <c r="O129" i="65" s="1"/>
  <c r="F129" i="65"/>
  <c r="E94" i="59"/>
  <c r="M119" i="64"/>
  <c r="Q119" i="64"/>
  <c r="Q129" i="64" s="1"/>
  <c r="R119" i="64"/>
  <c r="R129" i="64" s="1"/>
  <c r="N119" i="64"/>
  <c r="N129" i="64" s="1"/>
  <c r="O119" i="64"/>
  <c r="O129" i="64" s="1"/>
  <c r="P119" i="64"/>
  <c r="P129" i="64" s="1"/>
  <c r="F129" i="64"/>
  <c r="R107" i="63"/>
  <c r="P107" i="63"/>
  <c r="Q107" i="63"/>
  <c r="M107" i="63"/>
  <c r="N107" i="63"/>
  <c r="O107" i="63"/>
  <c r="P65" i="64"/>
  <c r="M65" i="64"/>
  <c r="Q65" i="64"/>
  <c r="R65" i="64"/>
  <c r="N65" i="64"/>
  <c r="O65" i="64"/>
  <c r="O107" i="65"/>
  <c r="P107" i="65"/>
  <c r="R107" i="65"/>
  <c r="M107" i="65"/>
  <c r="Q107" i="65"/>
  <c r="N107" i="65"/>
  <c r="F51" i="63"/>
  <c r="Q41" i="63"/>
  <c r="Q51" i="63" s="1"/>
  <c r="P41" i="63"/>
  <c r="P51" i="63" s="1"/>
  <c r="O41" i="63"/>
  <c r="O51" i="63" s="1"/>
  <c r="M41" i="63"/>
  <c r="N41" i="63"/>
  <c r="N51" i="63" s="1"/>
  <c r="R41" i="63"/>
  <c r="R51" i="63" s="1"/>
  <c r="F40" i="55"/>
  <c r="Q40" i="55" s="1"/>
  <c r="Q31" i="55"/>
  <c r="E90" i="65"/>
  <c r="W90" i="65"/>
  <c r="E96" i="59"/>
  <c r="G22" i="55"/>
  <c r="R64" i="64"/>
  <c r="F66" i="64"/>
  <c r="O64" i="64"/>
  <c r="P64" i="64"/>
  <c r="M64" i="64"/>
  <c r="N64" i="64"/>
  <c r="Q64" i="64"/>
  <c r="R16" i="63"/>
  <c r="R26" i="63" s="1"/>
  <c r="R30" i="63" s="1"/>
  <c r="N16" i="63"/>
  <c r="N26" i="63" s="1"/>
  <c r="N30" i="63" s="1"/>
  <c r="O16" i="63"/>
  <c r="O26" i="63" s="1"/>
  <c r="O30" i="63" s="1"/>
  <c r="P16" i="63"/>
  <c r="P26" i="63" s="1"/>
  <c r="P30" i="63" s="1"/>
  <c r="Q16" i="63"/>
  <c r="Q26" i="63" s="1"/>
  <c r="Q30" i="63" s="1"/>
  <c r="M16" i="63"/>
  <c r="C16" i="63"/>
  <c r="F26" i="63"/>
  <c r="F30" i="63" s="1"/>
  <c r="Q11" i="54"/>
  <c r="F21" i="54"/>
  <c r="Q21" i="54" s="1"/>
  <c r="O106" i="63"/>
  <c r="P106" i="63"/>
  <c r="Q106" i="63"/>
  <c r="R106" i="63"/>
  <c r="M106" i="63"/>
  <c r="N106" i="63"/>
  <c r="F51" i="64"/>
  <c r="O41" i="64"/>
  <c r="O51" i="64" s="1"/>
  <c r="N41" i="64"/>
  <c r="N51" i="64" s="1"/>
  <c r="P41" i="64"/>
  <c r="P51" i="64" s="1"/>
  <c r="Q41" i="64"/>
  <c r="Q51" i="64" s="1"/>
  <c r="M41" i="64"/>
  <c r="R41" i="64"/>
  <c r="R51" i="64" s="1"/>
  <c r="P64" i="63"/>
  <c r="Q64" i="63"/>
  <c r="R64" i="63"/>
  <c r="M64" i="63"/>
  <c r="N64" i="63"/>
  <c r="F66" i="63"/>
  <c r="O64" i="63"/>
  <c r="M38" i="51"/>
  <c r="M55" i="51"/>
  <c r="M56" i="51"/>
  <c r="M52" i="51"/>
  <c r="M36" i="51"/>
  <c r="W99" i="20"/>
  <c r="Y99" i="20" s="1"/>
  <c r="I5" i="50"/>
  <c r="J5" i="45"/>
  <c r="J5" i="43"/>
  <c r="I5" i="44"/>
  <c r="J5" i="38"/>
  <c r="J5" i="46"/>
  <c r="J5" i="37"/>
  <c r="J5" i="39"/>
  <c r="I5" i="36"/>
  <c r="K20" i="15"/>
  <c r="W21" i="20"/>
  <c r="W15" i="20"/>
  <c r="Y15" i="20" s="1"/>
  <c r="K30" i="15"/>
  <c r="W13" i="20"/>
  <c r="Y13" i="20" s="1"/>
  <c r="K55" i="15"/>
  <c r="W45" i="20"/>
  <c r="K65" i="15"/>
  <c r="M65" i="15" s="1"/>
  <c r="N65" i="15" s="1"/>
  <c r="W110" i="20"/>
  <c r="Y110" i="20" s="1"/>
  <c r="K25" i="15"/>
  <c r="K70" i="15"/>
  <c r="M70" i="15" s="1"/>
  <c r="N70" i="15" s="1"/>
  <c r="K40" i="15"/>
  <c r="K45" i="15"/>
  <c r="K60" i="15"/>
  <c r="M60" i="15" s="1"/>
  <c r="N60" i="15" s="1"/>
  <c r="K35" i="15"/>
  <c r="AT31" i="24"/>
  <c r="M36" i="24"/>
  <c r="AT26" i="24"/>
  <c r="AT36" i="24"/>
  <c r="AT40" i="24"/>
  <c r="AT38" i="24"/>
  <c r="AT29" i="24"/>
  <c r="AT30" i="24"/>
  <c r="AT41" i="24"/>
  <c r="AT35" i="24"/>
  <c r="AT43" i="24"/>
  <c r="AT32" i="24"/>
  <c r="AT27" i="24"/>
  <c r="AT42" i="24"/>
  <c r="AT25" i="24"/>
  <c r="AT39" i="24"/>
  <c r="AT33" i="24"/>
  <c r="AT34" i="24"/>
  <c r="M53" i="51" l="1"/>
  <c r="M35" i="51"/>
  <c r="M16" i="51"/>
  <c r="R14" i="30"/>
  <c r="S13" i="30" s="1"/>
  <c r="M13" i="30" s="1"/>
  <c r="O13" i="30" s="1"/>
  <c r="M37" i="51"/>
  <c r="M54" i="51"/>
  <c r="I8" i="51"/>
  <c r="N56" i="51" s="1"/>
  <c r="K14" i="15"/>
  <c r="X90" i="65"/>
  <c r="Q66" i="65"/>
  <c r="R66" i="63"/>
  <c r="Q66" i="63"/>
  <c r="O66" i="63"/>
  <c r="N66" i="64"/>
  <c r="O66" i="65"/>
  <c r="N85" i="59"/>
  <c r="O14" i="55" s="1"/>
  <c r="F82" i="65" s="1"/>
  <c r="H85" i="59"/>
  <c r="I14" i="55" s="1"/>
  <c r="F82" i="63" s="1"/>
  <c r="N66" i="65"/>
  <c r="P108" i="63"/>
  <c r="R66" i="65"/>
  <c r="Q108" i="65"/>
  <c r="R66" i="64"/>
  <c r="P108" i="65"/>
  <c r="N66" i="63"/>
  <c r="P66" i="65"/>
  <c r="M26" i="63"/>
  <c r="X16" i="63"/>
  <c r="M108" i="63"/>
  <c r="C99" i="63"/>
  <c r="X99" i="63"/>
  <c r="R108" i="65"/>
  <c r="C65" i="63"/>
  <c r="U65" i="63" s="1"/>
  <c r="X65" i="63"/>
  <c r="C105" i="64"/>
  <c r="U105" i="64" s="1"/>
  <c r="X105" i="64"/>
  <c r="F22" i="55"/>
  <c r="Q22" i="55" s="1"/>
  <c r="D90" i="63"/>
  <c r="S22" i="55"/>
  <c r="C65" i="64"/>
  <c r="U65" i="64" s="1"/>
  <c r="X65" i="64"/>
  <c r="M129" i="63"/>
  <c r="X129" i="63" s="1"/>
  <c r="C119" i="63"/>
  <c r="X119" i="63"/>
  <c r="Q108" i="63"/>
  <c r="O108" i="65"/>
  <c r="F88" i="55"/>
  <c r="Q88" i="55" s="1"/>
  <c r="Q81" i="55"/>
  <c r="C64" i="63"/>
  <c r="M66" i="63"/>
  <c r="X64" i="63"/>
  <c r="N108" i="63"/>
  <c r="C91" i="65"/>
  <c r="U91" i="65" s="1"/>
  <c r="X91" i="65"/>
  <c r="C105" i="65"/>
  <c r="U105" i="65" s="1"/>
  <c r="X105" i="65"/>
  <c r="C107" i="65"/>
  <c r="U107" i="65" s="1"/>
  <c r="X107" i="65"/>
  <c r="C107" i="63"/>
  <c r="U107" i="63" s="1"/>
  <c r="X107" i="63"/>
  <c r="M108" i="65"/>
  <c r="C99" i="65"/>
  <c r="X99" i="65"/>
  <c r="O108" i="64"/>
  <c r="C104" i="63"/>
  <c r="U104" i="63" s="1"/>
  <c r="X104" i="63"/>
  <c r="M49" i="65"/>
  <c r="X49" i="65" s="1"/>
  <c r="C39" i="65"/>
  <c r="X39" i="65"/>
  <c r="P66" i="63"/>
  <c r="U16" i="65"/>
  <c r="C26" i="65"/>
  <c r="Q108" i="64"/>
  <c r="C106" i="65"/>
  <c r="U106" i="65" s="1"/>
  <c r="X106" i="65"/>
  <c r="C106" i="63"/>
  <c r="U106" i="63" s="1"/>
  <c r="X106" i="63"/>
  <c r="Q66" i="64"/>
  <c r="M129" i="65"/>
  <c r="X129" i="65" s="1"/>
  <c r="C119" i="65"/>
  <c r="X119" i="65"/>
  <c r="I90" i="65"/>
  <c r="H90" i="65"/>
  <c r="J90" i="65"/>
  <c r="G90" i="65"/>
  <c r="M108" i="64"/>
  <c r="C99" i="64"/>
  <c r="X99" i="64"/>
  <c r="E42" i="59"/>
  <c r="N83" i="59" s="1"/>
  <c r="C91" i="64"/>
  <c r="U91" i="64" s="1"/>
  <c r="X91" i="64"/>
  <c r="P108" i="64"/>
  <c r="C104" i="65"/>
  <c r="U104" i="65" s="1"/>
  <c r="X104" i="65"/>
  <c r="M26" i="65"/>
  <c r="X26" i="65" s="1"/>
  <c r="X16" i="65"/>
  <c r="M90" i="64"/>
  <c r="N90" i="64"/>
  <c r="Q90" i="64"/>
  <c r="R90" i="64"/>
  <c r="O90" i="64"/>
  <c r="P90" i="64"/>
  <c r="C65" i="65"/>
  <c r="U65" i="65" s="1"/>
  <c r="X65" i="65"/>
  <c r="E46" i="59"/>
  <c r="H53" i="59" s="1"/>
  <c r="C104" i="64"/>
  <c r="U104" i="64" s="1"/>
  <c r="X104" i="64"/>
  <c r="C106" i="64"/>
  <c r="U106" i="64" s="1"/>
  <c r="X106" i="64"/>
  <c r="X90" i="63"/>
  <c r="M66" i="65"/>
  <c r="C64" i="65"/>
  <c r="X64" i="65"/>
  <c r="M51" i="64"/>
  <c r="X51" i="64" s="1"/>
  <c r="C41" i="64"/>
  <c r="X41" i="64"/>
  <c r="P66" i="64"/>
  <c r="O108" i="63"/>
  <c r="O66" i="64"/>
  <c r="M26" i="64"/>
  <c r="X16" i="64"/>
  <c r="F82" i="64"/>
  <c r="R108" i="64"/>
  <c r="C105" i="63"/>
  <c r="U105" i="63" s="1"/>
  <c r="X105" i="63"/>
  <c r="M129" i="64"/>
  <c r="X129" i="64" s="1"/>
  <c r="C119" i="64"/>
  <c r="X119" i="64"/>
  <c r="M66" i="64"/>
  <c r="C64" i="64"/>
  <c r="X64" i="64"/>
  <c r="M51" i="63"/>
  <c r="X51" i="63" s="1"/>
  <c r="C41" i="63"/>
  <c r="X41" i="63"/>
  <c r="H90" i="64"/>
  <c r="G90" i="64"/>
  <c r="I90" i="64"/>
  <c r="J90" i="64"/>
  <c r="C91" i="63"/>
  <c r="U91" i="63" s="1"/>
  <c r="X91" i="63"/>
  <c r="C107" i="64"/>
  <c r="U107" i="64" s="1"/>
  <c r="X107" i="64"/>
  <c r="R108" i="63"/>
  <c r="U16" i="63"/>
  <c r="C26" i="63"/>
  <c r="C30" i="63" s="1"/>
  <c r="U30" i="63" s="1"/>
  <c r="G85" i="59"/>
  <c r="H14" i="55" s="1"/>
  <c r="M85" i="59"/>
  <c r="N14" i="55" s="1"/>
  <c r="F85" i="59"/>
  <c r="J85" i="59"/>
  <c r="K14" i="55" s="1"/>
  <c r="I85" i="59"/>
  <c r="J14" i="55" s="1"/>
  <c r="L85" i="59"/>
  <c r="M14" i="55" s="1"/>
  <c r="N108" i="65"/>
  <c r="U16" i="64"/>
  <c r="C26" i="64"/>
  <c r="C30" i="64" s="1"/>
  <c r="U30" i="64" s="1"/>
  <c r="N108" i="64"/>
  <c r="K16" i="15"/>
  <c r="I8" i="31"/>
  <c r="M17" i="51"/>
  <c r="W100" i="20"/>
  <c r="Y100" i="20" s="1"/>
  <c r="Y101" i="20" s="1"/>
  <c r="O27" i="27" s="1"/>
  <c r="I8" i="50"/>
  <c r="M37" i="50"/>
  <c r="M56" i="50"/>
  <c r="M34" i="50"/>
  <c r="M35" i="50"/>
  <c r="M52" i="50"/>
  <c r="M54" i="50"/>
  <c r="M16" i="50"/>
  <c r="M36" i="50"/>
  <c r="M55" i="50"/>
  <c r="M53" i="50"/>
  <c r="M38" i="50"/>
  <c r="K51" i="15"/>
  <c r="K50" i="15"/>
  <c r="N16" i="37"/>
  <c r="N17" i="37" s="1"/>
  <c r="N53" i="37"/>
  <c r="N37" i="37"/>
  <c r="N54" i="37"/>
  <c r="N38" i="37"/>
  <c r="N55" i="37"/>
  <c r="N34" i="37"/>
  <c r="N56" i="37"/>
  <c r="N52" i="37"/>
  <c r="N36" i="37"/>
  <c r="N35" i="37"/>
  <c r="M55" i="15"/>
  <c r="N55" i="15" s="1"/>
  <c r="N16" i="39"/>
  <c r="N35" i="39"/>
  <c r="N38" i="39"/>
  <c r="N36" i="39"/>
  <c r="N34" i="39"/>
  <c r="N37" i="39"/>
  <c r="N52" i="39"/>
  <c r="N56" i="39"/>
  <c r="N53" i="39"/>
  <c r="N55" i="39"/>
  <c r="N54" i="39"/>
  <c r="N16" i="46"/>
  <c r="N17" i="46" s="1"/>
  <c r="N18" i="46" s="1"/>
  <c r="N35" i="46"/>
  <c r="N36" i="46"/>
  <c r="N37" i="46"/>
  <c r="N38" i="46"/>
  <c r="N34" i="46"/>
  <c r="N56" i="46"/>
  <c r="N52" i="46"/>
  <c r="N55" i="46"/>
  <c r="N54" i="46"/>
  <c r="N53" i="46"/>
  <c r="N16" i="38"/>
  <c r="N17" i="38" s="1"/>
  <c r="N35" i="38"/>
  <c r="N37" i="38"/>
  <c r="N36" i="38"/>
  <c r="N56" i="38"/>
  <c r="N55" i="38"/>
  <c r="N53" i="38"/>
  <c r="N38" i="38"/>
  <c r="N54" i="38"/>
  <c r="N34" i="38"/>
  <c r="N52" i="38"/>
  <c r="M53" i="44"/>
  <c r="M36" i="44"/>
  <c r="M52" i="44"/>
  <c r="M38" i="44"/>
  <c r="M56" i="44"/>
  <c r="M37" i="44"/>
  <c r="M54" i="44"/>
  <c r="M55" i="44"/>
  <c r="M35" i="44"/>
  <c r="M34" i="44"/>
  <c r="N16" i="45"/>
  <c r="N17" i="45" s="1"/>
  <c r="N18" i="45" s="1"/>
  <c r="N52" i="45"/>
  <c r="N35" i="45"/>
  <c r="N37" i="45"/>
  <c r="N36" i="45"/>
  <c r="N38" i="45"/>
  <c r="N53" i="45"/>
  <c r="N34" i="45"/>
  <c r="N55" i="45"/>
  <c r="N56" i="45"/>
  <c r="N54" i="45"/>
  <c r="N16" i="43"/>
  <c r="N55" i="43"/>
  <c r="N52" i="43"/>
  <c r="N54" i="43"/>
  <c r="N56" i="43"/>
  <c r="N53" i="43"/>
  <c r="N37" i="43"/>
  <c r="N35" i="43"/>
  <c r="N36" i="43"/>
  <c r="N38" i="43"/>
  <c r="N34" i="43"/>
  <c r="M54" i="36"/>
  <c r="M35" i="36"/>
  <c r="M53" i="36"/>
  <c r="M52" i="36"/>
  <c r="M34" i="36"/>
  <c r="M56" i="36"/>
  <c r="M36" i="36"/>
  <c r="M38" i="36"/>
  <c r="M37" i="36"/>
  <c r="M55" i="36"/>
  <c r="Y17" i="20"/>
  <c r="O16" i="27" s="1"/>
  <c r="M16" i="44"/>
  <c r="M17" i="44" s="1"/>
  <c r="M18" i="44" s="1"/>
  <c r="M19" i="44" s="1"/>
  <c r="M20" i="44" s="1"/>
  <c r="M16" i="36"/>
  <c r="O26" i="27"/>
  <c r="I26" i="11" s="1"/>
  <c r="O28" i="27"/>
  <c r="J8" i="38"/>
  <c r="J8" i="46"/>
  <c r="J8" i="37"/>
  <c r="I8" i="36"/>
  <c r="J8" i="39"/>
  <c r="J5" i="47"/>
  <c r="I5" i="31"/>
  <c r="J8" i="32"/>
  <c r="J8" i="47"/>
  <c r="J8" i="45"/>
  <c r="J8" i="43"/>
  <c r="I8" i="44"/>
  <c r="K61" i="15"/>
  <c r="M61" i="15" s="1"/>
  <c r="N61" i="15" s="1"/>
  <c r="W22" i="20"/>
  <c r="K21" i="15"/>
  <c r="M45" i="15"/>
  <c r="N45" i="15" s="1"/>
  <c r="M25" i="15"/>
  <c r="N25" i="15" s="1"/>
  <c r="K66" i="15"/>
  <c r="M66" i="15" s="1"/>
  <c r="N66" i="15" s="1"/>
  <c r="W111" i="20"/>
  <c r="Y111" i="20" s="1"/>
  <c r="Y112" i="20" s="1"/>
  <c r="O29" i="27" s="1"/>
  <c r="I29" i="11" s="1"/>
  <c r="O24" i="27"/>
  <c r="I24" i="11" s="1"/>
  <c r="M30" i="15"/>
  <c r="N30" i="15" s="1"/>
  <c r="K56" i="15"/>
  <c r="W46" i="20"/>
  <c r="W8" i="20"/>
  <c r="Y8" i="20" s="1"/>
  <c r="K10" i="15"/>
  <c r="K46" i="15"/>
  <c r="O23" i="27"/>
  <c r="I23" i="11" s="1"/>
  <c r="K71" i="15"/>
  <c r="M71" i="15" s="1"/>
  <c r="N71" i="15" s="1"/>
  <c r="K36" i="15"/>
  <c r="M35" i="15"/>
  <c r="N35" i="15" s="1"/>
  <c r="M40" i="15"/>
  <c r="N40" i="15" s="1"/>
  <c r="K26" i="15"/>
  <c r="K41" i="15"/>
  <c r="W6" i="20"/>
  <c r="Y6" i="20" s="1"/>
  <c r="K8" i="15"/>
  <c r="K31" i="15"/>
  <c r="M20" i="15"/>
  <c r="N20" i="15" s="1"/>
  <c r="Y8" i="27" l="1"/>
  <c r="Y11" i="27" s="1"/>
  <c r="N18" i="51"/>
  <c r="N20" i="51"/>
  <c r="M14" i="15"/>
  <c r="N14" i="15" s="1"/>
  <c r="N52" i="51"/>
  <c r="N35" i="51"/>
  <c r="N37" i="51"/>
  <c r="N54" i="51"/>
  <c r="N55" i="51"/>
  <c r="N34" i="51"/>
  <c r="N16" i="51"/>
  <c r="N19" i="51"/>
  <c r="N17" i="51"/>
  <c r="N36" i="51"/>
  <c r="N53" i="51"/>
  <c r="N38" i="51"/>
  <c r="M16" i="15"/>
  <c r="N16" i="15" s="1"/>
  <c r="N17" i="43"/>
  <c r="N18" i="43" s="1"/>
  <c r="N17" i="39"/>
  <c r="U14" i="55"/>
  <c r="X66" i="63"/>
  <c r="N53" i="59"/>
  <c r="H83" i="59"/>
  <c r="I51" i="55" s="1"/>
  <c r="X66" i="65"/>
  <c r="D82" i="65"/>
  <c r="U99" i="64"/>
  <c r="C108" i="64"/>
  <c r="U108" i="64" s="1"/>
  <c r="K87" i="59"/>
  <c r="L20" i="55" s="1"/>
  <c r="E82" i="64"/>
  <c r="W82" i="64"/>
  <c r="X108" i="64"/>
  <c r="X66" i="64"/>
  <c r="K83" i="59"/>
  <c r="I83" i="59"/>
  <c r="F83" i="59"/>
  <c r="L83" i="59"/>
  <c r="G83" i="59"/>
  <c r="J83" i="59"/>
  <c r="M83" i="59"/>
  <c r="K53" i="59"/>
  <c r="U119" i="63"/>
  <c r="C129" i="63"/>
  <c r="U129" i="63" s="1"/>
  <c r="N87" i="59"/>
  <c r="O20" i="55" s="1"/>
  <c r="U119" i="64"/>
  <c r="C129" i="64"/>
  <c r="U129" i="64" s="1"/>
  <c r="C108" i="65"/>
  <c r="U108" i="65" s="1"/>
  <c r="U99" i="65"/>
  <c r="G14" i="55"/>
  <c r="E85" i="59"/>
  <c r="C90" i="64"/>
  <c r="U90" i="64" s="1"/>
  <c r="V90" i="64"/>
  <c r="C90" i="65"/>
  <c r="U90" i="65" s="1"/>
  <c r="V90" i="65"/>
  <c r="X108" i="65"/>
  <c r="M82" i="65"/>
  <c r="O82" i="65"/>
  <c r="R82" i="65"/>
  <c r="P82" i="65"/>
  <c r="N82" i="65"/>
  <c r="Q82" i="65"/>
  <c r="O82" i="63"/>
  <c r="Q82" i="63"/>
  <c r="P82" i="63"/>
  <c r="R82" i="63"/>
  <c r="M82" i="63"/>
  <c r="N82" i="63"/>
  <c r="T14" i="55"/>
  <c r="E82" i="63"/>
  <c r="W82" i="63"/>
  <c r="H87" i="59"/>
  <c r="I20" i="55" s="1"/>
  <c r="U64" i="63"/>
  <c r="C66" i="63"/>
  <c r="U66" i="63" s="1"/>
  <c r="J90" i="63"/>
  <c r="H90" i="63"/>
  <c r="G90" i="63"/>
  <c r="I90" i="63"/>
  <c r="D82" i="64"/>
  <c r="C51" i="63"/>
  <c r="U51" i="63" s="1"/>
  <c r="U41" i="63"/>
  <c r="U41" i="64"/>
  <c r="C51" i="64"/>
  <c r="U51" i="64" s="1"/>
  <c r="C108" i="63"/>
  <c r="U108" i="63" s="1"/>
  <c r="U99" i="63"/>
  <c r="O48" i="55"/>
  <c r="O47" i="55"/>
  <c r="O54" i="55"/>
  <c r="O59" i="54"/>
  <c r="O44" i="55"/>
  <c r="O45" i="55"/>
  <c r="O57" i="54"/>
  <c r="O51" i="55"/>
  <c r="O50" i="55"/>
  <c r="O53" i="55"/>
  <c r="O52" i="55"/>
  <c r="O46" i="55"/>
  <c r="O58" i="54"/>
  <c r="O4" i="54"/>
  <c r="O23" i="54"/>
  <c r="O50" i="54"/>
  <c r="O31" i="54"/>
  <c r="R82" i="64"/>
  <c r="M82" i="64"/>
  <c r="O82" i="64"/>
  <c r="N82" i="64"/>
  <c r="P82" i="64"/>
  <c r="Q82" i="64"/>
  <c r="X108" i="63"/>
  <c r="X90" i="64"/>
  <c r="E82" i="65"/>
  <c r="W82" i="65"/>
  <c r="I53" i="59"/>
  <c r="L53" i="59"/>
  <c r="F53" i="59"/>
  <c r="I87" i="59"/>
  <c r="J20" i="55" s="1"/>
  <c r="J28" i="55" s="1"/>
  <c r="F87" i="59"/>
  <c r="L87" i="59"/>
  <c r="M20" i="55" s="1"/>
  <c r="M28" i="55" s="1"/>
  <c r="J87" i="59"/>
  <c r="K20" i="55" s="1"/>
  <c r="K28" i="55" s="1"/>
  <c r="W96" i="64" s="1"/>
  <c r="J53" i="59"/>
  <c r="G87" i="59"/>
  <c r="H20" i="55" s="1"/>
  <c r="H28" i="55" s="1"/>
  <c r="M87" i="59"/>
  <c r="N20" i="55" s="1"/>
  <c r="N28" i="55" s="1"/>
  <c r="W96" i="65" s="1"/>
  <c r="M53" i="59"/>
  <c r="G53" i="59"/>
  <c r="C129" i="65"/>
  <c r="U129" i="65" s="1"/>
  <c r="U119" i="65"/>
  <c r="U39" i="65"/>
  <c r="C49" i="65"/>
  <c r="U49" i="65" s="1"/>
  <c r="U64" i="64"/>
  <c r="C66" i="64"/>
  <c r="U66" i="64" s="1"/>
  <c r="M30" i="64"/>
  <c r="X26" i="64"/>
  <c r="U64" i="65"/>
  <c r="C66" i="65"/>
  <c r="U66" i="65" s="1"/>
  <c r="M30" i="63"/>
  <c r="X26" i="63"/>
  <c r="M17" i="36"/>
  <c r="M18" i="36" s="1"/>
  <c r="M50" i="15"/>
  <c r="N50" i="15" s="1"/>
  <c r="M51" i="15"/>
  <c r="N51" i="15" s="1"/>
  <c r="M18" i="51"/>
  <c r="M17" i="50"/>
  <c r="N20" i="50"/>
  <c r="N36" i="50"/>
  <c r="N17" i="50"/>
  <c r="N55" i="50"/>
  <c r="N34" i="50"/>
  <c r="N56" i="50"/>
  <c r="N37" i="50"/>
  <c r="N16" i="50"/>
  <c r="N53" i="50"/>
  <c r="N35" i="50"/>
  <c r="N18" i="50"/>
  <c r="N52" i="50"/>
  <c r="N54" i="50"/>
  <c r="N38" i="50"/>
  <c r="N19" i="50"/>
  <c r="O57" i="32"/>
  <c r="O59" i="32"/>
  <c r="O60" i="32"/>
  <c r="O56" i="32"/>
  <c r="O40" i="32"/>
  <c r="P38" i="32"/>
  <c r="P18" i="32" s="1"/>
  <c r="O58" i="32"/>
  <c r="O39" i="32"/>
  <c r="O38" i="32"/>
  <c r="P37" i="32"/>
  <c r="P17" i="32" s="1"/>
  <c r="O37" i="32"/>
  <c r="P39" i="32"/>
  <c r="N37" i="36"/>
  <c r="N54" i="36"/>
  <c r="N53" i="36"/>
  <c r="N36" i="36"/>
  <c r="N35" i="36"/>
  <c r="N52" i="36"/>
  <c r="N56" i="36"/>
  <c r="N55" i="36"/>
  <c r="N34" i="36"/>
  <c r="N38" i="36"/>
  <c r="N16" i="36"/>
  <c r="O54" i="47"/>
  <c r="O38" i="47"/>
  <c r="O34" i="47"/>
  <c r="O37" i="47"/>
  <c r="O55" i="47"/>
  <c r="O36" i="47"/>
  <c r="O56" i="47"/>
  <c r="O52" i="47"/>
  <c r="O53" i="47"/>
  <c r="O35" i="47"/>
  <c r="O36" i="32"/>
  <c r="N16" i="47"/>
  <c r="N17" i="47" s="1"/>
  <c r="N18" i="47" s="1"/>
  <c r="N19" i="47" s="1"/>
  <c r="N55" i="47"/>
  <c r="N54" i="47"/>
  <c r="N35" i="47"/>
  <c r="N53" i="47"/>
  <c r="N52" i="47"/>
  <c r="N36" i="47"/>
  <c r="N37" i="47"/>
  <c r="N38" i="47"/>
  <c r="N34" i="47"/>
  <c r="N56" i="47"/>
  <c r="M56" i="15"/>
  <c r="N56" i="15" s="1"/>
  <c r="O54" i="39"/>
  <c r="O38" i="39"/>
  <c r="O52" i="39"/>
  <c r="O55" i="39"/>
  <c r="O34" i="39"/>
  <c r="O36" i="39"/>
  <c r="O37" i="39"/>
  <c r="O35" i="39"/>
  <c r="O53" i="39"/>
  <c r="O56" i="39"/>
  <c r="N52" i="44"/>
  <c r="N53" i="44"/>
  <c r="N34" i="44"/>
  <c r="N37" i="44"/>
  <c r="N55" i="44"/>
  <c r="N54" i="44"/>
  <c r="N36" i="44"/>
  <c r="N35" i="44"/>
  <c r="N38" i="44"/>
  <c r="N56" i="44"/>
  <c r="N36" i="32"/>
  <c r="N56" i="32"/>
  <c r="O37" i="43"/>
  <c r="O54" i="43"/>
  <c r="O36" i="43"/>
  <c r="O35" i="43"/>
  <c r="O55" i="43"/>
  <c r="O38" i="43"/>
  <c r="O53" i="43"/>
  <c r="O56" i="43"/>
  <c r="O34" i="43"/>
  <c r="O52" i="43"/>
  <c r="O34" i="37"/>
  <c r="O54" i="37"/>
  <c r="O56" i="37"/>
  <c r="O52" i="37"/>
  <c r="O35" i="37"/>
  <c r="O36" i="37"/>
  <c r="O55" i="37"/>
  <c r="O37" i="37"/>
  <c r="O38" i="37"/>
  <c r="O53" i="37"/>
  <c r="O55" i="46"/>
  <c r="O52" i="46"/>
  <c r="O53" i="46"/>
  <c r="O54" i="46"/>
  <c r="O38" i="46"/>
  <c r="O35" i="46"/>
  <c r="O36" i="46"/>
  <c r="O34" i="46"/>
  <c r="O56" i="46"/>
  <c r="O37" i="46"/>
  <c r="O34" i="45"/>
  <c r="O53" i="45"/>
  <c r="O37" i="45"/>
  <c r="O35" i="45"/>
  <c r="O54" i="45"/>
  <c r="O38" i="45"/>
  <c r="O36" i="45"/>
  <c r="O56" i="45"/>
  <c r="O55" i="45"/>
  <c r="O52" i="45"/>
  <c r="O55" i="38"/>
  <c r="O56" i="38"/>
  <c r="O37" i="38"/>
  <c r="O52" i="38"/>
  <c r="O38" i="38"/>
  <c r="O54" i="38"/>
  <c r="O36" i="38"/>
  <c r="O34" i="38"/>
  <c r="O53" i="38"/>
  <c r="O35" i="38"/>
  <c r="N54" i="31"/>
  <c r="N34" i="31"/>
  <c r="N53" i="31"/>
  <c r="N35" i="31"/>
  <c r="N37" i="31"/>
  <c r="N55" i="31"/>
  <c r="N38" i="31"/>
  <c r="N56" i="31"/>
  <c r="N52" i="31"/>
  <c r="N36" i="31"/>
  <c r="M53" i="31"/>
  <c r="M37" i="31"/>
  <c r="M54" i="31"/>
  <c r="M38" i="31"/>
  <c r="M55" i="31"/>
  <c r="M34" i="31"/>
  <c r="M56" i="31"/>
  <c r="M52" i="31"/>
  <c r="M35" i="31"/>
  <c r="M36" i="31"/>
  <c r="Q26" i="11"/>
  <c r="K26" i="11"/>
  <c r="P26" i="27"/>
  <c r="R26" i="27" s="1"/>
  <c r="Q26" i="27"/>
  <c r="I28" i="11"/>
  <c r="N28" i="11" s="1"/>
  <c r="O28" i="11" s="1"/>
  <c r="Q28" i="27"/>
  <c r="P28" i="27"/>
  <c r="R28" i="27" s="1"/>
  <c r="I27" i="11"/>
  <c r="N27" i="11" s="1"/>
  <c r="O27" i="11" s="1"/>
  <c r="Q27" i="27"/>
  <c r="P27" i="27"/>
  <c r="R27" i="27" s="1"/>
  <c r="M16" i="31"/>
  <c r="M17" i="31" s="1"/>
  <c r="M18" i="31" s="1"/>
  <c r="M19" i="31" s="1"/>
  <c r="O30" i="27"/>
  <c r="I30" i="11" s="1"/>
  <c r="K30" i="11" s="1"/>
  <c r="O18" i="27"/>
  <c r="I18" i="11" s="1"/>
  <c r="K18" i="11" s="1"/>
  <c r="O22" i="27"/>
  <c r="I22" i="11" s="1"/>
  <c r="K22" i="11" s="1"/>
  <c r="O19" i="27"/>
  <c r="I19" i="11" s="1"/>
  <c r="Q19" i="11" s="1"/>
  <c r="O20" i="27"/>
  <c r="I20" i="11" s="1"/>
  <c r="O25" i="27"/>
  <c r="I25" i="11" s="1"/>
  <c r="Q25" i="11" s="1"/>
  <c r="Q29" i="11"/>
  <c r="K29" i="11"/>
  <c r="K23" i="11"/>
  <c r="Q23" i="11"/>
  <c r="P16" i="27"/>
  <c r="R16" i="27" s="1"/>
  <c r="I16" i="11"/>
  <c r="K24" i="11"/>
  <c r="Q24" i="11"/>
  <c r="O19" i="47"/>
  <c r="O17" i="47"/>
  <c r="O16" i="47"/>
  <c r="O18" i="47"/>
  <c r="O20" i="47"/>
  <c r="N18" i="36"/>
  <c r="N20" i="36"/>
  <c r="N19" i="36"/>
  <c r="N17" i="36"/>
  <c r="O18" i="37"/>
  <c r="O17" i="37"/>
  <c r="O16" i="37"/>
  <c r="O20" i="37"/>
  <c r="O19" i="37"/>
  <c r="N20" i="44"/>
  <c r="N16" i="44"/>
  <c r="N17" i="44"/>
  <c r="N18" i="44"/>
  <c r="N19" i="44"/>
  <c r="N18" i="38"/>
  <c r="O16" i="46"/>
  <c r="O18" i="46"/>
  <c r="O20" i="46"/>
  <c r="O17" i="46"/>
  <c r="O19" i="46"/>
  <c r="O20" i="38"/>
  <c r="O18" i="38"/>
  <c r="O19" i="38"/>
  <c r="O16" i="38"/>
  <c r="O17" i="38"/>
  <c r="N19" i="46"/>
  <c r="O17" i="43"/>
  <c r="O19" i="43"/>
  <c r="O20" i="43"/>
  <c r="O16" i="43"/>
  <c r="O18" i="43"/>
  <c r="N18" i="37"/>
  <c r="N19" i="45"/>
  <c r="O18" i="45"/>
  <c r="O17" i="45"/>
  <c r="O19" i="45"/>
  <c r="O16" i="45"/>
  <c r="O20" i="45"/>
  <c r="N20" i="31"/>
  <c r="N16" i="31"/>
  <c r="N19" i="31"/>
  <c r="N18" i="31"/>
  <c r="N17" i="31"/>
  <c r="O17" i="39"/>
  <c r="O18" i="39"/>
  <c r="O20" i="39"/>
  <c r="O19" i="39"/>
  <c r="O16" i="39"/>
  <c r="Q16" i="27"/>
  <c r="P23" i="27"/>
  <c r="Q23" i="27"/>
  <c r="M8" i="15"/>
  <c r="N8" i="15" s="1"/>
  <c r="M21" i="15"/>
  <c r="N21" i="15" s="1"/>
  <c r="N26" i="11"/>
  <c r="M31" i="15"/>
  <c r="N31" i="15" s="1"/>
  <c r="Y9" i="20"/>
  <c r="O15" i="27" s="1"/>
  <c r="M46" i="15"/>
  <c r="N46" i="15" s="1"/>
  <c r="M41" i="15"/>
  <c r="N41" i="15" s="1"/>
  <c r="P29" i="27"/>
  <c r="R29" i="27" s="1"/>
  <c r="Q29" i="27"/>
  <c r="Q24" i="27"/>
  <c r="P24" i="27"/>
  <c r="R24" i="27" s="1"/>
  <c r="M26" i="15"/>
  <c r="N26" i="15" s="1"/>
  <c r="M36" i="15"/>
  <c r="N36" i="15" s="1"/>
  <c r="M10" i="15"/>
  <c r="N10" i="15" s="1"/>
  <c r="I31" i="54" l="1"/>
  <c r="I50" i="54"/>
  <c r="F53" i="63" s="1"/>
  <c r="I4" i="54"/>
  <c r="F10" i="63" s="1"/>
  <c r="I54" i="55"/>
  <c r="I48" i="55"/>
  <c r="I46" i="55"/>
  <c r="I59" i="54"/>
  <c r="F60" i="63" s="1"/>
  <c r="I47" i="55"/>
  <c r="N18" i="39"/>
  <c r="I23" i="54"/>
  <c r="H47" i="59" s="1"/>
  <c r="I57" i="54"/>
  <c r="F58" i="63" s="1"/>
  <c r="I50" i="55"/>
  <c r="I44" i="55"/>
  <c r="I52" i="55"/>
  <c r="I45" i="55"/>
  <c r="I58" i="54"/>
  <c r="F59" i="63" s="1"/>
  <c r="I53" i="55"/>
  <c r="K47" i="55"/>
  <c r="K59" i="54"/>
  <c r="K48" i="55"/>
  <c r="K54" i="55"/>
  <c r="K58" i="54"/>
  <c r="K57" i="54"/>
  <c r="K51" i="55"/>
  <c r="K46" i="55"/>
  <c r="K52" i="55"/>
  <c r="K50" i="55"/>
  <c r="K44" i="55"/>
  <c r="K53" i="55"/>
  <c r="K45" i="55"/>
  <c r="K4" i="54"/>
  <c r="K31" i="54"/>
  <c r="K23" i="54"/>
  <c r="K50" i="54"/>
  <c r="G20" i="55"/>
  <c r="G28" i="55" s="1"/>
  <c r="E87" i="59"/>
  <c r="D88" i="64"/>
  <c r="D96" i="64" s="1"/>
  <c r="U20" i="55"/>
  <c r="F88" i="63"/>
  <c r="I28" i="55"/>
  <c r="H59" i="54"/>
  <c r="H48" i="55"/>
  <c r="H47" i="55"/>
  <c r="H54" i="55"/>
  <c r="H50" i="55"/>
  <c r="H57" i="54"/>
  <c r="H53" i="55"/>
  <c r="H46" i="55"/>
  <c r="H45" i="55"/>
  <c r="H58" i="54"/>
  <c r="H51" i="55"/>
  <c r="H44" i="55"/>
  <c r="H52" i="55"/>
  <c r="H4" i="54"/>
  <c r="H50" i="54"/>
  <c r="H23" i="54"/>
  <c r="H31" i="54"/>
  <c r="F33" i="65"/>
  <c r="L47" i="55"/>
  <c r="L59" i="54"/>
  <c r="L48" i="55"/>
  <c r="L54" i="55"/>
  <c r="L53" i="55"/>
  <c r="L44" i="55"/>
  <c r="L57" i="54"/>
  <c r="L52" i="55"/>
  <c r="L46" i="55"/>
  <c r="L58" i="54"/>
  <c r="L51" i="55"/>
  <c r="U51" i="55" s="1"/>
  <c r="L45" i="55"/>
  <c r="L50" i="55"/>
  <c r="L4" i="54"/>
  <c r="L23" i="54"/>
  <c r="L31" i="54"/>
  <c r="L50" i="54"/>
  <c r="D82" i="63"/>
  <c r="S14" i="55"/>
  <c r="F14" i="55"/>
  <c r="O60" i="54"/>
  <c r="F58" i="65"/>
  <c r="F53" i="65"/>
  <c r="O52" i="54"/>
  <c r="F60" i="65"/>
  <c r="J82" i="64"/>
  <c r="G82" i="64"/>
  <c r="I82" i="64"/>
  <c r="H82" i="64"/>
  <c r="M47" i="55"/>
  <c r="M54" i="55"/>
  <c r="M48" i="55"/>
  <c r="M59" i="54"/>
  <c r="M51" i="55"/>
  <c r="M58" i="54"/>
  <c r="M46" i="55"/>
  <c r="M44" i="55"/>
  <c r="M50" i="55"/>
  <c r="M57" i="54"/>
  <c r="M45" i="55"/>
  <c r="M53" i="55"/>
  <c r="M52" i="55"/>
  <c r="M4" i="54"/>
  <c r="M23" i="54"/>
  <c r="M31" i="54"/>
  <c r="M50" i="54"/>
  <c r="W88" i="65"/>
  <c r="E88" i="65"/>
  <c r="E96" i="65" s="1"/>
  <c r="F28" i="65"/>
  <c r="N47" i="59"/>
  <c r="O27" i="54"/>
  <c r="X82" i="65"/>
  <c r="F88" i="65"/>
  <c r="O28" i="55"/>
  <c r="J48" i="55"/>
  <c r="J47" i="55"/>
  <c r="J54" i="55"/>
  <c r="J59" i="54"/>
  <c r="J57" i="54"/>
  <c r="J52" i="55"/>
  <c r="J46" i="55"/>
  <c r="J50" i="55"/>
  <c r="J51" i="55"/>
  <c r="J53" i="55"/>
  <c r="J44" i="55"/>
  <c r="J58" i="54"/>
  <c r="J45" i="55"/>
  <c r="J4" i="54"/>
  <c r="J23" i="54"/>
  <c r="J50" i="54"/>
  <c r="J31" i="54"/>
  <c r="E88" i="63"/>
  <c r="E96" i="63" s="1"/>
  <c r="W88" i="63"/>
  <c r="T20" i="55"/>
  <c r="F10" i="65"/>
  <c r="C90" i="63"/>
  <c r="U90" i="63" s="1"/>
  <c r="V90" i="63"/>
  <c r="X82" i="63"/>
  <c r="F59" i="65"/>
  <c r="E53" i="59"/>
  <c r="I93" i="59" s="1"/>
  <c r="E88" i="64"/>
  <c r="E96" i="64" s="1"/>
  <c r="W88" i="64"/>
  <c r="H82" i="65"/>
  <c r="I82" i="65"/>
  <c r="G82" i="65"/>
  <c r="J82" i="65"/>
  <c r="T28" i="55"/>
  <c r="W96" i="63"/>
  <c r="X82" i="64"/>
  <c r="E83" i="59"/>
  <c r="G59" i="54"/>
  <c r="G48" i="55"/>
  <c r="G47" i="55"/>
  <c r="G54" i="55"/>
  <c r="G57" i="54"/>
  <c r="G52" i="55"/>
  <c r="G50" i="55"/>
  <c r="G44" i="55"/>
  <c r="G58" i="54"/>
  <c r="G51" i="55"/>
  <c r="G46" i="55"/>
  <c r="G53" i="55"/>
  <c r="G45" i="55"/>
  <c r="G4" i="54"/>
  <c r="G31" i="54"/>
  <c r="G23" i="54"/>
  <c r="G50" i="54"/>
  <c r="D88" i="65"/>
  <c r="D96" i="65" s="1"/>
  <c r="N54" i="55"/>
  <c r="N48" i="55"/>
  <c r="N59" i="54"/>
  <c r="N47" i="55"/>
  <c r="N51" i="55"/>
  <c r="N52" i="55"/>
  <c r="N45" i="55"/>
  <c r="N58" i="54"/>
  <c r="N46" i="55"/>
  <c r="N53" i="55"/>
  <c r="N50" i="55"/>
  <c r="N57" i="54"/>
  <c r="N44" i="55"/>
  <c r="N4" i="54"/>
  <c r="N50" i="54"/>
  <c r="N31" i="54"/>
  <c r="N23" i="54"/>
  <c r="F88" i="64"/>
  <c r="L28" i="55"/>
  <c r="M18" i="50"/>
  <c r="M19" i="51"/>
  <c r="P19" i="32"/>
  <c r="N37" i="32"/>
  <c r="K25" i="11"/>
  <c r="Q25" i="27"/>
  <c r="P25" i="27"/>
  <c r="R25" i="27" s="1"/>
  <c r="Q18" i="27"/>
  <c r="P18" i="27"/>
  <c r="R18" i="27" s="1"/>
  <c r="Q18" i="11"/>
  <c r="P22" i="27"/>
  <c r="R22" i="27" s="1"/>
  <c r="Q22" i="27"/>
  <c r="P20" i="27"/>
  <c r="R20" i="27" s="1"/>
  <c r="K19" i="11"/>
  <c r="L19" i="11" s="1"/>
  <c r="Q20" i="11"/>
  <c r="Q30" i="11"/>
  <c r="Q22" i="11"/>
  <c r="K20" i="11"/>
  <c r="Q30" i="27"/>
  <c r="K27" i="11"/>
  <c r="L27" i="11" s="1"/>
  <c r="Q27" i="11"/>
  <c r="P30" i="27"/>
  <c r="R30" i="27" s="1"/>
  <c r="Q19" i="27"/>
  <c r="Q20" i="27"/>
  <c r="P19" i="27"/>
  <c r="R19" i="27" s="1"/>
  <c r="K28" i="11"/>
  <c r="L28" i="11" s="1"/>
  <c r="Q28" i="11"/>
  <c r="O8" i="27"/>
  <c r="O8" i="30" s="1"/>
  <c r="N22" i="30" s="1"/>
  <c r="I15" i="11"/>
  <c r="K16" i="11"/>
  <c r="L16" i="11" s="1"/>
  <c r="Q16" i="11"/>
  <c r="O18" i="32"/>
  <c r="O17" i="32"/>
  <c r="O20" i="32"/>
  <c r="O26" i="11"/>
  <c r="N20" i="47"/>
  <c r="L26" i="11"/>
  <c r="N20" i="46"/>
  <c r="N19" i="38"/>
  <c r="M19" i="36"/>
  <c r="N19" i="37"/>
  <c r="N20" i="45"/>
  <c r="M20" i="31"/>
  <c r="O19" i="32"/>
  <c r="N57" i="32"/>
  <c r="N16" i="32"/>
  <c r="O16" i="32"/>
  <c r="N19" i="43"/>
  <c r="N16" i="11"/>
  <c r="N23" i="11"/>
  <c r="N25" i="11"/>
  <c r="R23" i="27"/>
  <c r="N20" i="11"/>
  <c r="N22" i="11"/>
  <c r="O22" i="11" s="1"/>
  <c r="L22" i="11"/>
  <c r="L29" i="11"/>
  <c r="N29" i="11"/>
  <c r="O29" i="11" s="1"/>
  <c r="N24" i="11"/>
  <c r="O24" i="11" s="1"/>
  <c r="L24" i="11"/>
  <c r="Q15" i="27"/>
  <c r="P15" i="27"/>
  <c r="L30" i="11"/>
  <c r="N30" i="11"/>
  <c r="O30" i="11" s="1"/>
  <c r="N19" i="11"/>
  <c r="O19" i="11" s="1"/>
  <c r="N18" i="11"/>
  <c r="O18" i="11" s="1"/>
  <c r="L18" i="11"/>
  <c r="P8" i="27" l="1"/>
  <c r="E49" i="53" s="1"/>
  <c r="E24" i="53" s="1"/>
  <c r="U50" i="54"/>
  <c r="F28" i="63"/>
  <c r="P28" i="63" s="1"/>
  <c r="I27" i="54"/>
  <c r="H40" i="59" s="1"/>
  <c r="U46" i="55"/>
  <c r="I52" i="54"/>
  <c r="F35" i="63"/>
  <c r="F55" i="63" s="1"/>
  <c r="U48" i="55"/>
  <c r="U54" i="55"/>
  <c r="U58" i="54"/>
  <c r="I60" i="54"/>
  <c r="U59" i="54"/>
  <c r="U50" i="55"/>
  <c r="U47" i="55"/>
  <c r="N19" i="39"/>
  <c r="U45" i="55"/>
  <c r="U52" i="55"/>
  <c r="U57" i="54"/>
  <c r="U44" i="55"/>
  <c r="U53" i="55"/>
  <c r="F93" i="59"/>
  <c r="L93" i="59"/>
  <c r="K93" i="59"/>
  <c r="T51" i="55"/>
  <c r="D53" i="64"/>
  <c r="J52" i="54"/>
  <c r="F10" i="64"/>
  <c r="W53" i="65"/>
  <c r="N52" i="54"/>
  <c r="W55" i="65" s="1"/>
  <c r="E53" i="65"/>
  <c r="W60" i="65"/>
  <c r="E60" i="65"/>
  <c r="F4" i="54"/>
  <c r="Q4" i="54" s="1"/>
  <c r="D10" i="63"/>
  <c r="S4" i="54"/>
  <c r="S48" i="55"/>
  <c r="F48" i="55"/>
  <c r="Q48" i="55" s="1"/>
  <c r="P53" i="65"/>
  <c r="Q53" i="65"/>
  <c r="N53" i="65"/>
  <c r="O53" i="65"/>
  <c r="R53" i="65"/>
  <c r="M53" i="65"/>
  <c r="T4" i="54"/>
  <c r="E10" i="63"/>
  <c r="W10" i="63"/>
  <c r="G9" i="53"/>
  <c r="M60" i="54"/>
  <c r="D58" i="65"/>
  <c r="G9" i="52"/>
  <c r="E10" i="65"/>
  <c r="W10" i="65"/>
  <c r="S45" i="55"/>
  <c r="F45" i="55"/>
  <c r="Q45" i="55" s="1"/>
  <c r="E11" i="53"/>
  <c r="D60" i="63"/>
  <c r="S59" i="54"/>
  <c r="F59" i="54"/>
  <c r="Q59" i="54" s="1"/>
  <c r="E11" i="52"/>
  <c r="D35" i="64"/>
  <c r="D58" i="64"/>
  <c r="F9" i="53"/>
  <c r="F9" i="52"/>
  <c r="J60" i="54"/>
  <c r="N40" i="59"/>
  <c r="O25" i="54"/>
  <c r="O54" i="54"/>
  <c r="N49" i="59" s="1"/>
  <c r="F30" i="65"/>
  <c r="M93" i="59"/>
  <c r="L52" i="54"/>
  <c r="F53" i="64"/>
  <c r="T52" i="55"/>
  <c r="T59" i="54"/>
  <c r="E60" i="63"/>
  <c r="W60" i="63"/>
  <c r="P59" i="63"/>
  <c r="N59" i="63"/>
  <c r="M59" i="63"/>
  <c r="Q59" i="63"/>
  <c r="R59" i="63"/>
  <c r="O59" i="63"/>
  <c r="J88" i="65"/>
  <c r="J96" i="65" s="1"/>
  <c r="G88" i="65"/>
  <c r="G96" i="65" s="1"/>
  <c r="I88" i="65"/>
  <c r="I96" i="65" s="1"/>
  <c r="H88" i="65"/>
  <c r="H96" i="65" s="1"/>
  <c r="E10" i="53"/>
  <c r="S58" i="54"/>
  <c r="F58" i="54"/>
  <c r="Q58" i="54" s="1"/>
  <c r="E10" i="52"/>
  <c r="D59" i="63"/>
  <c r="Q60" i="63"/>
  <c r="R60" i="63"/>
  <c r="M60" i="63"/>
  <c r="O60" i="63"/>
  <c r="N60" i="63"/>
  <c r="P60" i="63"/>
  <c r="T45" i="55"/>
  <c r="E58" i="64"/>
  <c r="K60" i="54"/>
  <c r="W61" i="64" s="1"/>
  <c r="W58" i="64"/>
  <c r="F35" i="64"/>
  <c r="N60" i="54"/>
  <c r="W61" i="65" s="1"/>
  <c r="E58" i="65"/>
  <c r="W58" i="65"/>
  <c r="R53" i="63"/>
  <c r="N53" i="63"/>
  <c r="O53" i="63"/>
  <c r="M53" i="63"/>
  <c r="Q53" i="63"/>
  <c r="P53" i="63"/>
  <c r="S44" i="55"/>
  <c r="F44" i="55"/>
  <c r="Q44" i="55" s="1"/>
  <c r="D59" i="64"/>
  <c r="F10" i="52"/>
  <c r="F10" i="53"/>
  <c r="F61" i="63"/>
  <c r="P58" i="63"/>
  <c r="R58" i="63"/>
  <c r="N58" i="63"/>
  <c r="Q58" i="63"/>
  <c r="M58" i="63"/>
  <c r="O58" i="63"/>
  <c r="C82" i="64"/>
  <c r="V82" i="64"/>
  <c r="S28" i="55"/>
  <c r="T46" i="55"/>
  <c r="W53" i="64"/>
  <c r="E53" i="64"/>
  <c r="K52" i="54"/>
  <c r="W55" i="64" s="1"/>
  <c r="W59" i="64"/>
  <c r="E59" i="64"/>
  <c r="F53" i="55"/>
  <c r="Q53" i="55" s="1"/>
  <c r="S53" i="55"/>
  <c r="U28" i="55"/>
  <c r="L27" i="54"/>
  <c r="F28" i="64"/>
  <c r="K47" i="59"/>
  <c r="Q88" i="63"/>
  <c r="Q96" i="63" s="1"/>
  <c r="P88" i="63"/>
  <c r="P96" i="63" s="1"/>
  <c r="N88" i="63"/>
  <c r="N96" i="63" s="1"/>
  <c r="O88" i="63"/>
  <c r="O96" i="63" s="1"/>
  <c r="R88" i="63"/>
  <c r="R96" i="63" s="1"/>
  <c r="M88" i="63"/>
  <c r="F96" i="63"/>
  <c r="E59" i="65"/>
  <c r="W59" i="65"/>
  <c r="S50" i="55"/>
  <c r="F50" i="55"/>
  <c r="Q50" i="55" s="1"/>
  <c r="H93" i="59"/>
  <c r="N93" i="59"/>
  <c r="R10" i="65"/>
  <c r="N10" i="65"/>
  <c r="P10" i="65"/>
  <c r="Q10" i="65"/>
  <c r="M10" i="65"/>
  <c r="O10" i="65"/>
  <c r="D59" i="65"/>
  <c r="G10" i="53"/>
  <c r="G10" i="52"/>
  <c r="T53" i="55"/>
  <c r="H88" i="64"/>
  <c r="H96" i="64" s="1"/>
  <c r="G88" i="64"/>
  <c r="J88" i="64"/>
  <c r="J96" i="64" s="1"/>
  <c r="I88" i="64"/>
  <c r="I96" i="64" s="1"/>
  <c r="K27" i="54"/>
  <c r="W28" i="64"/>
  <c r="E28" i="64"/>
  <c r="J47" i="59"/>
  <c r="T54" i="55"/>
  <c r="T44" i="55"/>
  <c r="E59" i="63"/>
  <c r="W59" i="63"/>
  <c r="T58" i="54"/>
  <c r="S52" i="55"/>
  <c r="F52" i="55"/>
  <c r="Q52" i="55" s="1"/>
  <c r="C82" i="65"/>
  <c r="V82" i="65"/>
  <c r="U4" i="54"/>
  <c r="M52" i="54"/>
  <c r="D53" i="65"/>
  <c r="Q14" i="55"/>
  <c r="F59" i="64"/>
  <c r="F55" i="65"/>
  <c r="Q33" i="65"/>
  <c r="N33" i="65"/>
  <c r="O33" i="65"/>
  <c r="P33" i="65"/>
  <c r="R33" i="65"/>
  <c r="M33" i="65"/>
  <c r="U31" i="54"/>
  <c r="W58" i="63"/>
  <c r="E58" i="63"/>
  <c r="T57" i="54"/>
  <c r="H60" i="54"/>
  <c r="E35" i="64"/>
  <c r="W35" i="64"/>
  <c r="T48" i="55"/>
  <c r="D60" i="64"/>
  <c r="F11" i="52"/>
  <c r="F11" i="53"/>
  <c r="M88" i="65"/>
  <c r="R88" i="65"/>
  <c r="R96" i="65" s="1"/>
  <c r="O88" i="65"/>
  <c r="O96" i="65" s="1"/>
  <c r="N88" i="65"/>
  <c r="N96" i="65" s="1"/>
  <c r="P88" i="65"/>
  <c r="P96" i="65" s="1"/>
  <c r="Q88" i="65"/>
  <c r="Q96" i="65" s="1"/>
  <c r="F96" i="65"/>
  <c r="D33" i="65"/>
  <c r="G11" i="53"/>
  <c r="G11" i="52"/>
  <c r="D60" i="65"/>
  <c r="N60" i="65"/>
  <c r="P60" i="65"/>
  <c r="O60" i="65"/>
  <c r="R60" i="65"/>
  <c r="Q60" i="65"/>
  <c r="M60" i="65"/>
  <c r="G93" i="59"/>
  <c r="E35" i="63"/>
  <c r="W35" i="63"/>
  <c r="T31" i="54"/>
  <c r="T50" i="55"/>
  <c r="E10" i="64"/>
  <c r="W10" i="64"/>
  <c r="E60" i="64"/>
  <c r="W60" i="64"/>
  <c r="D28" i="64"/>
  <c r="J27" i="54"/>
  <c r="I47" i="59"/>
  <c r="D10" i="64"/>
  <c r="Q88" i="64"/>
  <c r="Q96" i="64" s="1"/>
  <c r="R88" i="64"/>
  <c r="R96" i="64" s="1"/>
  <c r="M88" i="64"/>
  <c r="O88" i="64"/>
  <c r="O96" i="64" s="1"/>
  <c r="N88" i="64"/>
  <c r="N96" i="64" s="1"/>
  <c r="P88" i="64"/>
  <c r="P96" i="64" s="1"/>
  <c r="F96" i="64"/>
  <c r="F50" i="54"/>
  <c r="G52" i="54"/>
  <c r="D53" i="63"/>
  <c r="S50" i="54"/>
  <c r="Q10" i="63"/>
  <c r="O10" i="63"/>
  <c r="R10" i="63"/>
  <c r="N10" i="63"/>
  <c r="P10" i="63"/>
  <c r="M10" i="63"/>
  <c r="E28" i="65"/>
  <c r="W28" i="65"/>
  <c r="M47" i="59"/>
  <c r="N27" i="54"/>
  <c r="L47" i="59"/>
  <c r="M27" i="54"/>
  <c r="D28" i="65"/>
  <c r="G82" i="63"/>
  <c r="J82" i="63"/>
  <c r="H82" i="63"/>
  <c r="I82" i="63"/>
  <c r="W28" i="63"/>
  <c r="H27" i="54"/>
  <c r="E28" i="63"/>
  <c r="G47" i="59"/>
  <c r="T23" i="54"/>
  <c r="S20" i="55"/>
  <c r="D88" i="63"/>
  <c r="D96" i="63" s="1"/>
  <c r="F20" i="55"/>
  <c r="Q20" i="55" s="1"/>
  <c r="F46" i="55"/>
  <c r="Q46" i="55" s="1"/>
  <c r="S46" i="55"/>
  <c r="P28" i="65"/>
  <c r="M28" i="65"/>
  <c r="O28" i="65"/>
  <c r="R28" i="65"/>
  <c r="N28" i="65"/>
  <c r="Q28" i="65"/>
  <c r="F51" i="55"/>
  <c r="Q51" i="55" s="1"/>
  <c r="S51" i="55"/>
  <c r="P58" i="65"/>
  <c r="Q58" i="65"/>
  <c r="F61" i="65"/>
  <c r="M58" i="65"/>
  <c r="O58" i="65"/>
  <c r="N58" i="65"/>
  <c r="R58" i="65"/>
  <c r="F60" i="64"/>
  <c r="D58" i="63"/>
  <c r="E9" i="53"/>
  <c r="E9" i="52"/>
  <c r="G60" i="54"/>
  <c r="F57" i="54"/>
  <c r="S57" i="54"/>
  <c r="F47" i="59"/>
  <c r="S23" i="54"/>
  <c r="F23" i="54"/>
  <c r="Q23" i="54" s="1"/>
  <c r="D28" i="63"/>
  <c r="G27" i="54"/>
  <c r="S54" i="55"/>
  <c r="F54" i="55"/>
  <c r="Q54" i="55" s="1"/>
  <c r="Q59" i="65"/>
  <c r="R59" i="65"/>
  <c r="M59" i="65"/>
  <c r="O59" i="65"/>
  <c r="N59" i="65"/>
  <c r="P59" i="65"/>
  <c r="W33" i="65"/>
  <c r="E33" i="65"/>
  <c r="F31" i="54"/>
  <c r="Q31" i="54" s="1"/>
  <c r="D35" i="63"/>
  <c r="S31" i="54"/>
  <c r="S47" i="55"/>
  <c r="F47" i="55"/>
  <c r="Q47" i="55" s="1"/>
  <c r="J93" i="59"/>
  <c r="U23" i="54"/>
  <c r="D10" i="65"/>
  <c r="F58" i="64"/>
  <c r="L60" i="54"/>
  <c r="T50" i="54"/>
  <c r="H52" i="54"/>
  <c r="W53" i="63"/>
  <c r="E53" i="63"/>
  <c r="T47" i="55"/>
  <c r="M20" i="51"/>
  <c r="M19" i="50"/>
  <c r="N38" i="32"/>
  <c r="K15" i="11"/>
  <c r="K9" i="11" s="1"/>
  <c r="L9" i="11" s="1"/>
  <c r="I9" i="11"/>
  <c r="O16" i="11"/>
  <c r="N58" i="32"/>
  <c r="N17" i="32"/>
  <c r="N20" i="37"/>
  <c r="N20" i="38"/>
  <c r="N20" i="43"/>
  <c r="M20" i="36"/>
  <c r="L25" i="11"/>
  <c r="Q8" i="30"/>
  <c r="Q8" i="27"/>
  <c r="O20" i="11"/>
  <c r="O25" i="11"/>
  <c r="Q15" i="11"/>
  <c r="Q9" i="11" s="1"/>
  <c r="N15" i="11"/>
  <c r="N9" i="11" s="1"/>
  <c r="O9" i="11" s="1"/>
  <c r="R15" i="27"/>
  <c r="L23" i="11"/>
  <c r="L20" i="11"/>
  <c r="O23" i="11"/>
  <c r="N28" i="63" l="1"/>
  <c r="N32" i="63" s="1"/>
  <c r="O28" i="63"/>
  <c r="U27" i="54"/>
  <c r="M28" i="63"/>
  <c r="M32" i="63" s="1"/>
  <c r="R28" i="63"/>
  <c r="R32" i="63" s="1"/>
  <c r="Q28" i="63"/>
  <c r="Q32" i="63" s="1"/>
  <c r="F32" i="63"/>
  <c r="I54" i="54"/>
  <c r="H49" i="59" s="1"/>
  <c r="I25" i="54"/>
  <c r="Q35" i="63"/>
  <c r="Q55" i="63" s="1"/>
  <c r="N35" i="63"/>
  <c r="N55" i="63" s="1"/>
  <c r="U52" i="54"/>
  <c r="R35" i="63"/>
  <c r="R55" i="63" s="1"/>
  <c r="O35" i="63"/>
  <c r="O55" i="63" s="1"/>
  <c r="P35" i="63"/>
  <c r="P55" i="63" s="1"/>
  <c r="M35" i="63"/>
  <c r="M55" i="63" s="1"/>
  <c r="U60" i="54"/>
  <c r="O55" i="65"/>
  <c r="N20" i="39"/>
  <c r="Q30" i="65"/>
  <c r="P32" i="63"/>
  <c r="N55" i="65"/>
  <c r="E55" i="65"/>
  <c r="R61" i="63"/>
  <c r="R30" i="65"/>
  <c r="P55" i="65"/>
  <c r="N30" i="65"/>
  <c r="E93" i="59"/>
  <c r="P61" i="63"/>
  <c r="X59" i="65"/>
  <c r="R55" i="65"/>
  <c r="O32" i="63"/>
  <c r="D11" i="52"/>
  <c r="Q55" i="65"/>
  <c r="X10" i="65"/>
  <c r="P30" i="65"/>
  <c r="E55" i="64"/>
  <c r="N61" i="63"/>
  <c r="D11" i="53"/>
  <c r="I11" i="53" s="1"/>
  <c r="V96" i="65"/>
  <c r="M96" i="65"/>
  <c r="X88" i="65"/>
  <c r="F27" i="54"/>
  <c r="D32" i="63"/>
  <c r="G25" i="54"/>
  <c r="S27" i="54"/>
  <c r="G54" i="54"/>
  <c r="E4" i="53"/>
  <c r="F40" i="59"/>
  <c r="E4" i="52"/>
  <c r="I58" i="63"/>
  <c r="D61" i="63"/>
  <c r="H58" i="63"/>
  <c r="J58" i="63"/>
  <c r="G58" i="63"/>
  <c r="I53" i="65"/>
  <c r="J53" i="65"/>
  <c r="G53" i="65"/>
  <c r="H53" i="65"/>
  <c r="J10" i="65"/>
  <c r="H10" i="65"/>
  <c r="G10" i="65"/>
  <c r="I10" i="65"/>
  <c r="E47" i="59"/>
  <c r="F88" i="59" s="1"/>
  <c r="N61" i="65"/>
  <c r="M30" i="65"/>
  <c r="X28" i="65"/>
  <c r="H25" i="54"/>
  <c r="H54" i="54"/>
  <c r="E32" i="63"/>
  <c r="T27" i="54"/>
  <c r="W32" i="63"/>
  <c r="G40" i="59"/>
  <c r="E30" i="65"/>
  <c r="W30" i="65"/>
  <c r="M40" i="59"/>
  <c r="N25" i="54"/>
  <c r="N54" i="54"/>
  <c r="M49" i="59" s="1"/>
  <c r="J53" i="63"/>
  <c r="G53" i="63"/>
  <c r="H53" i="63"/>
  <c r="I53" i="63"/>
  <c r="D55" i="65"/>
  <c r="J33" i="65"/>
  <c r="H33" i="65"/>
  <c r="I33" i="65"/>
  <c r="G33" i="65"/>
  <c r="E32" i="64"/>
  <c r="W32" i="64"/>
  <c r="J40" i="59"/>
  <c r="K54" i="54"/>
  <c r="J49" i="59" s="1"/>
  <c r="K25" i="54"/>
  <c r="M61" i="63"/>
  <c r="X58" i="63"/>
  <c r="O35" i="64"/>
  <c r="M35" i="64"/>
  <c r="P35" i="64"/>
  <c r="R35" i="64"/>
  <c r="F55" i="64"/>
  <c r="N35" i="64"/>
  <c r="Q35" i="64"/>
  <c r="D55" i="64"/>
  <c r="G35" i="64"/>
  <c r="I35" i="64"/>
  <c r="H35" i="64"/>
  <c r="J35" i="64"/>
  <c r="G10" i="63"/>
  <c r="I10" i="63"/>
  <c r="H10" i="63"/>
  <c r="J10" i="63"/>
  <c r="C82" i="63"/>
  <c r="V82" i="63"/>
  <c r="O61" i="65"/>
  <c r="E5" i="53"/>
  <c r="E5" i="52"/>
  <c r="S52" i="54"/>
  <c r="X60" i="65"/>
  <c r="U82" i="65"/>
  <c r="Q61" i="63"/>
  <c r="D10" i="53"/>
  <c r="I10" i="53" s="1"/>
  <c r="X59" i="63"/>
  <c r="D61" i="65"/>
  <c r="I58" i="65"/>
  <c r="J58" i="65"/>
  <c r="G58" i="65"/>
  <c r="H58" i="65"/>
  <c r="M61" i="65"/>
  <c r="X58" i="65"/>
  <c r="X53" i="63"/>
  <c r="F52" i="54"/>
  <c r="Q52" i="54" s="1"/>
  <c r="Q50" i="54"/>
  <c r="F60" i="54"/>
  <c r="Q60" i="54" s="1"/>
  <c r="Q57" i="54"/>
  <c r="O59" i="64"/>
  <c r="N59" i="64"/>
  <c r="M59" i="64"/>
  <c r="Q59" i="64"/>
  <c r="P59" i="64"/>
  <c r="R59" i="64"/>
  <c r="C88" i="65"/>
  <c r="U88" i="65" s="1"/>
  <c r="V88" i="65"/>
  <c r="J28" i="64"/>
  <c r="I28" i="64"/>
  <c r="G28" i="64"/>
  <c r="H28" i="64"/>
  <c r="T60" i="54"/>
  <c r="W61" i="63"/>
  <c r="C88" i="64"/>
  <c r="U88" i="64" s="1"/>
  <c r="V88" i="64"/>
  <c r="Q61" i="65"/>
  <c r="X10" i="63"/>
  <c r="X60" i="63"/>
  <c r="S60" i="54"/>
  <c r="P61" i="65"/>
  <c r="E61" i="63"/>
  <c r="F28" i="55"/>
  <c r="Q28" i="55" s="1"/>
  <c r="G59" i="65"/>
  <c r="H59" i="65"/>
  <c r="I59" i="65"/>
  <c r="J59" i="65"/>
  <c r="G60" i="63"/>
  <c r="J60" i="63"/>
  <c r="H60" i="63"/>
  <c r="I60" i="63"/>
  <c r="F4" i="53"/>
  <c r="D32" i="64"/>
  <c r="F4" i="52"/>
  <c r="I40" i="59"/>
  <c r="J25" i="54"/>
  <c r="J54" i="54"/>
  <c r="I49" i="59" s="1"/>
  <c r="F32" i="64"/>
  <c r="K40" i="59"/>
  <c r="L25" i="54"/>
  <c r="L54" i="54"/>
  <c r="K49" i="59" s="1"/>
  <c r="X53" i="65"/>
  <c r="N10" i="64"/>
  <c r="M10" i="64"/>
  <c r="P10" i="64"/>
  <c r="R10" i="64"/>
  <c r="O10" i="64"/>
  <c r="Q10" i="64"/>
  <c r="P28" i="64"/>
  <c r="N28" i="64"/>
  <c r="Q28" i="64"/>
  <c r="M28" i="64"/>
  <c r="O28" i="64"/>
  <c r="R28" i="64"/>
  <c r="D9" i="53"/>
  <c r="G88" i="63"/>
  <c r="G96" i="63" s="1"/>
  <c r="I88" i="63"/>
  <c r="I96" i="63" s="1"/>
  <c r="J88" i="63"/>
  <c r="J96" i="63" s="1"/>
  <c r="H88" i="63"/>
  <c r="H96" i="63" s="1"/>
  <c r="M96" i="64"/>
  <c r="X88" i="64"/>
  <c r="M55" i="65"/>
  <c r="X33" i="65"/>
  <c r="G28" i="63"/>
  <c r="H28" i="63"/>
  <c r="I28" i="63"/>
  <c r="J28" i="63"/>
  <c r="G4" i="52"/>
  <c r="M25" i="54"/>
  <c r="D30" i="65"/>
  <c r="L40" i="59"/>
  <c r="G4" i="53"/>
  <c r="M54" i="54"/>
  <c r="L49" i="59" s="1"/>
  <c r="G5" i="53"/>
  <c r="G5" i="52"/>
  <c r="G96" i="64"/>
  <c r="G59" i="64"/>
  <c r="I59" i="64"/>
  <c r="J59" i="64"/>
  <c r="H59" i="64"/>
  <c r="E61" i="65"/>
  <c r="E61" i="64"/>
  <c r="G59" i="63"/>
  <c r="H59" i="63"/>
  <c r="I59" i="63"/>
  <c r="J59" i="63"/>
  <c r="E32" i="53"/>
  <c r="O53" i="64"/>
  <c r="Q53" i="64"/>
  <c r="P53" i="64"/>
  <c r="N53" i="64"/>
  <c r="R53" i="64"/>
  <c r="M53" i="64"/>
  <c r="M96" i="63"/>
  <c r="X88" i="63"/>
  <c r="U82" i="64"/>
  <c r="D10" i="52"/>
  <c r="G58" i="64"/>
  <c r="H58" i="64"/>
  <c r="D61" i="64"/>
  <c r="I58" i="64"/>
  <c r="J58" i="64"/>
  <c r="F5" i="53"/>
  <c r="F5" i="52"/>
  <c r="W55" i="63"/>
  <c r="T52" i="54"/>
  <c r="D9" i="52"/>
  <c r="D55" i="63"/>
  <c r="H35" i="63"/>
  <c r="I35" i="63"/>
  <c r="J35" i="63"/>
  <c r="G35" i="63"/>
  <c r="G28" i="65"/>
  <c r="H28" i="65"/>
  <c r="J28" i="65"/>
  <c r="I28" i="65"/>
  <c r="I60" i="65"/>
  <c r="H60" i="65"/>
  <c r="J60" i="65"/>
  <c r="G60" i="65"/>
  <c r="Q58" i="64"/>
  <c r="P58" i="64"/>
  <c r="O58" i="64"/>
  <c r="M58" i="64"/>
  <c r="F61" i="64"/>
  <c r="R58" i="64"/>
  <c r="N58" i="64"/>
  <c r="P60" i="64"/>
  <c r="Q60" i="64"/>
  <c r="O60" i="64"/>
  <c r="M60" i="64"/>
  <c r="R60" i="64"/>
  <c r="N60" i="64"/>
  <c r="R61" i="65"/>
  <c r="O30" i="65"/>
  <c r="I10" i="64"/>
  <c r="G10" i="64"/>
  <c r="H10" i="64"/>
  <c r="J10" i="64"/>
  <c r="E55" i="63"/>
  <c r="J60" i="64"/>
  <c r="I60" i="64"/>
  <c r="H60" i="64"/>
  <c r="G60" i="64"/>
  <c r="O61" i="63"/>
  <c r="H53" i="64"/>
  <c r="G53" i="64"/>
  <c r="J53" i="64"/>
  <c r="I53" i="64"/>
  <c r="M20" i="50"/>
  <c r="N39" i="32"/>
  <c r="N59" i="32"/>
  <c r="N18" i="32"/>
  <c r="T8" i="30"/>
  <c r="L15" i="11"/>
  <c r="I8" i="14"/>
  <c r="R8" i="27"/>
  <c r="O15" i="11"/>
  <c r="X28" i="63" l="1"/>
  <c r="X35" i="63"/>
  <c r="I55" i="63"/>
  <c r="H55" i="65"/>
  <c r="I61" i="64"/>
  <c r="M88" i="59"/>
  <c r="I32" i="64"/>
  <c r="J88" i="59"/>
  <c r="I88" i="59"/>
  <c r="L88" i="59"/>
  <c r="G88" i="59"/>
  <c r="J55" i="63"/>
  <c r="O61" i="64"/>
  <c r="J55" i="65"/>
  <c r="X55" i="65"/>
  <c r="X28" i="64"/>
  <c r="J55" i="64"/>
  <c r="J30" i="65"/>
  <c r="G6" i="53"/>
  <c r="H61" i="64"/>
  <c r="R32" i="64"/>
  <c r="P32" i="64"/>
  <c r="Q61" i="64"/>
  <c r="H55" i="63"/>
  <c r="G6" i="52"/>
  <c r="C96" i="64"/>
  <c r="U96" i="64" s="1"/>
  <c r="V96" i="63"/>
  <c r="E6" i="52"/>
  <c r="D4" i="52"/>
  <c r="G32" i="64"/>
  <c r="C28" i="64"/>
  <c r="U28" i="64" s="1"/>
  <c r="V28" i="64"/>
  <c r="X61" i="65"/>
  <c r="M55" i="64"/>
  <c r="X35" i="64"/>
  <c r="C10" i="65"/>
  <c r="U10" i="65" s="1"/>
  <c r="G30" i="65"/>
  <c r="V10" i="65"/>
  <c r="P61" i="64"/>
  <c r="X53" i="64"/>
  <c r="Q32" i="64"/>
  <c r="H61" i="65"/>
  <c r="G32" i="63"/>
  <c r="C10" i="63"/>
  <c r="U10" i="63" s="1"/>
  <c r="V10" i="63"/>
  <c r="O55" i="64"/>
  <c r="H30" i="65"/>
  <c r="E40" i="59"/>
  <c r="J81" i="59" s="1"/>
  <c r="C58" i="65"/>
  <c r="G61" i="65"/>
  <c r="V58" i="65"/>
  <c r="E6" i="53"/>
  <c r="D4" i="53"/>
  <c r="C60" i="64"/>
  <c r="U60" i="64" s="1"/>
  <c r="V60" i="64"/>
  <c r="C60" i="65"/>
  <c r="U60" i="65" s="1"/>
  <c r="V60" i="65"/>
  <c r="C58" i="64"/>
  <c r="G61" i="64"/>
  <c r="V58" i="64"/>
  <c r="X96" i="64"/>
  <c r="J61" i="65"/>
  <c r="D5" i="52"/>
  <c r="J5" i="52" s="1"/>
  <c r="H55" i="64"/>
  <c r="X61" i="63"/>
  <c r="S54" i="54"/>
  <c r="F49" i="59"/>
  <c r="C53" i="64"/>
  <c r="U53" i="64" s="1"/>
  <c r="V53" i="64"/>
  <c r="C60" i="63"/>
  <c r="U60" i="63" s="1"/>
  <c r="V60" i="63"/>
  <c r="I61" i="65"/>
  <c r="D5" i="53"/>
  <c r="I5" i="53" s="1"/>
  <c r="I55" i="64"/>
  <c r="G49" i="59"/>
  <c r="T54" i="54"/>
  <c r="C53" i="65"/>
  <c r="U53" i="65" s="1"/>
  <c r="V53" i="65"/>
  <c r="U54" i="54"/>
  <c r="C35" i="64"/>
  <c r="U35" i="64" s="1"/>
  <c r="G55" i="64"/>
  <c r="V35" i="64"/>
  <c r="C53" i="63"/>
  <c r="U53" i="63" s="1"/>
  <c r="V53" i="63"/>
  <c r="F25" i="54"/>
  <c r="X60" i="64"/>
  <c r="Q55" i="64"/>
  <c r="X30" i="65"/>
  <c r="G61" i="63"/>
  <c r="C58" i="63"/>
  <c r="V58" i="63"/>
  <c r="Q27" i="54"/>
  <c r="F54" i="54"/>
  <c r="Q54" i="54" s="1"/>
  <c r="C59" i="63"/>
  <c r="U59" i="63" s="1"/>
  <c r="V59" i="63"/>
  <c r="V96" i="64"/>
  <c r="X96" i="63"/>
  <c r="M32" i="64"/>
  <c r="X10" i="64"/>
  <c r="C59" i="65"/>
  <c r="U59" i="65" s="1"/>
  <c r="V59" i="65"/>
  <c r="N55" i="64"/>
  <c r="J61" i="63"/>
  <c r="C88" i="63"/>
  <c r="U88" i="63" s="1"/>
  <c r="V88" i="63"/>
  <c r="J32" i="64"/>
  <c r="N61" i="64"/>
  <c r="R61" i="64"/>
  <c r="I32" i="63"/>
  <c r="I9" i="53"/>
  <c r="N32" i="64"/>
  <c r="F6" i="52"/>
  <c r="X32" i="63"/>
  <c r="C96" i="65"/>
  <c r="U96" i="65" s="1"/>
  <c r="U82" i="63"/>
  <c r="K88" i="59"/>
  <c r="H88" i="59"/>
  <c r="N88" i="59"/>
  <c r="H61" i="63"/>
  <c r="X96" i="65"/>
  <c r="C59" i="64"/>
  <c r="U59" i="64" s="1"/>
  <c r="V59" i="64"/>
  <c r="C28" i="65"/>
  <c r="U28" i="65" s="1"/>
  <c r="V28" i="65"/>
  <c r="X55" i="63"/>
  <c r="J32" i="63"/>
  <c r="R55" i="64"/>
  <c r="C33" i="65"/>
  <c r="G55" i="65"/>
  <c r="V33" i="65"/>
  <c r="C10" i="64"/>
  <c r="U10" i="64" s="1"/>
  <c r="V10" i="64"/>
  <c r="M61" i="64"/>
  <c r="X58" i="64"/>
  <c r="G55" i="63"/>
  <c r="C35" i="63"/>
  <c r="U35" i="63" s="1"/>
  <c r="V35" i="63"/>
  <c r="J61" i="64"/>
  <c r="C28" i="63"/>
  <c r="U28" i="63" s="1"/>
  <c r="V28" i="63"/>
  <c r="O32" i="64"/>
  <c r="F6" i="53"/>
  <c r="H32" i="64"/>
  <c r="X59" i="64"/>
  <c r="H32" i="63"/>
  <c r="P55" i="64"/>
  <c r="I55" i="65"/>
  <c r="I30" i="65"/>
  <c r="I61" i="63"/>
  <c r="N40" i="32"/>
  <c r="N60" i="32"/>
  <c r="N19" i="32"/>
  <c r="D8" i="14"/>
  <c r="G8" i="14"/>
  <c r="F81" i="59" l="1"/>
  <c r="G101" i="55" s="1"/>
  <c r="E88" i="59"/>
  <c r="K81" i="59"/>
  <c r="L95" i="55" s="1"/>
  <c r="M81" i="59"/>
  <c r="N101" i="55" s="1"/>
  <c r="G81" i="59"/>
  <c r="H63" i="55" s="1"/>
  <c r="V32" i="63"/>
  <c r="X61" i="64"/>
  <c r="I81" i="59"/>
  <c r="J83" i="55" s="1"/>
  <c r="C96" i="63"/>
  <c r="U96" i="63" s="1"/>
  <c r="E49" i="59"/>
  <c r="G89" i="59" s="1"/>
  <c r="K63" i="55"/>
  <c r="K61" i="55"/>
  <c r="K62" i="55"/>
  <c r="K100" i="55"/>
  <c r="K73" i="54"/>
  <c r="K102" i="55"/>
  <c r="K96" i="55"/>
  <c r="K95" i="55"/>
  <c r="K101" i="55"/>
  <c r="K83" i="55"/>
  <c r="X55" i="64"/>
  <c r="C32" i="63"/>
  <c r="U32" i="63" s="1"/>
  <c r="V61" i="65"/>
  <c r="C32" i="64"/>
  <c r="U32" i="64" s="1"/>
  <c r="V32" i="64"/>
  <c r="C61" i="65"/>
  <c r="U61" i="65" s="1"/>
  <c r="U58" i="65"/>
  <c r="C55" i="63"/>
  <c r="U55" i="63" s="1"/>
  <c r="V55" i="63"/>
  <c r="C55" i="65"/>
  <c r="U55" i="65" s="1"/>
  <c r="V55" i="65"/>
  <c r="U58" i="63"/>
  <c r="C61" i="63"/>
  <c r="U61" i="63" s="1"/>
  <c r="J4" i="52"/>
  <c r="D6" i="52"/>
  <c r="J6" i="52" s="1"/>
  <c r="V61" i="63"/>
  <c r="C55" i="64"/>
  <c r="U55" i="64" s="1"/>
  <c r="V55" i="64"/>
  <c r="V61" i="64"/>
  <c r="X32" i="64"/>
  <c r="C61" i="64"/>
  <c r="U61" i="64" s="1"/>
  <c r="U58" i="64"/>
  <c r="C30" i="65"/>
  <c r="U30" i="65" s="1"/>
  <c r="V30" i="65"/>
  <c r="D6" i="53"/>
  <c r="I6" i="53" s="1"/>
  <c r="I4" i="53"/>
  <c r="L81" i="59"/>
  <c r="N81" i="59"/>
  <c r="H81" i="59"/>
  <c r="N20" i="32"/>
  <c r="H8" i="14"/>
  <c r="N8" i="14"/>
  <c r="K8" i="14"/>
  <c r="M8" i="14" s="1"/>
  <c r="E8" i="14"/>
  <c r="G102" i="55" l="1"/>
  <c r="G62" i="55"/>
  <c r="G95" i="55"/>
  <c r="G100" i="55"/>
  <c r="G96" i="55"/>
  <c r="D138" i="63" s="1"/>
  <c r="G73" i="54"/>
  <c r="D71" i="63" s="1"/>
  <c r="G63" i="55"/>
  <c r="G83" i="55"/>
  <c r="D132" i="63" s="1"/>
  <c r="G61" i="55"/>
  <c r="L83" i="55"/>
  <c r="L89" i="55" s="1"/>
  <c r="L63" i="55"/>
  <c r="N62" i="55"/>
  <c r="N102" i="55"/>
  <c r="N73" i="54"/>
  <c r="E71" i="65" s="1"/>
  <c r="L101" i="55"/>
  <c r="L61" i="55"/>
  <c r="L62" i="55"/>
  <c r="N100" i="55"/>
  <c r="N95" i="55"/>
  <c r="W137" i="65" s="1"/>
  <c r="H102" i="55"/>
  <c r="L73" i="54"/>
  <c r="F71" i="64" s="1"/>
  <c r="N83" i="55"/>
  <c r="N89" i="55" s="1"/>
  <c r="N63" i="55"/>
  <c r="T63" i="55" s="1"/>
  <c r="N96" i="55"/>
  <c r="E138" i="65" s="1"/>
  <c r="L96" i="55"/>
  <c r="F138" i="64" s="1"/>
  <c r="L102" i="55"/>
  <c r="L100" i="55"/>
  <c r="N61" i="55"/>
  <c r="H61" i="55"/>
  <c r="H100" i="55"/>
  <c r="H83" i="55"/>
  <c r="H89" i="55" s="1"/>
  <c r="H96" i="55"/>
  <c r="W138" i="63" s="1"/>
  <c r="H95" i="55"/>
  <c r="W137" i="63" s="1"/>
  <c r="J61" i="55"/>
  <c r="H73" i="54"/>
  <c r="J100" i="55"/>
  <c r="J63" i="55"/>
  <c r="J95" i="55"/>
  <c r="J101" i="55"/>
  <c r="J102" i="55"/>
  <c r="J73" i="54"/>
  <c r="J96" i="55"/>
  <c r="D138" i="64" s="1"/>
  <c r="J62" i="55"/>
  <c r="H62" i="55"/>
  <c r="H101" i="55"/>
  <c r="T101" i="55" s="1"/>
  <c r="M61" i="55"/>
  <c r="M101" i="55"/>
  <c r="M73" i="54"/>
  <c r="M100" i="55"/>
  <c r="M62" i="55"/>
  <c r="M102" i="55"/>
  <c r="M96" i="55"/>
  <c r="M63" i="55"/>
  <c r="M95" i="55"/>
  <c r="M83" i="55"/>
  <c r="O73" i="54"/>
  <c r="O95" i="55"/>
  <c r="O61" i="55"/>
  <c r="O102" i="55"/>
  <c r="O96" i="55"/>
  <c r="O63" i="55"/>
  <c r="O100" i="55"/>
  <c r="O101" i="55"/>
  <c r="O62" i="55"/>
  <c r="O83" i="55"/>
  <c r="K97" i="55"/>
  <c r="W139" i="64" s="1"/>
  <c r="W137" i="64"/>
  <c r="E137" i="64"/>
  <c r="E138" i="64"/>
  <c r="W138" i="64"/>
  <c r="W71" i="64"/>
  <c r="E71" i="64"/>
  <c r="K103" i="55"/>
  <c r="E132" i="64"/>
  <c r="W132" i="64"/>
  <c r="K89" i="55"/>
  <c r="D132" i="64"/>
  <c r="J89" i="55"/>
  <c r="D137" i="63"/>
  <c r="K64" i="55"/>
  <c r="F89" i="59"/>
  <c r="N89" i="59"/>
  <c r="J89" i="59"/>
  <c r="H89" i="59"/>
  <c r="L89" i="59"/>
  <c r="K89" i="59"/>
  <c r="I89" i="59"/>
  <c r="M89" i="59"/>
  <c r="F137" i="64"/>
  <c r="I73" i="54"/>
  <c r="I101" i="55"/>
  <c r="I61" i="55"/>
  <c r="I62" i="55"/>
  <c r="I95" i="55"/>
  <c r="I100" i="55"/>
  <c r="I96" i="55"/>
  <c r="I102" i="55"/>
  <c r="I63" i="55"/>
  <c r="I83" i="55"/>
  <c r="E81" i="59"/>
  <c r="X46" i="20"/>
  <c r="X45" i="20"/>
  <c r="X21" i="20"/>
  <c r="X22" i="20"/>
  <c r="G97" i="55" l="1"/>
  <c r="G103" i="55"/>
  <c r="G64" i="55"/>
  <c r="D113" i="63" s="1"/>
  <c r="F132" i="64"/>
  <c r="P132" i="64" s="1"/>
  <c r="S83" i="55"/>
  <c r="G89" i="55"/>
  <c r="W71" i="65"/>
  <c r="T73" i="54"/>
  <c r="N103" i="55"/>
  <c r="E141" i="65" s="1"/>
  <c r="W132" i="65"/>
  <c r="T102" i="55"/>
  <c r="L64" i="55"/>
  <c r="F113" i="64" s="1"/>
  <c r="E137" i="65"/>
  <c r="E139" i="65" s="1"/>
  <c r="E132" i="65"/>
  <c r="T100" i="55"/>
  <c r="F15" i="52"/>
  <c r="L97" i="55"/>
  <c r="N64" i="55"/>
  <c r="W113" i="65" s="1"/>
  <c r="L103" i="55"/>
  <c r="F141" i="64" s="1"/>
  <c r="T61" i="55"/>
  <c r="T96" i="55"/>
  <c r="H97" i="55"/>
  <c r="W139" i="63" s="1"/>
  <c r="S101" i="55"/>
  <c r="H64" i="55"/>
  <c r="E132" i="63"/>
  <c r="N97" i="55"/>
  <c r="W139" i="65" s="1"/>
  <c r="T83" i="55"/>
  <c r="F15" i="53"/>
  <c r="W138" i="65"/>
  <c r="W132" i="63"/>
  <c r="U101" i="55"/>
  <c r="E71" i="63"/>
  <c r="E138" i="63"/>
  <c r="E137" i="63"/>
  <c r="W71" i="63"/>
  <c r="S102" i="55"/>
  <c r="D71" i="64"/>
  <c r="G71" i="64" s="1"/>
  <c r="S63" i="55"/>
  <c r="T95" i="55"/>
  <c r="S95" i="55"/>
  <c r="F83" i="55"/>
  <c r="Q83" i="55" s="1"/>
  <c r="H103" i="55"/>
  <c r="U62" i="55"/>
  <c r="D137" i="64"/>
  <c r="G137" i="64" s="1"/>
  <c r="J64" i="55"/>
  <c r="J86" i="55" s="1"/>
  <c r="J90" i="55" s="1"/>
  <c r="E15" i="53"/>
  <c r="F100" i="55"/>
  <c r="Q100" i="55" s="1"/>
  <c r="J97" i="55"/>
  <c r="T62" i="55"/>
  <c r="M64" i="55"/>
  <c r="D113" i="65" s="1"/>
  <c r="S100" i="55"/>
  <c r="F73" i="54"/>
  <c r="Q73" i="54" s="1"/>
  <c r="F63" i="55"/>
  <c r="Q63" i="55" s="1"/>
  <c r="S62" i="55"/>
  <c r="S96" i="55"/>
  <c r="S73" i="54"/>
  <c r="E15" i="52"/>
  <c r="U102" i="55"/>
  <c r="F96" i="55"/>
  <c r="Q96" i="55" s="1"/>
  <c r="J103" i="55"/>
  <c r="D141" i="64" s="1"/>
  <c r="I141" i="64" s="1"/>
  <c r="E89" i="59"/>
  <c r="F137" i="65"/>
  <c r="O97" i="55"/>
  <c r="M103" i="55"/>
  <c r="J132" i="63"/>
  <c r="G132" i="63"/>
  <c r="H132" i="63"/>
  <c r="I132" i="63"/>
  <c r="F71" i="65"/>
  <c r="G15" i="53"/>
  <c r="G15" i="52"/>
  <c r="D71" i="65"/>
  <c r="U61" i="55"/>
  <c r="I64" i="55"/>
  <c r="J71" i="63"/>
  <c r="G71" i="63"/>
  <c r="I71" i="63"/>
  <c r="H71" i="63"/>
  <c r="E139" i="64"/>
  <c r="F101" i="55"/>
  <c r="Q101" i="55" s="1"/>
  <c r="F138" i="63"/>
  <c r="U96" i="55"/>
  <c r="U100" i="55"/>
  <c r="I103" i="55"/>
  <c r="M89" i="55"/>
  <c r="D132" i="65"/>
  <c r="T89" i="55"/>
  <c r="O103" i="55"/>
  <c r="D137" i="65"/>
  <c r="M97" i="55"/>
  <c r="F71" i="63"/>
  <c r="U73" i="54"/>
  <c r="G132" i="64"/>
  <c r="H132" i="64"/>
  <c r="I132" i="64"/>
  <c r="J132" i="64"/>
  <c r="F62" i="55"/>
  <c r="Q62" i="55" s="1"/>
  <c r="E141" i="64"/>
  <c r="W141" i="64"/>
  <c r="F137" i="63"/>
  <c r="I97" i="55"/>
  <c r="U95" i="55"/>
  <c r="H137" i="63"/>
  <c r="D139" i="63"/>
  <c r="I137" i="63"/>
  <c r="J137" i="63"/>
  <c r="G137" i="63"/>
  <c r="E113" i="64"/>
  <c r="W113" i="64"/>
  <c r="K86" i="55"/>
  <c r="K90" i="55" s="1"/>
  <c r="Q71" i="64"/>
  <c r="O71" i="64"/>
  <c r="N71" i="64"/>
  <c r="M71" i="64"/>
  <c r="P71" i="64"/>
  <c r="R71" i="64"/>
  <c r="R132" i="64"/>
  <c r="O132" i="64"/>
  <c r="F138" i="65"/>
  <c r="D138" i="65"/>
  <c r="J138" i="64"/>
  <c r="I138" i="64"/>
  <c r="G138" i="64"/>
  <c r="H138" i="64"/>
  <c r="N138" i="64"/>
  <c r="Q138" i="64"/>
  <c r="O138" i="64"/>
  <c r="P138" i="64"/>
  <c r="M138" i="64"/>
  <c r="R138" i="64"/>
  <c r="H138" i="63"/>
  <c r="J138" i="63"/>
  <c r="I138" i="63"/>
  <c r="G138" i="63"/>
  <c r="N137" i="64"/>
  <c r="F139" i="64"/>
  <c r="O137" i="64"/>
  <c r="R137" i="64"/>
  <c r="P137" i="64"/>
  <c r="M137" i="64"/>
  <c r="Q137" i="64"/>
  <c r="F95" i="55"/>
  <c r="O89" i="55"/>
  <c r="F132" i="65"/>
  <c r="S61" i="55"/>
  <c r="F132" i="63"/>
  <c r="U83" i="55"/>
  <c r="I89" i="55"/>
  <c r="F61" i="55"/>
  <c r="U63" i="55"/>
  <c r="D141" i="63"/>
  <c r="O64" i="55"/>
  <c r="F102" i="55"/>
  <c r="Q102" i="55" s="1"/>
  <c r="X24" i="20"/>
  <c r="N17" i="27" s="1"/>
  <c r="Y22" i="20"/>
  <c r="M17" i="27"/>
  <c r="Y21" i="20"/>
  <c r="M21" i="27"/>
  <c r="Y45" i="20"/>
  <c r="X48" i="20"/>
  <c r="N21" i="27" s="1"/>
  <c r="Y46" i="20"/>
  <c r="N132" i="64" l="1"/>
  <c r="Q132" i="64"/>
  <c r="G86" i="55"/>
  <c r="W141" i="65"/>
  <c r="M132" i="64"/>
  <c r="T103" i="55"/>
  <c r="L86" i="55"/>
  <c r="L90" i="55" s="1"/>
  <c r="F36" i="52" s="1"/>
  <c r="F38" i="52"/>
  <c r="E113" i="65"/>
  <c r="E38" i="52"/>
  <c r="N86" i="55"/>
  <c r="N90" i="55" s="1"/>
  <c r="T64" i="55"/>
  <c r="J137" i="64"/>
  <c r="J139" i="64" s="1"/>
  <c r="D139" i="64"/>
  <c r="I137" i="64"/>
  <c r="I139" i="64" s="1"/>
  <c r="H137" i="64"/>
  <c r="M3" i="97"/>
  <c r="N3" i="97" s="1"/>
  <c r="M2" i="97"/>
  <c r="N2" i="97" s="1"/>
  <c r="L2" i="96"/>
  <c r="M2" i="96" s="1"/>
  <c r="L3" i="96"/>
  <c r="M3" i="96" s="1"/>
  <c r="W141" i="63"/>
  <c r="E139" i="63"/>
  <c r="W113" i="63"/>
  <c r="H86" i="55"/>
  <c r="E113" i="63"/>
  <c r="T97" i="55"/>
  <c r="F89" i="55"/>
  <c r="Q89" i="55" s="1"/>
  <c r="E141" i="63"/>
  <c r="J71" i="64"/>
  <c r="M86" i="55"/>
  <c r="M90" i="55" s="1"/>
  <c r="H71" i="64"/>
  <c r="I71" i="64"/>
  <c r="D113" i="64"/>
  <c r="J113" i="64" s="1"/>
  <c r="F38" i="53"/>
  <c r="S97" i="55"/>
  <c r="F39" i="52"/>
  <c r="C151" i="64" s="1"/>
  <c r="S64" i="55"/>
  <c r="G141" i="64"/>
  <c r="J141" i="64"/>
  <c r="H141" i="64"/>
  <c r="S103" i="55"/>
  <c r="D15" i="52"/>
  <c r="R139" i="64"/>
  <c r="F103" i="55"/>
  <c r="Q103" i="55" s="1"/>
  <c r="V138" i="63"/>
  <c r="J139" i="63"/>
  <c r="P71" i="65"/>
  <c r="R71" i="65"/>
  <c r="M71" i="65"/>
  <c r="N71" i="65"/>
  <c r="Q71" i="65"/>
  <c r="O71" i="65"/>
  <c r="I138" i="65"/>
  <c r="G138" i="65"/>
  <c r="H138" i="65"/>
  <c r="J138" i="65"/>
  <c r="I139" i="63"/>
  <c r="G38" i="53"/>
  <c r="G38" i="52"/>
  <c r="V71" i="63"/>
  <c r="N132" i="65"/>
  <c r="O132" i="65"/>
  <c r="Q132" i="65"/>
  <c r="P132" i="65"/>
  <c r="R132" i="65"/>
  <c r="M132" i="65"/>
  <c r="R138" i="65"/>
  <c r="N138" i="65"/>
  <c r="M138" i="65"/>
  <c r="O138" i="65"/>
  <c r="P138" i="65"/>
  <c r="Q138" i="65"/>
  <c r="G113" i="63"/>
  <c r="H113" i="63"/>
  <c r="I113" i="63"/>
  <c r="J113" i="63"/>
  <c r="U103" i="55"/>
  <c r="F141" i="63"/>
  <c r="Q139" i="64"/>
  <c r="M139" i="64"/>
  <c r="X137" i="64"/>
  <c r="E38" i="53"/>
  <c r="N113" i="64"/>
  <c r="R113" i="64"/>
  <c r="O113" i="64"/>
  <c r="M113" i="64"/>
  <c r="P113" i="64"/>
  <c r="Q113" i="64"/>
  <c r="I132" i="65"/>
  <c r="J132" i="65"/>
  <c r="G132" i="65"/>
  <c r="H132" i="65"/>
  <c r="D141" i="65"/>
  <c r="G39" i="52"/>
  <c r="C151" i="65" s="1"/>
  <c r="G139" i="64"/>
  <c r="H139" i="63"/>
  <c r="P139" i="64"/>
  <c r="J113" i="65"/>
  <c r="I113" i="65"/>
  <c r="H113" i="65"/>
  <c r="G113" i="65"/>
  <c r="F113" i="63"/>
  <c r="U64" i="55"/>
  <c r="I86" i="55"/>
  <c r="G71" i="65"/>
  <c r="I71" i="65"/>
  <c r="H71" i="65"/>
  <c r="J71" i="65"/>
  <c r="G90" i="55"/>
  <c r="J137" i="65"/>
  <c r="D139" i="65"/>
  <c r="I137" i="65"/>
  <c r="H137" i="65"/>
  <c r="G137" i="65"/>
  <c r="F97" i="55"/>
  <c r="Q95" i="55"/>
  <c r="F113" i="65"/>
  <c r="O86" i="55"/>
  <c r="O90" i="55" s="1"/>
  <c r="J141" i="63"/>
  <c r="H141" i="63"/>
  <c r="G141" i="63"/>
  <c r="I141" i="63"/>
  <c r="R138" i="63"/>
  <c r="N138" i="63"/>
  <c r="Q138" i="63"/>
  <c r="M138" i="63"/>
  <c r="O138" i="63"/>
  <c r="P138" i="63"/>
  <c r="F141" i="65"/>
  <c r="V132" i="63"/>
  <c r="X71" i="64"/>
  <c r="U89" i="55"/>
  <c r="C138" i="64"/>
  <c r="U138" i="64" s="1"/>
  <c r="V138" i="64"/>
  <c r="R137" i="65"/>
  <c r="F139" i="65"/>
  <c r="O137" i="65"/>
  <c r="N137" i="65"/>
  <c r="Q137" i="65"/>
  <c r="M137" i="65"/>
  <c r="P137" i="65"/>
  <c r="E39" i="52"/>
  <c r="O139" i="64"/>
  <c r="R141" i="64"/>
  <c r="M141" i="64"/>
  <c r="P141" i="64"/>
  <c r="N141" i="64"/>
  <c r="O141" i="64"/>
  <c r="Q141" i="64"/>
  <c r="S89" i="55"/>
  <c r="U97" i="55"/>
  <c r="F139" i="63"/>
  <c r="Q137" i="63"/>
  <c r="N137" i="63"/>
  <c r="R137" i="63"/>
  <c r="P137" i="63"/>
  <c r="O137" i="63"/>
  <c r="M137" i="63"/>
  <c r="F64" i="55"/>
  <c r="Q61" i="55"/>
  <c r="M132" i="63"/>
  <c r="N132" i="63"/>
  <c r="Q132" i="63"/>
  <c r="R132" i="63"/>
  <c r="P132" i="63"/>
  <c r="O132" i="63"/>
  <c r="N139" i="64"/>
  <c r="X138" i="64"/>
  <c r="G139" i="63"/>
  <c r="V137" i="63"/>
  <c r="V132" i="64"/>
  <c r="O71" i="63"/>
  <c r="Q71" i="63"/>
  <c r="P71" i="63"/>
  <c r="N71" i="63"/>
  <c r="R71" i="63"/>
  <c r="M71" i="63"/>
  <c r="D15" i="53"/>
  <c r="I15" i="53" s="1"/>
  <c r="Y47" i="20"/>
  <c r="O21" i="27" s="1"/>
  <c r="M20" i="13"/>
  <c r="M10" i="27"/>
  <c r="N20" i="13"/>
  <c r="N10" i="13" s="1"/>
  <c r="M20" i="59" s="1"/>
  <c r="N10" i="27"/>
  <c r="G48" i="53" s="1"/>
  <c r="G55" i="58" s="1"/>
  <c r="G30" i="58" s="1"/>
  <c r="M9" i="27"/>
  <c r="F50" i="53" s="1"/>
  <c r="M16" i="13"/>
  <c r="Y23" i="20"/>
  <c r="O17" i="27" s="1"/>
  <c r="V8" i="27" s="1"/>
  <c r="V15" i="27" s="1"/>
  <c r="N9" i="27"/>
  <c r="F48" i="53" s="1"/>
  <c r="N16" i="13"/>
  <c r="C132" i="64" l="1"/>
  <c r="U132" i="64" s="1"/>
  <c r="X132" i="64"/>
  <c r="F36" i="53"/>
  <c r="D38" i="52"/>
  <c r="J38" i="52" s="1"/>
  <c r="T86" i="55"/>
  <c r="H90" i="55"/>
  <c r="T90" i="55" s="1"/>
  <c r="C137" i="64"/>
  <c r="U137" i="64" s="1"/>
  <c r="V137" i="64"/>
  <c r="H139" i="64"/>
  <c r="V139" i="64" s="1"/>
  <c r="R139" i="65"/>
  <c r="H113" i="64"/>
  <c r="V71" i="64"/>
  <c r="C71" i="64"/>
  <c r="S86" i="55"/>
  <c r="I113" i="64"/>
  <c r="G113" i="64"/>
  <c r="V141" i="64"/>
  <c r="P139" i="65"/>
  <c r="O139" i="63"/>
  <c r="I139" i="65"/>
  <c r="V139" i="63"/>
  <c r="J139" i="65"/>
  <c r="H139" i="65"/>
  <c r="X132" i="63"/>
  <c r="X138" i="63"/>
  <c r="O139" i="65"/>
  <c r="C141" i="64"/>
  <c r="U141" i="64" s="1"/>
  <c r="X71" i="63"/>
  <c r="R139" i="63"/>
  <c r="N139" i="63"/>
  <c r="Q139" i="65"/>
  <c r="G139" i="65"/>
  <c r="C137" i="65"/>
  <c r="V137" i="65"/>
  <c r="U86" i="55"/>
  <c r="I90" i="55"/>
  <c r="C132" i="65"/>
  <c r="U132" i="65" s="1"/>
  <c r="V132" i="65"/>
  <c r="D38" i="53"/>
  <c r="X132" i="65"/>
  <c r="M7" i="59"/>
  <c r="M141" i="65"/>
  <c r="P141" i="65"/>
  <c r="O141" i="65"/>
  <c r="N141" i="65"/>
  <c r="R141" i="65"/>
  <c r="Q141" i="65"/>
  <c r="R113" i="63"/>
  <c r="M113" i="63"/>
  <c r="N113" i="63"/>
  <c r="Q113" i="63"/>
  <c r="O113" i="63"/>
  <c r="P113" i="63"/>
  <c r="X139" i="64"/>
  <c r="V113" i="65"/>
  <c r="F55" i="58"/>
  <c r="D48" i="53"/>
  <c r="G50" i="53"/>
  <c r="G56" i="58" s="1"/>
  <c r="D39" i="52"/>
  <c r="J39" i="52" s="1"/>
  <c r="G36" i="53"/>
  <c r="G36" i="52"/>
  <c r="V113" i="63"/>
  <c r="V141" i="63"/>
  <c r="F86" i="55"/>
  <c r="Q64" i="55"/>
  <c r="C137" i="63"/>
  <c r="M139" i="63"/>
  <c r="X137" i="63"/>
  <c r="S90" i="55"/>
  <c r="X113" i="64"/>
  <c r="C138" i="65"/>
  <c r="U138" i="65" s="1"/>
  <c r="V138" i="65"/>
  <c r="X138" i="65"/>
  <c r="Q113" i="65"/>
  <c r="P113" i="65"/>
  <c r="N113" i="65"/>
  <c r="M113" i="65"/>
  <c r="R113" i="65"/>
  <c r="O113" i="65"/>
  <c r="C71" i="63"/>
  <c r="P141" i="63"/>
  <c r="O141" i="63"/>
  <c r="M141" i="63"/>
  <c r="N141" i="63"/>
  <c r="Q141" i="63"/>
  <c r="R141" i="63"/>
  <c r="C138" i="63"/>
  <c r="U138" i="63" s="1"/>
  <c r="J141" i="65"/>
  <c r="H141" i="65"/>
  <c r="I141" i="65"/>
  <c r="G141" i="65"/>
  <c r="P139" i="63"/>
  <c r="M139" i="65"/>
  <c r="X137" i="65"/>
  <c r="Q139" i="63"/>
  <c r="X141" i="64"/>
  <c r="C71" i="65"/>
  <c r="V71" i="65"/>
  <c r="F56" i="58"/>
  <c r="N139" i="65"/>
  <c r="C132" i="63"/>
  <c r="U132" i="63" s="1"/>
  <c r="Q97" i="55"/>
  <c r="X71" i="65"/>
  <c r="M9" i="13"/>
  <c r="L301" i="13"/>
  <c r="M11" i="27"/>
  <c r="M33" i="27" s="1"/>
  <c r="N10" i="30"/>
  <c r="S10" i="30"/>
  <c r="I17" i="11"/>
  <c r="O9" i="27"/>
  <c r="O9" i="30" s="1"/>
  <c r="N23" i="30" s="1"/>
  <c r="P17" i="27"/>
  <c r="R17" i="27" s="1"/>
  <c r="Q17" i="27"/>
  <c r="S9" i="30"/>
  <c r="N9" i="30"/>
  <c r="N11" i="27"/>
  <c r="N9" i="13"/>
  <c r="O16" i="13"/>
  <c r="O20" i="13"/>
  <c r="O10" i="13" s="1"/>
  <c r="M10" i="13"/>
  <c r="I21" i="11"/>
  <c r="Q21" i="27"/>
  <c r="P21" i="27"/>
  <c r="O10" i="27"/>
  <c r="O10" i="30" s="1"/>
  <c r="N24" i="30" s="1"/>
  <c r="N25" i="30" l="1"/>
  <c r="M22" i="30" s="1"/>
  <c r="M26" i="30" s="1"/>
  <c r="C139" i="64"/>
  <c r="U139" i="64" s="1"/>
  <c r="E36" i="53"/>
  <c r="D36" i="53" s="1"/>
  <c r="V113" i="64"/>
  <c r="C113" i="64"/>
  <c r="U113" i="64" s="1"/>
  <c r="V139" i="65"/>
  <c r="X141" i="63"/>
  <c r="U90" i="55"/>
  <c r="U137" i="63"/>
  <c r="C139" i="63"/>
  <c r="U139" i="63" s="1"/>
  <c r="N11" i="13"/>
  <c r="N30" i="13" s="1"/>
  <c r="J20" i="59"/>
  <c r="Q86" i="55"/>
  <c r="F90" i="55"/>
  <c r="X139" i="63"/>
  <c r="X139" i="65"/>
  <c r="C141" i="63"/>
  <c r="U141" i="63" s="1"/>
  <c r="X113" i="63"/>
  <c r="C139" i="65"/>
  <c r="U139" i="65" s="1"/>
  <c r="U137" i="65"/>
  <c r="B2" i="49"/>
  <c r="B4" i="49" s="1"/>
  <c r="B12" i="49" s="1"/>
  <c r="B13" i="49" s="1"/>
  <c r="X141" i="65"/>
  <c r="X113" i="65"/>
  <c r="F30" i="58"/>
  <c r="D30" i="58" s="1"/>
  <c r="D55" i="58"/>
  <c r="D50" i="53"/>
  <c r="D56" i="58"/>
  <c r="C141" i="65"/>
  <c r="U141" i="65" s="1"/>
  <c r="V141" i="65"/>
  <c r="E36" i="52"/>
  <c r="D36" i="52" s="1"/>
  <c r="C113" i="63"/>
  <c r="U113" i="63" s="1"/>
  <c r="C113" i="65"/>
  <c r="U113" i="65" s="1"/>
  <c r="S11" i="30"/>
  <c r="N11" i="30"/>
  <c r="Q21" i="11"/>
  <c r="Q11" i="11" s="1"/>
  <c r="I11" i="11"/>
  <c r="K21" i="11"/>
  <c r="N21" i="11"/>
  <c r="P9" i="27"/>
  <c r="F49" i="53" s="1"/>
  <c r="O11" i="27"/>
  <c r="Q9" i="30"/>
  <c r="Q9" i="27"/>
  <c r="O11" i="30"/>
  <c r="O9" i="13"/>
  <c r="O11" i="13" s="1"/>
  <c r="O30" i="13" s="1"/>
  <c r="Q17" i="11"/>
  <c r="Q10" i="11" s="1"/>
  <c r="I10" i="11"/>
  <c r="N17" i="11"/>
  <c r="K17" i="11"/>
  <c r="T10" i="30"/>
  <c r="Q10" i="27"/>
  <c r="Q10" i="30"/>
  <c r="R21" i="27"/>
  <c r="P10" i="27"/>
  <c r="G49" i="53" s="1"/>
  <c r="G24" i="53" s="1"/>
  <c r="G32" i="53" s="1"/>
  <c r="N33" i="27"/>
  <c r="N12" i="27"/>
  <c r="M11" i="13"/>
  <c r="M24" i="30" l="1"/>
  <c r="M28" i="30" s="1"/>
  <c r="M23" i="30"/>
  <c r="M27" i="30" s="1"/>
  <c r="I12" i="50"/>
  <c r="J12" i="45"/>
  <c r="J12" i="43"/>
  <c r="J12" i="46"/>
  <c r="J12" i="39"/>
  <c r="I12" i="36"/>
  <c r="J12" i="47"/>
  <c r="I12" i="51"/>
  <c r="I12" i="44"/>
  <c r="J12" i="38"/>
  <c r="J12" i="37"/>
  <c r="J7" i="59"/>
  <c r="E20" i="59"/>
  <c r="J64" i="59" s="1"/>
  <c r="Q90" i="55"/>
  <c r="K57" i="15"/>
  <c r="M57" i="15" s="1"/>
  <c r="N57" i="15" s="1"/>
  <c r="K27" i="15"/>
  <c r="K11" i="15"/>
  <c r="K52" i="15"/>
  <c r="K22" i="15"/>
  <c r="K47" i="15"/>
  <c r="K17" i="15"/>
  <c r="K72" i="15"/>
  <c r="M72" i="15" s="1"/>
  <c r="N72" i="15" s="1"/>
  <c r="K42" i="15"/>
  <c r="K67" i="15"/>
  <c r="M67" i="15" s="1"/>
  <c r="N67" i="15" s="1"/>
  <c r="K37" i="15"/>
  <c r="K62" i="15"/>
  <c r="M62" i="15" s="1"/>
  <c r="N62" i="15" s="1"/>
  <c r="K32" i="15"/>
  <c r="J36" i="52"/>
  <c r="N33" i="13"/>
  <c r="F24" i="53"/>
  <c r="D49" i="53"/>
  <c r="I10" i="51"/>
  <c r="J10" i="43"/>
  <c r="J10" i="47"/>
  <c r="J10" i="46"/>
  <c r="J10" i="39"/>
  <c r="I10" i="31"/>
  <c r="I10" i="50"/>
  <c r="J10" i="38"/>
  <c r="J10" i="45"/>
  <c r="J10" i="37"/>
  <c r="I10" i="44"/>
  <c r="I10" i="36"/>
  <c r="I12" i="11"/>
  <c r="Q12" i="11" s="1"/>
  <c r="Q11" i="30"/>
  <c r="K10" i="11"/>
  <c r="L10" i="11" s="1"/>
  <c r="L17" i="11"/>
  <c r="Q11" i="27"/>
  <c r="O33" i="27"/>
  <c r="P11" i="27"/>
  <c r="R9" i="27"/>
  <c r="I9" i="14"/>
  <c r="O17" i="11"/>
  <c r="N10" i="11"/>
  <c r="O10" i="11" s="1"/>
  <c r="O21" i="11"/>
  <c r="N11" i="11"/>
  <c r="O11" i="11" s="1"/>
  <c r="I10" i="14"/>
  <c r="R10" i="27"/>
  <c r="L21" i="11"/>
  <c r="K11" i="11"/>
  <c r="L11" i="11" s="1"/>
  <c r="B2" i="22"/>
  <c r="C2" i="22" s="1"/>
  <c r="M33" i="13"/>
  <c r="M30" i="13"/>
  <c r="T9" i="30"/>
  <c r="W34" i="37" l="1"/>
  <c r="W37" i="37"/>
  <c r="W52" i="37"/>
  <c r="W38" i="37"/>
  <c r="W35" i="37"/>
  <c r="W53" i="37"/>
  <c r="W55" i="37"/>
  <c r="W36" i="37"/>
  <c r="W56" i="37"/>
  <c r="W54" i="37"/>
  <c r="W18" i="37"/>
  <c r="W17" i="37"/>
  <c r="W16" i="37"/>
  <c r="W19" i="37"/>
  <c r="W20" i="37"/>
  <c r="V56" i="44"/>
  <c r="V35" i="44"/>
  <c r="V37" i="44"/>
  <c r="V55" i="44"/>
  <c r="V52" i="44"/>
  <c r="V53" i="44"/>
  <c r="V36" i="44"/>
  <c r="V38" i="44"/>
  <c r="V54" i="44"/>
  <c r="V34" i="44"/>
  <c r="V16" i="44"/>
  <c r="V17" i="44"/>
  <c r="V20" i="44"/>
  <c r="V19" i="44"/>
  <c r="V18" i="44"/>
  <c r="W36" i="47"/>
  <c r="W34" i="47"/>
  <c r="W35" i="47"/>
  <c r="W53" i="47"/>
  <c r="W54" i="47"/>
  <c r="W52" i="47"/>
  <c r="W55" i="47"/>
  <c r="W37" i="47"/>
  <c r="W19" i="47"/>
  <c r="W16" i="47"/>
  <c r="W18" i="47"/>
  <c r="W17" i="47"/>
  <c r="W38" i="47"/>
  <c r="W56" i="47"/>
  <c r="W20" i="47"/>
  <c r="V35" i="36"/>
  <c r="V38" i="36"/>
  <c r="V54" i="36"/>
  <c r="V55" i="36"/>
  <c r="V56" i="36"/>
  <c r="V36" i="36"/>
  <c r="V53" i="36"/>
  <c r="V34" i="36"/>
  <c r="V52" i="36"/>
  <c r="V37" i="36"/>
  <c r="V17" i="36"/>
  <c r="V16" i="36"/>
  <c r="V18" i="36"/>
  <c r="V19" i="36"/>
  <c r="V20" i="36"/>
  <c r="W35" i="46"/>
  <c r="W54" i="46"/>
  <c r="W53" i="46"/>
  <c r="W34" i="46"/>
  <c r="W37" i="46"/>
  <c r="W52" i="46"/>
  <c r="W36" i="46"/>
  <c r="W55" i="46"/>
  <c r="W18" i="46"/>
  <c r="W17" i="46"/>
  <c r="W38" i="46"/>
  <c r="W56" i="46"/>
  <c r="W19" i="46"/>
  <c r="W16" i="46"/>
  <c r="W20" i="46"/>
  <c r="W54" i="45"/>
  <c r="W52" i="45"/>
  <c r="W38" i="45"/>
  <c r="W37" i="45"/>
  <c r="W34" i="45"/>
  <c r="W36" i="45"/>
  <c r="W35" i="45"/>
  <c r="W53" i="45"/>
  <c r="W55" i="45"/>
  <c r="W16" i="45"/>
  <c r="W17" i="45"/>
  <c r="W56" i="45"/>
  <c r="W18" i="45"/>
  <c r="W19" i="45"/>
  <c r="W20" i="45"/>
  <c r="V56" i="51"/>
  <c r="V35" i="51"/>
  <c r="V37" i="51"/>
  <c r="V55" i="51"/>
  <c r="V36" i="51"/>
  <c r="V53" i="51"/>
  <c r="V17" i="51"/>
  <c r="V52" i="51"/>
  <c r="V54" i="51"/>
  <c r="V38" i="51"/>
  <c r="V34" i="51"/>
  <c r="V19" i="51"/>
  <c r="V18" i="51"/>
  <c r="V16" i="51"/>
  <c r="V20" i="51"/>
  <c r="V55" i="50"/>
  <c r="V52" i="50"/>
  <c r="V37" i="50"/>
  <c r="V36" i="50"/>
  <c r="V53" i="50"/>
  <c r="V38" i="50"/>
  <c r="V17" i="50"/>
  <c r="V34" i="50"/>
  <c r="V56" i="50"/>
  <c r="V20" i="50"/>
  <c r="V54" i="50"/>
  <c r="V35" i="50"/>
  <c r="V19" i="50"/>
  <c r="V18" i="50"/>
  <c r="V16" i="50"/>
  <c r="W56" i="43"/>
  <c r="W55" i="43"/>
  <c r="W35" i="43"/>
  <c r="W36" i="43"/>
  <c r="W37" i="43"/>
  <c r="W52" i="43"/>
  <c r="W54" i="43"/>
  <c r="W53" i="43"/>
  <c r="W34" i="43"/>
  <c r="W38" i="43"/>
  <c r="W18" i="43"/>
  <c r="W19" i="43"/>
  <c r="W16" i="43"/>
  <c r="W17" i="43"/>
  <c r="W20" i="43"/>
  <c r="W35" i="39"/>
  <c r="W53" i="39"/>
  <c r="W37" i="39"/>
  <c r="W56" i="39"/>
  <c r="W54" i="39"/>
  <c r="W34" i="39"/>
  <c r="W52" i="39"/>
  <c r="W38" i="39"/>
  <c r="W36" i="39"/>
  <c r="W55" i="39"/>
  <c r="W17" i="39"/>
  <c r="W19" i="39"/>
  <c r="W20" i="39"/>
  <c r="W16" i="39"/>
  <c r="W18" i="39"/>
  <c r="K12" i="11"/>
  <c r="L12" i="11" s="1"/>
  <c r="M22" i="15"/>
  <c r="N22" i="15" s="1"/>
  <c r="M47" i="15"/>
  <c r="N47" i="15" s="1"/>
  <c r="N12" i="11"/>
  <c r="O12" i="11" s="1"/>
  <c r="M27" i="15"/>
  <c r="N27" i="15" s="1"/>
  <c r="J58" i="59"/>
  <c r="M32" i="15"/>
  <c r="N32" i="15" s="1"/>
  <c r="E7" i="59"/>
  <c r="M37" i="15"/>
  <c r="N37" i="15" s="1"/>
  <c r="F32" i="53"/>
  <c r="D24" i="53"/>
  <c r="D32" i="53" s="1"/>
  <c r="I32" i="53" s="1"/>
  <c r="G64" i="59"/>
  <c r="L64" i="59"/>
  <c r="N64" i="59"/>
  <c r="F64" i="59"/>
  <c r="H64" i="59"/>
  <c r="I64" i="59"/>
  <c r="K64" i="59"/>
  <c r="G58" i="59"/>
  <c r="M64" i="59"/>
  <c r="M58" i="59"/>
  <c r="M42" i="15"/>
  <c r="N42" i="15" s="1"/>
  <c r="M52" i="15"/>
  <c r="N52" i="15" s="1"/>
  <c r="P20" i="47"/>
  <c r="R20" i="47" s="1"/>
  <c r="P55" i="47"/>
  <c r="R55" i="47" s="1"/>
  <c r="P37" i="47"/>
  <c r="R37" i="47" s="1"/>
  <c r="P52" i="47"/>
  <c r="R52" i="47" s="1"/>
  <c r="P56" i="47"/>
  <c r="R56" i="47" s="1"/>
  <c r="P34" i="47"/>
  <c r="R34" i="47" s="1"/>
  <c r="P38" i="47"/>
  <c r="R38" i="47" s="1"/>
  <c r="P19" i="47"/>
  <c r="R19" i="47" s="1"/>
  <c r="P17" i="47"/>
  <c r="R17" i="47" s="1"/>
  <c r="P18" i="47"/>
  <c r="R18" i="47" s="1"/>
  <c r="P35" i="47"/>
  <c r="R35" i="47" s="1"/>
  <c r="P36" i="47"/>
  <c r="R36" i="47" s="1"/>
  <c r="P53" i="47"/>
  <c r="R53" i="47" s="1"/>
  <c r="P16" i="47"/>
  <c r="R16" i="47" s="1"/>
  <c r="P54" i="47"/>
  <c r="R54" i="47" s="1"/>
  <c r="Q49" i="32"/>
  <c r="Q28" i="32"/>
  <c r="Q48" i="32"/>
  <c r="Q6" i="32"/>
  <c r="Q50" i="32"/>
  <c r="Q9" i="32"/>
  <c r="Q30" i="32"/>
  <c r="Q26" i="32"/>
  <c r="S26" i="32" s="1"/>
  <c r="Q10" i="32"/>
  <c r="Q29" i="32"/>
  <c r="Q7" i="32"/>
  <c r="Q27" i="32"/>
  <c r="Q8" i="32"/>
  <c r="Q47" i="32"/>
  <c r="Q46" i="32"/>
  <c r="S46" i="32" s="1"/>
  <c r="D9" i="14"/>
  <c r="G9" i="14"/>
  <c r="P25" i="46"/>
  <c r="P8" i="46"/>
  <c r="R8" i="46" s="1"/>
  <c r="W8" i="46" s="1"/>
  <c r="P28" i="46"/>
  <c r="P7" i="46"/>
  <c r="R7" i="46" s="1"/>
  <c r="W7" i="46" s="1"/>
  <c r="P47" i="46"/>
  <c r="P27" i="46"/>
  <c r="P46" i="46"/>
  <c r="P9" i="46"/>
  <c r="R9" i="46" s="1"/>
  <c r="W9" i="46" s="1"/>
  <c r="P45" i="46"/>
  <c r="P26" i="46"/>
  <c r="P44" i="46"/>
  <c r="P43" i="46"/>
  <c r="P29" i="46"/>
  <c r="P6" i="46"/>
  <c r="R6" i="46" s="1"/>
  <c r="W6" i="46" s="1"/>
  <c r="P10" i="46"/>
  <c r="R10" i="46" s="1"/>
  <c r="W10" i="46" s="1"/>
  <c r="P44" i="43"/>
  <c r="P10" i="43"/>
  <c r="R10" i="43" s="1"/>
  <c r="W10" i="43" s="1"/>
  <c r="P43" i="43"/>
  <c r="P7" i="43"/>
  <c r="R7" i="43" s="1"/>
  <c r="W7" i="43" s="1"/>
  <c r="P47" i="43"/>
  <c r="P28" i="43"/>
  <c r="P45" i="43"/>
  <c r="P29" i="43"/>
  <c r="P46" i="43"/>
  <c r="P6" i="43"/>
  <c r="P26" i="43"/>
  <c r="P9" i="43"/>
  <c r="R9" i="43" s="1"/>
  <c r="W9" i="43" s="1"/>
  <c r="P25" i="43"/>
  <c r="P8" i="43"/>
  <c r="R8" i="43" s="1"/>
  <c r="W8" i="43" s="1"/>
  <c r="P27" i="43"/>
  <c r="T11" i="30"/>
  <c r="O14" i="30"/>
  <c r="O15" i="30" s="1"/>
  <c r="O56" i="44"/>
  <c r="Q56" i="44" s="1"/>
  <c r="O44" i="44"/>
  <c r="O53" i="44"/>
  <c r="Q53" i="44" s="1"/>
  <c r="O6" i="44"/>
  <c r="O43" i="44"/>
  <c r="O7" i="44"/>
  <c r="Q7" i="44" s="1"/>
  <c r="V7" i="44" s="1"/>
  <c r="O26" i="44"/>
  <c r="O47" i="44"/>
  <c r="O45" i="44"/>
  <c r="O29" i="44"/>
  <c r="O10" i="44"/>
  <c r="Q10" i="44" s="1"/>
  <c r="V10" i="44" s="1"/>
  <c r="O52" i="44"/>
  <c r="Q52" i="44" s="1"/>
  <c r="O28" i="44"/>
  <c r="O8" i="44"/>
  <c r="Q8" i="44" s="1"/>
  <c r="V8" i="44" s="1"/>
  <c r="O27" i="44"/>
  <c r="O25" i="44"/>
  <c r="O9" i="44"/>
  <c r="Q9" i="44" s="1"/>
  <c r="V9" i="44" s="1"/>
  <c r="O46" i="44"/>
  <c r="O54" i="44"/>
  <c r="Q54" i="44" s="1"/>
  <c r="O55" i="44"/>
  <c r="Q55" i="44" s="1"/>
  <c r="P47" i="37"/>
  <c r="P45" i="37"/>
  <c r="P44" i="37"/>
  <c r="P35" i="37"/>
  <c r="R35" i="37" s="1"/>
  <c r="P7" i="37"/>
  <c r="R7" i="37" s="1"/>
  <c r="W7" i="37" s="1"/>
  <c r="P8" i="37"/>
  <c r="R8" i="37" s="1"/>
  <c r="W8" i="37" s="1"/>
  <c r="P38" i="37"/>
  <c r="R38" i="37" s="1"/>
  <c r="P27" i="37"/>
  <c r="P25" i="37"/>
  <c r="P6" i="37"/>
  <c r="P26" i="37"/>
  <c r="P29" i="37"/>
  <c r="P9" i="37"/>
  <c r="R9" i="37" s="1"/>
  <c r="W9" i="37" s="1"/>
  <c r="P37" i="37"/>
  <c r="R37" i="37" s="1"/>
  <c r="P34" i="37"/>
  <c r="R34" i="37" s="1"/>
  <c r="P10" i="37"/>
  <c r="R10" i="37" s="1"/>
  <c r="W10" i="37" s="1"/>
  <c r="P28" i="37"/>
  <c r="P36" i="37"/>
  <c r="R36" i="37" s="1"/>
  <c r="P43" i="37"/>
  <c r="P46" i="37"/>
  <c r="D10" i="14"/>
  <c r="E10" i="14" s="1"/>
  <c r="G10" i="14"/>
  <c r="P27" i="38"/>
  <c r="P43" i="38"/>
  <c r="P37" i="38"/>
  <c r="R37" i="38" s="1"/>
  <c r="Q37" i="38" s="1"/>
  <c r="P25" i="38"/>
  <c r="P56" i="38"/>
  <c r="R56" i="38" s="1"/>
  <c r="Q56" i="38" s="1"/>
  <c r="P34" i="38"/>
  <c r="R34" i="38" s="1"/>
  <c r="Q34" i="38" s="1"/>
  <c r="P47" i="38"/>
  <c r="P55" i="38"/>
  <c r="R55" i="38" s="1"/>
  <c r="Q55" i="38" s="1"/>
  <c r="P35" i="38"/>
  <c r="R35" i="38" s="1"/>
  <c r="Q35" i="38" s="1"/>
  <c r="P8" i="38"/>
  <c r="R8" i="38" s="1"/>
  <c r="V8" i="38" s="1"/>
  <c r="W8" i="38" s="1"/>
  <c r="P28" i="38"/>
  <c r="P46" i="38"/>
  <c r="P9" i="38"/>
  <c r="R9" i="38" s="1"/>
  <c r="V9" i="38" s="1"/>
  <c r="W9" i="38" s="1"/>
  <c r="P36" i="38"/>
  <c r="R36" i="38" s="1"/>
  <c r="Q36" i="38" s="1"/>
  <c r="P29" i="38"/>
  <c r="P10" i="38"/>
  <c r="R10" i="38" s="1"/>
  <c r="V10" i="38" s="1"/>
  <c r="W10" i="38" s="1"/>
  <c r="P44" i="38"/>
  <c r="P53" i="38"/>
  <c r="R53" i="38" s="1"/>
  <c r="Q53" i="38" s="1"/>
  <c r="P26" i="38"/>
  <c r="P6" i="38"/>
  <c r="R6" i="38" s="1"/>
  <c r="V6" i="38" s="1"/>
  <c r="W6" i="38" s="1"/>
  <c r="P52" i="38"/>
  <c r="R52" i="38" s="1"/>
  <c r="Q52" i="38" s="1"/>
  <c r="P54" i="38"/>
  <c r="R54" i="38" s="1"/>
  <c r="Q54" i="38" s="1"/>
  <c r="P45" i="38"/>
  <c r="P7" i="38"/>
  <c r="R7" i="38" s="1"/>
  <c r="V7" i="38" s="1"/>
  <c r="W7" i="38" s="1"/>
  <c r="P38" i="38"/>
  <c r="R38" i="38" s="1"/>
  <c r="Q38" i="38" s="1"/>
  <c r="R11" i="27"/>
  <c r="P33" i="27"/>
  <c r="I11" i="14"/>
  <c r="P28" i="45"/>
  <c r="P8" i="45"/>
  <c r="R8" i="45" s="1"/>
  <c r="W8" i="45" s="1"/>
  <c r="P27" i="45"/>
  <c r="P6" i="45"/>
  <c r="R6" i="45" s="1"/>
  <c r="W6" i="45" s="1"/>
  <c r="P10" i="45"/>
  <c r="R10" i="45" s="1"/>
  <c r="W10" i="45" s="1"/>
  <c r="P45" i="45"/>
  <c r="P7" i="45"/>
  <c r="R7" i="45" s="1"/>
  <c r="W7" i="45" s="1"/>
  <c r="P26" i="45"/>
  <c r="P46" i="45"/>
  <c r="P43" i="45"/>
  <c r="P25" i="45"/>
  <c r="P44" i="45"/>
  <c r="P29" i="45"/>
  <c r="P9" i="45"/>
  <c r="R9" i="45" s="1"/>
  <c r="W9" i="45" s="1"/>
  <c r="P47" i="45"/>
  <c r="O54" i="36"/>
  <c r="Q54" i="36" s="1"/>
  <c r="O25" i="36"/>
  <c r="Q25" i="36" s="1"/>
  <c r="O43" i="36"/>
  <c r="Q43" i="36" s="1"/>
  <c r="O45" i="36"/>
  <c r="Q45" i="36" s="1"/>
  <c r="O27" i="36"/>
  <c r="O26" i="36"/>
  <c r="O53" i="36"/>
  <c r="Q53" i="36" s="1"/>
  <c r="O9" i="36"/>
  <c r="O29" i="36"/>
  <c r="O44" i="36"/>
  <c r="Q44" i="36" s="1"/>
  <c r="O6" i="36"/>
  <c r="O46" i="36"/>
  <c r="Q46" i="36" s="1"/>
  <c r="O47" i="36"/>
  <c r="Q47" i="36" s="1"/>
  <c r="O10" i="36"/>
  <c r="O56" i="36"/>
  <c r="Q56" i="36" s="1"/>
  <c r="O55" i="36"/>
  <c r="Q55" i="36" s="1"/>
  <c r="O7" i="36"/>
  <c r="O52" i="36"/>
  <c r="Q52" i="36" s="1"/>
  <c r="O28" i="36"/>
  <c r="O8" i="36"/>
  <c r="O47" i="50"/>
  <c r="O28" i="50"/>
  <c r="O55" i="50"/>
  <c r="Q55" i="50" s="1"/>
  <c r="O43" i="50"/>
  <c r="O44" i="50"/>
  <c r="O56" i="50"/>
  <c r="Q56" i="50" s="1"/>
  <c r="O45" i="50"/>
  <c r="O52" i="50"/>
  <c r="Q52" i="50" s="1"/>
  <c r="O54" i="50"/>
  <c r="Q54" i="50" s="1"/>
  <c r="O53" i="50"/>
  <c r="Q53" i="50" s="1"/>
  <c r="O29" i="50"/>
  <c r="O6" i="50"/>
  <c r="O27" i="50"/>
  <c r="O8" i="50"/>
  <c r="Q8" i="50" s="1"/>
  <c r="V8" i="50" s="1"/>
  <c r="O25" i="50"/>
  <c r="O46" i="50"/>
  <c r="O10" i="50"/>
  <c r="Q10" i="50" s="1"/>
  <c r="V10" i="50" s="1"/>
  <c r="O9" i="50"/>
  <c r="Q9" i="50" s="1"/>
  <c r="V9" i="50" s="1"/>
  <c r="O26" i="50"/>
  <c r="O7" i="50"/>
  <c r="Q7" i="50" s="1"/>
  <c r="V7" i="50" s="1"/>
  <c r="O53" i="51"/>
  <c r="Q53" i="51" s="1"/>
  <c r="O46" i="51"/>
  <c r="O6" i="51"/>
  <c r="Q6" i="51" s="1"/>
  <c r="V6" i="51" s="1"/>
  <c r="O25" i="51"/>
  <c r="O26" i="51"/>
  <c r="O8" i="51"/>
  <c r="Q8" i="51" s="1"/>
  <c r="V8" i="51" s="1"/>
  <c r="O55" i="51"/>
  <c r="Q55" i="51" s="1"/>
  <c r="O29" i="51"/>
  <c r="O27" i="51"/>
  <c r="O56" i="51"/>
  <c r="Q56" i="51" s="1"/>
  <c r="O43" i="51"/>
  <c r="O44" i="51"/>
  <c r="O7" i="51"/>
  <c r="Q7" i="51" s="1"/>
  <c r="V7" i="51" s="1"/>
  <c r="O52" i="51"/>
  <c r="Q52" i="51" s="1"/>
  <c r="O28" i="51"/>
  <c r="O47" i="51"/>
  <c r="O54" i="51"/>
  <c r="Q54" i="51" s="1"/>
  <c r="O45" i="51"/>
  <c r="O9" i="51"/>
  <c r="Q9" i="51" s="1"/>
  <c r="V9" i="51" s="1"/>
  <c r="O10" i="51"/>
  <c r="Q10" i="51" s="1"/>
  <c r="V10" i="51" s="1"/>
  <c r="P52" i="39"/>
  <c r="R52" i="39" s="1"/>
  <c r="P54" i="39"/>
  <c r="R54" i="39" s="1"/>
  <c r="P44" i="39"/>
  <c r="P6" i="39"/>
  <c r="P28" i="39"/>
  <c r="P27" i="39"/>
  <c r="P47" i="39"/>
  <c r="P35" i="39"/>
  <c r="R35" i="39" s="1"/>
  <c r="P7" i="39"/>
  <c r="P38" i="39"/>
  <c r="R38" i="39" s="1"/>
  <c r="P43" i="39"/>
  <c r="P29" i="39"/>
  <c r="P56" i="39"/>
  <c r="R56" i="39" s="1"/>
  <c r="P53" i="39"/>
  <c r="R53" i="39" s="1"/>
  <c r="P55" i="39"/>
  <c r="R55" i="39" s="1"/>
  <c r="P46" i="39"/>
  <c r="P37" i="39"/>
  <c r="R37" i="39" s="1"/>
  <c r="P8" i="39"/>
  <c r="P26" i="39"/>
  <c r="P45" i="39"/>
  <c r="P10" i="39"/>
  <c r="P25" i="39"/>
  <c r="P34" i="39"/>
  <c r="R34" i="39" s="1"/>
  <c r="P36" i="39"/>
  <c r="R36" i="39" s="1"/>
  <c r="P9" i="39"/>
  <c r="O47" i="31"/>
  <c r="Q47" i="31" s="1"/>
  <c r="O6" i="31"/>
  <c r="O44" i="31"/>
  <c r="Q44" i="31" s="1"/>
  <c r="O45" i="31"/>
  <c r="Q45" i="31" s="1"/>
  <c r="O43" i="31"/>
  <c r="Q43" i="31" s="1"/>
  <c r="O8" i="31"/>
  <c r="O27" i="31"/>
  <c r="Q27" i="31" s="1"/>
  <c r="O10" i="31"/>
  <c r="O28" i="31"/>
  <c r="Q28" i="31" s="1"/>
  <c r="O7" i="31"/>
  <c r="O46" i="31"/>
  <c r="Q46" i="31" s="1"/>
  <c r="O29" i="31"/>
  <c r="Q29" i="31" s="1"/>
  <c r="O26" i="31"/>
  <c r="Q26" i="31" s="1"/>
  <c r="O25" i="31"/>
  <c r="O9" i="31"/>
  <c r="Q8" i="36" l="1"/>
  <c r="U8" i="36" s="1"/>
  <c r="V8" i="36" s="1"/>
  <c r="Q9" i="36"/>
  <c r="U9" i="36" s="1"/>
  <c r="V9" i="36" s="1"/>
  <c r="Q6" i="36"/>
  <c r="U6" i="36" s="1"/>
  <c r="V6" i="36" s="1"/>
  <c r="Q7" i="36"/>
  <c r="U7" i="36" s="1"/>
  <c r="V7" i="36" s="1"/>
  <c r="R6" i="37"/>
  <c r="W6" i="37" s="1"/>
  <c r="Q6" i="44"/>
  <c r="V6" i="44" s="1"/>
  <c r="Q10" i="36"/>
  <c r="U10" i="36" s="1"/>
  <c r="V10" i="36" s="1"/>
  <c r="Q6" i="50"/>
  <c r="V6" i="50" s="1"/>
  <c r="R6" i="43"/>
  <c r="W6" i="43" s="1"/>
  <c r="R6" i="39"/>
  <c r="W6" i="39" s="1"/>
  <c r="R9" i="39"/>
  <c r="W9" i="39" s="1"/>
  <c r="R7" i="39"/>
  <c r="W7" i="39" s="1"/>
  <c r="R8" i="39"/>
  <c r="W8" i="39" s="1"/>
  <c r="R10" i="39"/>
  <c r="W10" i="39" s="1"/>
  <c r="S10" i="32"/>
  <c r="S30" i="32"/>
  <c r="W30" i="32" s="1"/>
  <c r="S50" i="32"/>
  <c r="S9" i="32"/>
  <c r="U26" i="31"/>
  <c r="V26" i="31" s="1"/>
  <c r="S6" i="32"/>
  <c r="U29" i="31"/>
  <c r="V29" i="31" s="1"/>
  <c r="S48" i="32"/>
  <c r="S47" i="32"/>
  <c r="W47" i="32" s="1"/>
  <c r="S8" i="32"/>
  <c r="W8" i="32" s="1"/>
  <c r="S49" i="32"/>
  <c r="S28" i="32"/>
  <c r="U28" i="31"/>
  <c r="V28" i="31" s="1"/>
  <c r="S27" i="32"/>
  <c r="W27" i="32" s="1"/>
  <c r="S7" i="32"/>
  <c r="W7" i="32" s="1"/>
  <c r="U27" i="31"/>
  <c r="V27" i="31" s="1"/>
  <c r="S29" i="32"/>
  <c r="W29" i="32" s="1"/>
  <c r="Q8" i="31"/>
  <c r="Q28" i="51"/>
  <c r="V28" i="51" s="1"/>
  <c r="Q29" i="50"/>
  <c r="V29" i="50" s="1"/>
  <c r="Q46" i="51"/>
  <c r="R55" i="51" s="1"/>
  <c r="S55" i="51" s="1"/>
  <c r="Q6" i="31"/>
  <c r="Q43" i="51"/>
  <c r="R52" i="51" s="1"/>
  <c r="S52" i="51" s="1"/>
  <c r="Q26" i="50"/>
  <c r="V26" i="50" s="1"/>
  <c r="Q45" i="50"/>
  <c r="V45" i="50" s="1"/>
  <c r="Q29" i="51"/>
  <c r="V29" i="51" s="1"/>
  <c r="Q46" i="50"/>
  <c r="V46" i="50" s="1"/>
  <c r="Q43" i="50"/>
  <c r="R52" i="50" s="1"/>
  <c r="S52" i="50" s="1"/>
  <c r="Q9" i="31"/>
  <c r="Q7" i="31"/>
  <c r="Q25" i="50"/>
  <c r="V25" i="50" s="1"/>
  <c r="Q44" i="50"/>
  <c r="V44" i="50" s="1"/>
  <c r="Q45" i="51"/>
  <c r="V45" i="51" s="1"/>
  <c r="Q28" i="50"/>
  <c r="V28" i="50" s="1"/>
  <c r="Q27" i="51"/>
  <c r="V27" i="51" s="1"/>
  <c r="Q10" i="31"/>
  <c r="Q26" i="51"/>
  <c r="V26" i="51" s="1"/>
  <c r="Q27" i="50"/>
  <c r="V27" i="50" s="1"/>
  <c r="Q47" i="50"/>
  <c r="R56" i="50" s="1"/>
  <c r="S56" i="50" s="1"/>
  <c r="Q44" i="51"/>
  <c r="R53" i="51" s="1"/>
  <c r="S53" i="51" s="1"/>
  <c r="Q47" i="51"/>
  <c r="R56" i="51" s="1"/>
  <c r="S56" i="51" s="1"/>
  <c r="Q25" i="51"/>
  <c r="V25" i="51" s="1"/>
  <c r="Q26" i="36"/>
  <c r="U26" i="36" s="1"/>
  <c r="V26" i="36" s="1"/>
  <c r="R29" i="45"/>
  <c r="W29" i="45" s="1"/>
  <c r="R44" i="38"/>
  <c r="V44" i="38" s="1"/>
  <c r="X44" i="38" s="1"/>
  <c r="R27" i="38"/>
  <c r="V27" i="38" s="1"/>
  <c r="W27" i="38" s="1"/>
  <c r="R44" i="46"/>
  <c r="W44" i="46" s="1"/>
  <c r="R28" i="46"/>
  <c r="W28" i="46" s="1"/>
  <c r="R43" i="39"/>
  <c r="X43" i="39" s="1"/>
  <c r="Q27" i="36"/>
  <c r="U27" i="36" s="1"/>
  <c r="V27" i="36" s="1"/>
  <c r="R44" i="45"/>
  <c r="W44" i="45" s="1"/>
  <c r="Q46" i="44"/>
  <c r="R55" i="44" s="1"/>
  <c r="S55" i="44" s="1"/>
  <c r="Q29" i="44"/>
  <c r="V29" i="44" s="1"/>
  <c r="Q44" i="44"/>
  <c r="R53" i="44" s="1"/>
  <c r="S53" i="44" s="1"/>
  <c r="R26" i="43"/>
  <c r="W26" i="43" s="1"/>
  <c r="R43" i="43"/>
  <c r="W43" i="43" s="1"/>
  <c r="R26" i="46"/>
  <c r="W26" i="46" s="1"/>
  <c r="R27" i="37"/>
  <c r="W27" i="37" s="1"/>
  <c r="R46" i="39"/>
  <c r="X46" i="39" s="1"/>
  <c r="R25" i="45"/>
  <c r="W25" i="45" s="1"/>
  <c r="R27" i="45"/>
  <c r="W27" i="45" s="1"/>
  <c r="R45" i="38"/>
  <c r="V45" i="38" s="1"/>
  <c r="X45" i="38" s="1"/>
  <c r="R29" i="38"/>
  <c r="V29" i="38" s="1"/>
  <c r="W29" i="38" s="1"/>
  <c r="R47" i="38"/>
  <c r="V47" i="38" s="1"/>
  <c r="X47" i="38" s="1"/>
  <c r="Q45" i="44"/>
  <c r="R54" i="44" s="1"/>
  <c r="S54" i="44" s="1"/>
  <c r="R45" i="46"/>
  <c r="W45" i="46" s="1"/>
  <c r="R25" i="46"/>
  <c r="W25" i="46" s="1"/>
  <c r="R44" i="39"/>
  <c r="X44" i="39" s="1"/>
  <c r="R45" i="45"/>
  <c r="W45" i="45" s="1"/>
  <c r="R43" i="46"/>
  <c r="W43" i="46" s="1"/>
  <c r="Q25" i="31"/>
  <c r="R47" i="39"/>
  <c r="X47" i="39" s="1"/>
  <c r="Q28" i="36"/>
  <c r="U28" i="36" s="1"/>
  <c r="V28" i="36" s="1"/>
  <c r="R43" i="45"/>
  <c r="W43" i="45" s="1"/>
  <c r="R46" i="37"/>
  <c r="W46" i="37" s="1"/>
  <c r="R29" i="37"/>
  <c r="W29" i="37" s="1"/>
  <c r="Q25" i="44"/>
  <c r="V25" i="44" s="1"/>
  <c r="Q47" i="44"/>
  <c r="V47" i="44" s="1"/>
  <c r="R46" i="43"/>
  <c r="W46" i="43" s="1"/>
  <c r="R44" i="43"/>
  <c r="W44" i="43" s="1"/>
  <c r="R43" i="38"/>
  <c r="S52" i="38" s="1"/>
  <c r="T52" i="38" s="1"/>
  <c r="R47" i="43"/>
  <c r="W47" i="43" s="1"/>
  <c r="R25" i="39"/>
  <c r="W25" i="39" s="1"/>
  <c r="R27" i="39"/>
  <c r="S36" i="39" s="1"/>
  <c r="T36" i="39" s="1"/>
  <c r="U25" i="36"/>
  <c r="V25" i="36" s="1"/>
  <c r="R46" i="45"/>
  <c r="W46" i="45" s="1"/>
  <c r="R28" i="45"/>
  <c r="W28" i="45" s="1"/>
  <c r="R43" i="37"/>
  <c r="W43" i="37" s="1"/>
  <c r="R26" i="37"/>
  <c r="W26" i="37" s="1"/>
  <c r="R44" i="37"/>
  <c r="W44" i="37" s="1"/>
  <c r="Q27" i="44"/>
  <c r="V27" i="44" s="1"/>
  <c r="Q26" i="44"/>
  <c r="V26" i="44" s="1"/>
  <c r="R29" i="43"/>
  <c r="W29" i="43" s="1"/>
  <c r="R46" i="46"/>
  <c r="W46" i="46" s="1"/>
  <c r="W26" i="32"/>
  <c r="X26" i="32" s="1"/>
  <c r="R28" i="39"/>
  <c r="W28" i="39" s="1"/>
  <c r="Q29" i="36"/>
  <c r="U29" i="36" s="1"/>
  <c r="V29" i="36" s="1"/>
  <c r="R26" i="45"/>
  <c r="W26" i="45" s="1"/>
  <c r="R46" i="38"/>
  <c r="V46" i="38" s="1"/>
  <c r="X46" i="38" s="1"/>
  <c r="R25" i="38"/>
  <c r="V25" i="38" s="1"/>
  <c r="W25" i="38" s="1"/>
  <c r="R45" i="37"/>
  <c r="W45" i="37" s="1"/>
  <c r="R27" i="43"/>
  <c r="W27" i="43" s="1"/>
  <c r="R45" i="43"/>
  <c r="W45" i="43" s="1"/>
  <c r="R27" i="46"/>
  <c r="W27" i="46" s="1"/>
  <c r="W46" i="32"/>
  <c r="X46" i="32" s="1"/>
  <c r="R26" i="39"/>
  <c r="W26" i="39" s="1"/>
  <c r="R25" i="43"/>
  <c r="W25" i="43" s="1"/>
  <c r="R45" i="39"/>
  <c r="X45" i="39" s="1"/>
  <c r="R29" i="39"/>
  <c r="S38" i="39" s="1"/>
  <c r="T38" i="39" s="1"/>
  <c r="R47" i="45"/>
  <c r="W47" i="45" s="1"/>
  <c r="R26" i="38"/>
  <c r="V26" i="38" s="1"/>
  <c r="W26" i="38" s="1"/>
  <c r="R28" i="38"/>
  <c r="V28" i="38" s="1"/>
  <c r="W28" i="38" s="1"/>
  <c r="R28" i="37"/>
  <c r="S37" i="37" s="1"/>
  <c r="T37" i="37" s="1"/>
  <c r="R25" i="37"/>
  <c r="W25" i="37" s="1"/>
  <c r="R47" i="37"/>
  <c r="W47" i="37" s="1"/>
  <c r="Q28" i="44"/>
  <c r="V28" i="44" s="1"/>
  <c r="Q43" i="44"/>
  <c r="V43" i="44" s="1"/>
  <c r="R28" i="43"/>
  <c r="W28" i="43" s="1"/>
  <c r="R29" i="46"/>
  <c r="W29" i="46" s="1"/>
  <c r="R47" i="46"/>
  <c r="W47" i="46" s="1"/>
  <c r="F63" i="59"/>
  <c r="N63" i="59"/>
  <c r="K63" i="59"/>
  <c r="I63" i="59"/>
  <c r="L63" i="59"/>
  <c r="H63" i="59"/>
  <c r="G63" i="59"/>
  <c r="M63" i="59"/>
  <c r="J63" i="59"/>
  <c r="E64" i="59"/>
  <c r="E58" i="59"/>
  <c r="M98" i="59" s="1"/>
  <c r="S36" i="47"/>
  <c r="T36" i="47" s="1"/>
  <c r="X36" i="47"/>
  <c r="S35" i="47"/>
  <c r="T35" i="47" s="1"/>
  <c r="X35" i="47"/>
  <c r="S18" i="47"/>
  <c r="T18" i="47" s="1"/>
  <c r="X18" i="47"/>
  <c r="S19" i="47"/>
  <c r="T19" i="47" s="1"/>
  <c r="X19" i="47"/>
  <c r="X38" i="47"/>
  <c r="S38" i="47"/>
  <c r="T38" i="47" s="1"/>
  <c r="S34" i="47"/>
  <c r="T34" i="47" s="1"/>
  <c r="X34" i="47"/>
  <c r="S56" i="47"/>
  <c r="T56" i="47" s="1"/>
  <c r="X56" i="47"/>
  <c r="S52" i="47"/>
  <c r="T52" i="47" s="1"/>
  <c r="X52" i="47"/>
  <c r="S17" i="47"/>
  <c r="T17" i="47" s="1"/>
  <c r="X17" i="47"/>
  <c r="X54" i="47"/>
  <c r="S54" i="47"/>
  <c r="T54" i="47" s="1"/>
  <c r="S37" i="47"/>
  <c r="T37" i="47" s="1"/>
  <c r="X37" i="47"/>
  <c r="S16" i="47"/>
  <c r="T16" i="47" s="1"/>
  <c r="X16" i="47"/>
  <c r="X55" i="47"/>
  <c r="S55" i="47"/>
  <c r="T55" i="47" s="1"/>
  <c r="S53" i="47"/>
  <c r="T53" i="47" s="1"/>
  <c r="X53" i="47"/>
  <c r="S20" i="47"/>
  <c r="T20" i="47" s="1"/>
  <c r="X20" i="47"/>
  <c r="V36" i="39"/>
  <c r="X36" i="39"/>
  <c r="V52" i="39"/>
  <c r="X52" i="39"/>
  <c r="W55" i="50"/>
  <c r="R56" i="36"/>
  <c r="S56" i="36" s="1"/>
  <c r="U56" i="36"/>
  <c r="W56" i="36"/>
  <c r="R53" i="36"/>
  <c r="S53" i="36" s="1"/>
  <c r="W53" i="36"/>
  <c r="U53" i="36"/>
  <c r="I15" i="14"/>
  <c r="I29" i="14"/>
  <c r="V52" i="38"/>
  <c r="X52" i="38"/>
  <c r="V34" i="38"/>
  <c r="X34" i="38"/>
  <c r="X35" i="37"/>
  <c r="V35" i="37"/>
  <c r="Q58" i="32"/>
  <c r="S58" i="32" s="1"/>
  <c r="Q18" i="32"/>
  <c r="S18" i="32" s="1"/>
  <c r="Q57" i="32"/>
  <c r="S57" i="32" s="1"/>
  <c r="Q59" i="32"/>
  <c r="S59" i="32" s="1"/>
  <c r="Q38" i="32"/>
  <c r="S38" i="32" s="1"/>
  <c r="Q40" i="32"/>
  <c r="S40" i="32" s="1"/>
  <c r="Q17" i="32"/>
  <c r="S17" i="32" s="1"/>
  <c r="Q37" i="32"/>
  <c r="S37" i="32" s="1"/>
  <c r="Q60" i="32"/>
  <c r="S60" i="32" s="1"/>
  <c r="Q19" i="32"/>
  <c r="S19" i="32" s="1"/>
  <c r="Q20" i="32"/>
  <c r="S20" i="32" s="1"/>
  <c r="Q39" i="32"/>
  <c r="S39" i="32" s="1"/>
  <c r="Q56" i="32"/>
  <c r="S56" i="32" s="1"/>
  <c r="Q16" i="32"/>
  <c r="S16" i="32" s="1"/>
  <c r="Q36" i="32"/>
  <c r="S36" i="32" s="1"/>
  <c r="V34" i="39"/>
  <c r="X34" i="39"/>
  <c r="P20" i="39"/>
  <c r="R20" i="39" s="1"/>
  <c r="P16" i="39"/>
  <c r="R16" i="39" s="1"/>
  <c r="P17" i="39"/>
  <c r="R17" i="39" s="1"/>
  <c r="P18" i="39"/>
  <c r="R18" i="39" s="1"/>
  <c r="P19" i="39"/>
  <c r="R19" i="39" s="1"/>
  <c r="V35" i="39"/>
  <c r="X35" i="39"/>
  <c r="W53" i="50"/>
  <c r="X56" i="38"/>
  <c r="V56" i="38"/>
  <c r="W56" i="44"/>
  <c r="P19" i="46"/>
  <c r="R19" i="46" s="1"/>
  <c r="P18" i="46"/>
  <c r="R18" i="46" s="1"/>
  <c r="P54" i="46"/>
  <c r="R54" i="46" s="1"/>
  <c r="P56" i="46"/>
  <c r="R56" i="46" s="1"/>
  <c r="P17" i="46"/>
  <c r="R17" i="46" s="1"/>
  <c r="P52" i="46"/>
  <c r="R52" i="46" s="1"/>
  <c r="P37" i="46"/>
  <c r="R37" i="46" s="1"/>
  <c r="P36" i="46"/>
  <c r="R36" i="46" s="1"/>
  <c r="P55" i="46"/>
  <c r="R55" i="46" s="1"/>
  <c r="P16" i="46"/>
  <c r="R16" i="46" s="1"/>
  <c r="P34" i="46"/>
  <c r="R34" i="46" s="1"/>
  <c r="P35" i="46"/>
  <c r="R35" i="46" s="1"/>
  <c r="P53" i="46"/>
  <c r="R53" i="46" s="1"/>
  <c r="P38" i="46"/>
  <c r="R38" i="46" s="1"/>
  <c r="P20" i="46"/>
  <c r="R20" i="46" s="1"/>
  <c r="U43" i="31"/>
  <c r="V43" i="31" s="1"/>
  <c r="V55" i="39"/>
  <c r="X55" i="39"/>
  <c r="W54" i="50"/>
  <c r="U47" i="36"/>
  <c r="V47" i="36" s="1"/>
  <c r="X36" i="37"/>
  <c r="V36" i="37"/>
  <c r="P35" i="43"/>
  <c r="R35" i="43" s="1"/>
  <c r="P52" i="43"/>
  <c r="R52" i="43" s="1"/>
  <c r="P54" i="43"/>
  <c r="R54" i="43" s="1"/>
  <c r="P20" i="43"/>
  <c r="R20" i="43" s="1"/>
  <c r="P55" i="43"/>
  <c r="R55" i="43" s="1"/>
  <c r="P18" i="43"/>
  <c r="R18" i="43" s="1"/>
  <c r="P53" i="43"/>
  <c r="R53" i="43" s="1"/>
  <c r="P16" i="43"/>
  <c r="R16" i="43" s="1"/>
  <c r="P38" i="43"/>
  <c r="R38" i="43" s="1"/>
  <c r="P19" i="43"/>
  <c r="R19" i="43" s="1"/>
  <c r="P36" i="43"/>
  <c r="R36" i="43" s="1"/>
  <c r="P56" i="43"/>
  <c r="R56" i="43" s="1"/>
  <c r="P37" i="43"/>
  <c r="R37" i="43" s="1"/>
  <c r="P17" i="43"/>
  <c r="R17" i="43" s="1"/>
  <c r="P34" i="43"/>
  <c r="R34" i="43" s="1"/>
  <c r="U46" i="31"/>
  <c r="V46" i="31" s="1"/>
  <c r="U45" i="31"/>
  <c r="V45" i="31" s="1"/>
  <c r="X53" i="39"/>
  <c r="V53" i="39"/>
  <c r="W56" i="51"/>
  <c r="W52" i="50"/>
  <c r="U46" i="36"/>
  <c r="V46" i="36" s="1"/>
  <c r="U45" i="36"/>
  <c r="V45" i="36" s="1"/>
  <c r="W52" i="38"/>
  <c r="I12" i="31"/>
  <c r="V53" i="38"/>
  <c r="X53" i="38"/>
  <c r="V37" i="38"/>
  <c r="X37" i="38"/>
  <c r="P54" i="37"/>
  <c r="R54" i="37" s="1"/>
  <c r="P55" i="37"/>
  <c r="R55" i="37" s="1"/>
  <c r="P18" i="37"/>
  <c r="R18" i="37" s="1"/>
  <c r="P19" i="37"/>
  <c r="R19" i="37" s="1"/>
  <c r="P53" i="37"/>
  <c r="R53" i="37" s="1"/>
  <c r="P16" i="37"/>
  <c r="R16" i="37" s="1"/>
  <c r="P52" i="37"/>
  <c r="R52" i="37" s="1"/>
  <c r="P17" i="37"/>
  <c r="R17" i="37" s="1"/>
  <c r="P56" i="37"/>
  <c r="R56" i="37" s="1"/>
  <c r="P20" i="37"/>
  <c r="R20" i="37" s="1"/>
  <c r="O38" i="44"/>
  <c r="Q38" i="44" s="1"/>
  <c r="O37" i="44"/>
  <c r="Q37" i="44" s="1"/>
  <c r="O18" i="44"/>
  <c r="Q18" i="44" s="1"/>
  <c r="O20" i="44"/>
  <c r="Q20" i="44" s="1"/>
  <c r="O17" i="44"/>
  <c r="Q17" i="44" s="1"/>
  <c r="O16" i="44"/>
  <c r="Q16" i="44" s="1"/>
  <c r="O34" i="44"/>
  <c r="Q34" i="44" s="1"/>
  <c r="O35" i="44"/>
  <c r="Q35" i="44" s="1"/>
  <c r="O36" i="44"/>
  <c r="Q36" i="44" s="1"/>
  <c r="O19" i="44"/>
  <c r="Q19" i="44" s="1"/>
  <c r="U44" i="31"/>
  <c r="V44" i="31" s="1"/>
  <c r="V56" i="39"/>
  <c r="X56" i="39"/>
  <c r="W54" i="51"/>
  <c r="O34" i="51"/>
  <c r="Q34" i="51" s="1"/>
  <c r="O37" i="51"/>
  <c r="Q37" i="51" s="1"/>
  <c r="O17" i="51"/>
  <c r="Q17" i="51" s="1"/>
  <c r="O38" i="51"/>
  <c r="Q38" i="51" s="1"/>
  <c r="O16" i="51"/>
  <c r="Q16" i="51" s="1"/>
  <c r="O20" i="51"/>
  <c r="Q20" i="51" s="1"/>
  <c r="O35" i="51"/>
  <c r="Q35" i="51" s="1"/>
  <c r="O18" i="51"/>
  <c r="Q18" i="51" s="1"/>
  <c r="O36" i="51"/>
  <c r="Q36" i="51" s="1"/>
  <c r="O19" i="51"/>
  <c r="Q19" i="51" s="1"/>
  <c r="U43" i="36"/>
  <c r="V43" i="36" s="1"/>
  <c r="V38" i="38"/>
  <c r="X38" i="38"/>
  <c r="X35" i="38"/>
  <c r="V35" i="38"/>
  <c r="K9" i="14"/>
  <c r="M9" i="14" s="1"/>
  <c r="H9" i="14"/>
  <c r="G11" i="14"/>
  <c r="O17" i="31"/>
  <c r="Q17" i="31" s="1"/>
  <c r="O20" i="31"/>
  <c r="Q20" i="31" s="1"/>
  <c r="O34" i="31"/>
  <c r="Q34" i="31" s="1"/>
  <c r="O54" i="31"/>
  <c r="Q54" i="31" s="1"/>
  <c r="O16" i="31"/>
  <c r="Q16" i="31" s="1"/>
  <c r="O53" i="31"/>
  <c r="Q53" i="31" s="1"/>
  <c r="O38" i="31"/>
  <c r="Q38" i="31" s="1"/>
  <c r="O19" i="31"/>
  <c r="Q19" i="31" s="1"/>
  <c r="O36" i="31"/>
  <c r="Q36" i="31" s="1"/>
  <c r="O56" i="31"/>
  <c r="Q56" i="31" s="1"/>
  <c r="O55" i="31"/>
  <c r="Q55" i="31" s="1"/>
  <c r="O18" i="31"/>
  <c r="Q18" i="31" s="1"/>
  <c r="O37" i="31"/>
  <c r="Q37" i="31" s="1"/>
  <c r="O35" i="31"/>
  <c r="Q35" i="31" s="1"/>
  <c r="O52" i="31"/>
  <c r="Q52" i="31" s="1"/>
  <c r="W53" i="51"/>
  <c r="W56" i="50"/>
  <c r="R52" i="36"/>
  <c r="S52" i="36" s="1"/>
  <c r="W52" i="36"/>
  <c r="U52" i="36"/>
  <c r="U44" i="36"/>
  <c r="V44" i="36" s="1"/>
  <c r="O16" i="36"/>
  <c r="Q16" i="36" s="1"/>
  <c r="O20" i="36"/>
  <c r="Q20" i="36" s="1"/>
  <c r="O18" i="36"/>
  <c r="Q18" i="36" s="1"/>
  <c r="O34" i="36"/>
  <c r="Q34" i="36" s="1"/>
  <c r="O38" i="36"/>
  <c r="Q38" i="36" s="1"/>
  <c r="O19" i="36"/>
  <c r="Q19" i="36" s="1"/>
  <c r="O35" i="36"/>
  <c r="Q35" i="36" s="1"/>
  <c r="O17" i="36"/>
  <c r="Q17" i="36" s="1"/>
  <c r="O37" i="36"/>
  <c r="Q37" i="36" s="1"/>
  <c r="O36" i="36"/>
  <c r="Q36" i="36" s="1"/>
  <c r="V55" i="38"/>
  <c r="X55" i="38"/>
  <c r="X34" i="37"/>
  <c r="V34" i="37"/>
  <c r="X38" i="37"/>
  <c r="V38" i="37"/>
  <c r="W55" i="44"/>
  <c r="W52" i="44"/>
  <c r="X52" i="44" s="1"/>
  <c r="E9" i="14"/>
  <c r="D11" i="14"/>
  <c r="U47" i="31"/>
  <c r="V47" i="31" s="1"/>
  <c r="O16" i="50"/>
  <c r="Q16" i="50" s="1"/>
  <c r="O37" i="50"/>
  <c r="Q37" i="50" s="1"/>
  <c r="O38" i="50"/>
  <c r="Q38" i="50" s="1"/>
  <c r="O34" i="50"/>
  <c r="Q34" i="50" s="1"/>
  <c r="O19" i="50"/>
  <c r="Q19" i="50" s="1"/>
  <c r="O35" i="50"/>
  <c r="Q35" i="50" s="1"/>
  <c r="O17" i="50"/>
  <c r="Q17" i="50" s="1"/>
  <c r="O36" i="50"/>
  <c r="Q36" i="50" s="1"/>
  <c r="O20" i="50"/>
  <c r="Q20" i="50" s="1"/>
  <c r="O18" i="50"/>
  <c r="Q18" i="50" s="1"/>
  <c r="P54" i="45"/>
  <c r="R54" i="45" s="1"/>
  <c r="P16" i="45"/>
  <c r="R16" i="45" s="1"/>
  <c r="P19" i="45"/>
  <c r="R19" i="45" s="1"/>
  <c r="P56" i="45"/>
  <c r="R56" i="45" s="1"/>
  <c r="P55" i="45"/>
  <c r="R55" i="45" s="1"/>
  <c r="P17" i="45"/>
  <c r="R17" i="45" s="1"/>
  <c r="P18" i="45"/>
  <c r="R18" i="45" s="1"/>
  <c r="P53" i="45"/>
  <c r="R53" i="45" s="1"/>
  <c r="P36" i="45"/>
  <c r="R36" i="45" s="1"/>
  <c r="P35" i="45"/>
  <c r="R35" i="45" s="1"/>
  <c r="P52" i="45"/>
  <c r="R52" i="45" s="1"/>
  <c r="P20" i="45"/>
  <c r="R20" i="45" s="1"/>
  <c r="P37" i="45"/>
  <c r="R37" i="45" s="1"/>
  <c r="P38" i="45"/>
  <c r="R38" i="45" s="1"/>
  <c r="P34" i="45"/>
  <c r="R34" i="45" s="1"/>
  <c r="H10" i="14"/>
  <c r="K10" i="14"/>
  <c r="M10" i="14" s="1"/>
  <c r="X37" i="37"/>
  <c r="V37" i="37"/>
  <c r="W54" i="44"/>
  <c r="V37" i="39"/>
  <c r="X37" i="39"/>
  <c r="V38" i="39"/>
  <c r="X38" i="39"/>
  <c r="V54" i="39"/>
  <c r="X54" i="39"/>
  <c r="W52" i="51"/>
  <c r="X52" i="51" s="1"/>
  <c r="W55" i="51"/>
  <c r="R55" i="36"/>
  <c r="S55" i="36" s="1"/>
  <c r="U55" i="36"/>
  <c r="W55" i="36"/>
  <c r="R54" i="36"/>
  <c r="S54" i="36" s="1"/>
  <c r="W54" i="36"/>
  <c r="U54" i="36"/>
  <c r="X54" i="38"/>
  <c r="V54" i="38"/>
  <c r="V36" i="38"/>
  <c r="X36" i="38"/>
  <c r="P19" i="38"/>
  <c r="R19" i="38" s="1"/>
  <c r="Q19" i="38" s="1"/>
  <c r="P20" i="38"/>
  <c r="R20" i="38" s="1"/>
  <c r="Q20" i="38" s="1"/>
  <c r="P16" i="38"/>
  <c r="R16" i="38" s="1"/>
  <c r="Q16" i="38" s="1"/>
  <c r="P18" i="38"/>
  <c r="R18" i="38" s="1"/>
  <c r="Q18" i="38" s="1"/>
  <c r="P17" i="38"/>
  <c r="R17" i="38" s="1"/>
  <c r="Q17" i="38" s="1"/>
  <c r="W53" i="44"/>
  <c r="S55" i="38" l="1"/>
  <c r="T55" i="38" s="1"/>
  <c r="R55" i="50"/>
  <c r="S55" i="50" s="1"/>
  <c r="S38" i="37"/>
  <c r="T38" i="37" s="1"/>
  <c r="S53" i="39"/>
  <c r="T53" i="39" s="1"/>
  <c r="S35" i="38"/>
  <c r="T35" i="38" s="1"/>
  <c r="R54" i="50"/>
  <c r="S54" i="50" s="1"/>
  <c r="Y36" i="37"/>
  <c r="Z36" i="37" s="1"/>
  <c r="AA36" i="37" s="1"/>
  <c r="Y36" i="39"/>
  <c r="Y38" i="37"/>
  <c r="Z38" i="37" s="1"/>
  <c r="AA38" i="37" s="1"/>
  <c r="Y37" i="39"/>
  <c r="Z37" i="39" s="1"/>
  <c r="AA37" i="39" s="1"/>
  <c r="Y54" i="39"/>
  <c r="Z54" i="39" s="1"/>
  <c r="AA54" i="39" s="1"/>
  <c r="Y56" i="39"/>
  <c r="Z56" i="39" s="1"/>
  <c r="AA56" i="39" s="1"/>
  <c r="Y55" i="39"/>
  <c r="Z55" i="39" s="1"/>
  <c r="AA55" i="39" s="1"/>
  <c r="Y35" i="39"/>
  <c r="Z35" i="39" s="1"/>
  <c r="AA35" i="39" s="1"/>
  <c r="Y52" i="39"/>
  <c r="Z52" i="39" s="1"/>
  <c r="AA52" i="39" s="1"/>
  <c r="Y37" i="37"/>
  <c r="X54" i="36"/>
  <c r="Y54" i="36" s="1"/>
  <c r="Z54" i="36" s="1"/>
  <c r="X56" i="36"/>
  <c r="Y56" i="36" s="1"/>
  <c r="Z56" i="36" s="1"/>
  <c r="Y53" i="39"/>
  <c r="Z53" i="39" s="1"/>
  <c r="AA53" i="39" s="1"/>
  <c r="Y38" i="39"/>
  <c r="X55" i="36"/>
  <c r="Y55" i="36" s="1"/>
  <c r="Z55" i="36" s="1"/>
  <c r="Y34" i="37"/>
  <c r="Z34" i="37" s="1"/>
  <c r="AA34" i="37" s="1"/>
  <c r="X52" i="36"/>
  <c r="Y52" i="36" s="1"/>
  <c r="Z52" i="36" s="1"/>
  <c r="Y34" i="39"/>
  <c r="Z34" i="39" s="1"/>
  <c r="AA34" i="39" s="1"/>
  <c r="Y35" i="37"/>
  <c r="Z35" i="37" s="1"/>
  <c r="AA35" i="37" s="1"/>
  <c r="X53" i="36"/>
  <c r="Y53" i="36" s="1"/>
  <c r="Z53" i="36" s="1"/>
  <c r="R56" i="44"/>
  <c r="S56" i="44" s="1"/>
  <c r="V44" i="44"/>
  <c r="R54" i="51"/>
  <c r="S54" i="51" s="1"/>
  <c r="S56" i="38"/>
  <c r="T56" i="38" s="1"/>
  <c r="V53" i="31"/>
  <c r="V54" i="31"/>
  <c r="V55" i="31"/>
  <c r="V36" i="31"/>
  <c r="V56" i="31"/>
  <c r="V34" i="31"/>
  <c r="V37" i="31"/>
  <c r="V52" i="31"/>
  <c r="V38" i="31"/>
  <c r="V35" i="31"/>
  <c r="V19" i="31"/>
  <c r="V20" i="31"/>
  <c r="V16" i="31"/>
  <c r="V18" i="31"/>
  <c r="V17" i="31"/>
  <c r="S35" i="39"/>
  <c r="T35" i="39" s="1"/>
  <c r="S55" i="39"/>
  <c r="T55" i="39" s="1"/>
  <c r="Y56" i="47"/>
  <c r="U8" i="31"/>
  <c r="V8" i="31" s="1"/>
  <c r="X7" i="32"/>
  <c r="X8" i="32"/>
  <c r="U9" i="31"/>
  <c r="V9" i="31" s="1"/>
  <c r="U7" i="31"/>
  <c r="V7" i="31" s="1"/>
  <c r="S34" i="39"/>
  <c r="T34" i="39" s="1"/>
  <c r="X30" i="32"/>
  <c r="S38" i="38"/>
  <c r="T38" i="38" s="1"/>
  <c r="S34" i="37"/>
  <c r="T34" i="37" s="1"/>
  <c r="U25" i="31"/>
  <c r="V25" i="31" s="1"/>
  <c r="X29" i="32"/>
  <c r="X27" i="32"/>
  <c r="W28" i="32"/>
  <c r="X28" i="32" s="1"/>
  <c r="W48" i="32"/>
  <c r="X48" i="32" s="1"/>
  <c r="W9" i="32"/>
  <c r="X9" i="32" s="1"/>
  <c r="X47" i="32"/>
  <c r="U10" i="31"/>
  <c r="V10" i="31" s="1"/>
  <c r="Y17" i="47"/>
  <c r="Z17" i="47" s="1"/>
  <c r="AA17" i="47" s="1"/>
  <c r="W6" i="32"/>
  <c r="X6" i="32" s="1"/>
  <c r="S56" i="39"/>
  <c r="T56" i="39" s="1"/>
  <c r="S37" i="39"/>
  <c r="T37" i="39" s="1"/>
  <c r="S36" i="37"/>
  <c r="T36" i="37" s="1"/>
  <c r="U6" i="31"/>
  <c r="V6" i="31" s="1"/>
  <c r="W49" i="32"/>
  <c r="X49" i="32" s="1"/>
  <c r="W50" i="32"/>
  <c r="X50" i="32" s="1"/>
  <c r="W10" i="32"/>
  <c r="X10" i="32" s="1"/>
  <c r="S54" i="38"/>
  <c r="T54" i="38" s="1"/>
  <c r="V47" i="51"/>
  <c r="V43" i="51"/>
  <c r="Y52" i="51" s="1"/>
  <c r="Z52" i="51" s="1"/>
  <c r="V43" i="50"/>
  <c r="V47" i="50"/>
  <c r="R53" i="50"/>
  <c r="S53" i="50" s="1"/>
  <c r="V46" i="44"/>
  <c r="V46" i="51"/>
  <c r="S36" i="38"/>
  <c r="T36" i="38" s="1"/>
  <c r="V44" i="51"/>
  <c r="R52" i="44"/>
  <c r="S52" i="44" s="1"/>
  <c r="S37" i="38"/>
  <c r="T37" i="38" s="1"/>
  <c r="S54" i="39"/>
  <c r="T54" i="39" s="1"/>
  <c r="S35" i="37"/>
  <c r="T35" i="37" s="1"/>
  <c r="S34" i="38"/>
  <c r="T34" i="38" s="1"/>
  <c r="S53" i="38"/>
  <c r="T53" i="38" s="1"/>
  <c r="S52" i="39"/>
  <c r="T52" i="39" s="1"/>
  <c r="W28" i="37"/>
  <c r="W29" i="39"/>
  <c r="V43" i="38"/>
  <c r="X43" i="38" s="1"/>
  <c r="V45" i="44"/>
  <c r="W27" i="39"/>
  <c r="G98" i="59"/>
  <c r="H49" i="55" s="1"/>
  <c r="H51" i="59"/>
  <c r="I5" i="55"/>
  <c r="I6" i="55"/>
  <c r="I7" i="55"/>
  <c r="S55" i="45"/>
  <c r="T55" i="45" s="1"/>
  <c r="S56" i="45"/>
  <c r="T56" i="45" s="1"/>
  <c r="L98" i="59"/>
  <c r="I98" i="59"/>
  <c r="F98" i="59"/>
  <c r="N98" i="59"/>
  <c r="K98" i="59"/>
  <c r="H98" i="59"/>
  <c r="N6" i="55"/>
  <c r="N5" i="55"/>
  <c r="M51" i="59"/>
  <c r="N7" i="55"/>
  <c r="S34" i="45"/>
  <c r="T34" i="45" s="1"/>
  <c r="G51" i="59"/>
  <c r="H5" i="55"/>
  <c r="H6" i="55"/>
  <c r="H7" i="55"/>
  <c r="K51" i="59"/>
  <c r="L6" i="55"/>
  <c r="L7" i="55"/>
  <c r="L5" i="55"/>
  <c r="S35" i="45"/>
  <c r="T35" i="45" s="1"/>
  <c r="N51" i="59"/>
  <c r="O7" i="55"/>
  <c r="O5" i="55"/>
  <c r="O6" i="55"/>
  <c r="S38" i="45"/>
  <c r="T38" i="45" s="1"/>
  <c r="S36" i="45"/>
  <c r="T36" i="45" s="1"/>
  <c r="E63" i="59"/>
  <c r="G6" i="55"/>
  <c r="F51" i="59"/>
  <c r="G5" i="55"/>
  <c r="G7" i="55"/>
  <c r="S54" i="45"/>
  <c r="T54" i="45" s="1"/>
  <c r="L51" i="59"/>
  <c r="M5" i="55"/>
  <c r="M7" i="55"/>
  <c r="M6" i="55"/>
  <c r="S52" i="45"/>
  <c r="T52" i="45" s="1"/>
  <c r="S37" i="45"/>
  <c r="T37" i="45" s="1"/>
  <c r="N49" i="55"/>
  <c r="N69" i="54"/>
  <c r="E69" i="65" s="1"/>
  <c r="N43" i="55"/>
  <c r="N68" i="54"/>
  <c r="N70" i="54"/>
  <c r="K7" i="55"/>
  <c r="J51" i="59"/>
  <c r="K5" i="55"/>
  <c r="K6" i="55"/>
  <c r="S53" i="45"/>
  <c r="T53" i="45" s="1"/>
  <c r="J98" i="59"/>
  <c r="I51" i="59"/>
  <c r="J6" i="55"/>
  <c r="J5" i="55"/>
  <c r="J7" i="55"/>
  <c r="X56" i="44"/>
  <c r="Y56" i="44" s="1"/>
  <c r="Z56" i="44" s="1"/>
  <c r="X52" i="50"/>
  <c r="Y52" i="38"/>
  <c r="X53" i="51"/>
  <c r="Y52" i="44"/>
  <c r="Z52" i="44" s="1"/>
  <c r="X54" i="44"/>
  <c r="X53" i="44"/>
  <c r="X55" i="44"/>
  <c r="X56" i="50"/>
  <c r="W38" i="38"/>
  <c r="Y38" i="38" s="1"/>
  <c r="Z38" i="38" s="1"/>
  <c r="AA38" i="38" s="1"/>
  <c r="W36" i="38"/>
  <c r="Y36" i="38" s="1"/>
  <c r="Z36" i="38" s="1"/>
  <c r="AA36" i="38" s="1"/>
  <c r="X55" i="51"/>
  <c r="W35" i="38"/>
  <c r="Y35" i="38" s="1"/>
  <c r="Z35" i="38" s="1"/>
  <c r="AA35" i="38" s="1"/>
  <c r="W54" i="38"/>
  <c r="Y54" i="38" s="1"/>
  <c r="Z54" i="38" s="1"/>
  <c r="AA54" i="38" s="1"/>
  <c r="W55" i="38"/>
  <c r="Y55" i="38" s="1"/>
  <c r="Z55" i="38" s="1"/>
  <c r="AA55" i="38" s="1"/>
  <c r="X54" i="51"/>
  <c r="Y54" i="51" s="1"/>
  <c r="Z54" i="51" s="1"/>
  <c r="X56" i="51"/>
  <c r="X54" i="50"/>
  <c r="Y54" i="50" s="1"/>
  <c r="Z54" i="50" s="1"/>
  <c r="X55" i="50"/>
  <c r="Y55" i="50" s="1"/>
  <c r="Z55" i="50" s="1"/>
  <c r="W56" i="38"/>
  <c r="Y56" i="38" s="1"/>
  <c r="Z56" i="38" s="1"/>
  <c r="AA56" i="38" s="1"/>
  <c r="S18" i="45"/>
  <c r="T18" i="45" s="1"/>
  <c r="X18" i="45"/>
  <c r="R16" i="50"/>
  <c r="S16" i="50" s="1"/>
  <c r="W16" i="50"/>
  <c r="V19" i="38"/>
  <c r="X19" i="38"/>
  <c r="S19" i="38"/>
  <c r="T19" i="38" s="1"/>
  <c r="W19" i="38"/>
  <c r="X52" i="45"/>
  <c r="Y52" i="45" s="1"/>
  <c r="S19" i="45"/>
  <c r="T19" i="45" s="1"/>
  <c r="X19" i="45"/>
  <c r="W19" i="50"/>
  <c r="R19" i="50"/>
  <c r="S19" i="50" s="1"/>
  <c r="R35" i="36"/>
  <c r="S35" i="36" s="1"/>
  <c r="U35" i="36"/>
  <c r="W35" i="36"/>
  <c r="R56" i="31"/>
  <c r="U56" i="31"/>
  <c r="W56" i="31"/>
  <c r="W20" i="31"/>
  <c r="U20" i="31"/>
  <c r="R20" i="31"/>
  <c r="W17" i="51"/>
  <c r="R17" i="51"/>
  <c r="S17" i="51" s="1"/>
  <c r="W35" i="44"/>
  <c r="R35" i="44"/>
  <c r="S35" i="44" s="1"/>
  <c r="X55" i="37"/>
  <c r="V55" i="37"/>
  <c r="S55" i="37"/>
  <c r="T55" i="37" s="1"/>
  <c r="Y37" i="47"/>
  <c r="Y55" i="47"/>
  <c r="Y18" i="47"/>
  <c r="Z18" i="47" s="1"/>
  <c r="AA18" i="47" s="1"/>
  <c r="Y16" i="47"/>
  <c r="Z16" i="47" s="1"/>
  <c r="AA16" i="47" s="1"/>
  <c r="Y20" i="47"/>
  <c r="Z20" i="47" s="1"/>
  <c r="AA20" i="47" s="1"/>
  <c r="Y19" i="47"/>
  <c r="Z19" i="47" s="1"/>
  <c r="AA19" i="47" s="1"/>
  <c r="Y35" i="47"/>
  <c r="S38" i="43"/>
  <c r="T38" i="43" s="1"/>
  <c r="X38" i="43"/>
  <c r="Y38" i="43" s="1"/>
  <c r="S35" i="43"/>
  <c r="T35" i="43" s="1"/>
  <c r="X35" i="43"/>
  <c r="Y35" i="43" s="1"/>
  <c r="X55" i="46"/>
  <c r="S55" i="46"/>
  <c r="T55" i="46" s="1"/>
  <c r="X19" i="46"/>
  <c r="S19" i="46"/>
  <c r="T19" i="46" s="1"/>
  <c r="X53" i="50"/>
  <c r="Y53" i="50" s="1"/>
  <c r="Z53" i="50" s="1"/>
  <c r="S18" i="39"/>
  <c r="T18" i="39" s="1"/>
  <c r="X18" i="39"/>
  <c r="V18" i="39"/>
  <c r="Y17" i="32"/>
  <c r="W17" i="32"/>
  <c r="T17" i="32"/>
  <c r="U17" i="32" s="1"/>
  <c r="R36" i="31"/>
  <c r="U36" i="31"/>
  <c r="W36" i="31"/>
  <c r="U17" i="31"/>
  <c r="W17" i="31"/>
  <c r="R17" i="31"/>
  <c r="S17" i="31" s="1"/>
  <c r="W19" i="51"/>
  <c r="R19" i="51"/>
  <c r="S19" i="51" s="1"/>
  <c r="W37" i="51"/>
  <c r="R37" i="51"/>
  <c r="S37" i="51" s="1"/>
  <c r="W34" i="44"/>
  <c r="X34" i="44" s="1"/>
  <c r="R34" i="44"/>
  <c r="S34" i="44" s="1"/>
  <c r="X56" i="37"/>
  <c r="V56" i="37"/>
  <c r="S56" i="37"/>
  <c r="T56" i="37" s="1"/>
  <c r="X54" i="37"/>
  <c r="V54" i="37"/>
  <c r="S54" i="37"/>
  <c r="T54" i="37" s="1"/>
  <c r="S16" i="43"/>
  <c r="T16" i="43" s="1"/>
  <c r="X16" i="43"/>
  <c r="Y16" i="43" s="1"/>
  <c r="X36" i="46"/>
  <c r="S36" i="46"/>
  <c r="T36" i="46" s="1"/>
  <c r="X17" i="39"/>
  <c r="V17" i="39"/>
  <c r="S17" i="39"/>
  <c r="T17" i="39" s="1"/>
  <c r="X35" i="45"/>
  <c r="X16" i="45"/>
  <c r="Y16" i="45" s="1"/>
  <c r="S16" i="45"/>
  <c r="T16" i="45" s="1"/>
  <c r="R34" i="50"/>
  <c r="S34" i="50" s="1"/>
  <c r="W34" i="50"/>
  <c r="D15" i="14"/>
  <c r="E15" i="14" s="1"/>
  <c r="E11" i="14"/>
  <c r="U19" i="36"/>
  <c r="W19" i="36"/>
  <c r="R19" i="36"/>
  <c r="S19" i="36" s="1"/>
  <c r="X36" i="45"/>
  <c r="X54" i="45"/>
  <c r="R38" i="50"/>
  <c r="S38" i="50" s="1"/>
  <c r="W38" i="50"/>
  <c r="R38" i="36"/>
  <c r="S38" i="36" s="1"/>
  <c r="W38" i="36"/>
  <c r="U38" i="36"/>
  <c r="W19" i="31"/>
  <c r="R19" i="31"/>
  <c r="S19" i="31" s="1"/>
  <c r="U19" i="31"/>
  <c r="R36" i="51"/>
  <c r="S36" i="51" s="1"/>
  <c r="W36" i="51"/>
  <c r="W34" i="51"/>
  <c r="R34" i="51"/>
  <c r="S34" i="51" s="1"/>
  <c r="R16" i="44"/>
  <c r="S16" i="44" s="1"/>
  <c r="W16" i="44"/>
  <c r="X16" i="44" s="1"/>
  <c r="W37" i="38"/>
  <c r="Y37" i="38" s="1"/>
  <c r="Z37" i="38" s="1"/>
  <c r="AA37" i="38" s="1"/>
  <c r="S34" i="43"/>
  <c r="T34" i="43" s="1"/>
  <c r="X34" i="43"/>
  <c r="Y34" i="43" s="1"/>
  <c r="S53" i="43"/>
  <c r="T53" i="43" s="1"/>
  <c r="X53" i="43"/>
  <c r="Y53" i="43" s="1"/>
  <c r="X20" i="46"/>
  <c r="S20" i="46"/>
  <c r="T20" i="46" s="1"/>
  <c r="S37" i="46"/>
  <c r="T37" i="46" s="1"/>
  <c r="X37" i="46"/>
  <c r="V16" i="39"/>
  <c r="S16" i="39"/>
  <c r="T16" i="39" s="1"/>
  <c r="X16" i="39"/>
  <c r="X53" i="45"/>
  <c r="R18" i="50"/>
  <c r="S18" i="50" s="1"/>
  <c r="W18" i="50"/>
  <c r="W37" i="50"/>
  <c r="R37" i="50"/>
  <c r="S37" i="50" s="1"/>
  <c r="R34" i="36"/>
  <c r="S34" i="36" s="1"/>
  <c r="U34" i="36"/>
  <c r="W34" i="36"/>
  <c r="R52" i="31"/>
  <c r="W52" i="31"/>
  <c r="U52" i="31"/>
  <c r="W38" i="31"/>
  <c r="U38" i="31"/>
  <c r="R38" i="31"/>
  <c r="R18" i="51"/>
  <c r="S18" i="51" s="1"/>
  <c r="W18" i="51"/>
  <c r="W17" i="44"/>
  <c r="R17" i="44"/>
  <c r="S17" i="44" s="1"/>
  <c r="X52" i="37"/>
  <c r="V52" i="37"/>
  <c r="S52" i="37"/>
  <c r="T52" i="37" s="1"/>
  <c r="X17" i="43"/>
  <c r="Y17" i="43" s="1"/>
  <c r="S17" i="43"/>
  <c r="T17" i="43" s="1"/>
  <c r="X18" i="43"/>
  <c r="Y18" i="43" s="1"/>
  <c r="S18" i="43"/>
  <c r="T18" i="43" s="1"/>
  <c r="X38" i="46"/>
  <c r="S38" i="46"/>
  <c r="T38" i="46" s="1"/>
  <c r="X52" i="46"/>
  <c r="S52" i="46"/>
  <c r="T52" i="46" s="1"/>
  <c r="V20" i="39"/>
  <c r="X20" i="39"/>
  <c r="S20" i="39"/>
  <c r="T20" i="39" s="1"/>
  <c r="W34" i="38"/>
  <c r="Y34" i="38" s="1"/>
  <c r="Z34" i="38" s="1"/>
  <c r="AA34" i="38" s="1"/>
  <c r="R53" i="31"/>
  <c r="U53" i="31"/>
  <c r="W53" i="31"/>
  <c r="X55" i="43"/>
  <c r="Y55" i="43" s="1"/>
  <c r="S55" i="43"/>
  <c r="T55" i="43" s="1"/>
  <c r="S53" i="46"/>
  <c r="T53" i="46" s="1"/>
  <c r="X53" i="46"/>
  <c r="S17" i="46"/>
  <c r="T17" i="46" s="1"/>
  <c r="X17" i="46"/>
  <c r="W20" i="32"/>
  <c r="Y20" i="32"/>
  <c r="T20" i="32"/>
  <c r="U20" i="32" s="1"/>
  <c r="V17" i="38"/>
  <c r="X17" i="38"/>
  <c r="S17" i="38"/>
  <c r="T17" i="38" s="1"/>
  <c r="W17" i="38"/>
  <c r="X34" i="45"/>
  <c r="Y34" i="45" s="1"/>
  <c r="W18" i="36"/>
  <c r="U18" i="36"/>
  <c r="R18" i="36"/>
  <c r="S18" i="36" s="1"/>
  <c r="W35" i="31"/>
  <c r="U35" i="31"/>
  <c r="R35" i="31"/>
  <c r="G15" i="14"/>
  <c r="H11" i="14"/>
  <c r="R20" i="44"/>
  <c r="W20" i="44"/>
  <c r="X37" i="43"/>
  <c r="Y37" i="43" s="1"/>
  <c r="S37" i="43"/>
  <c r="T37" i="43" s="1"/>
  <c r="V18" i="38"/>
  <c r="X18" i="38"/>
  <c r="S18" i="38"/>
  <c r="T18" i="38" s="1"/>
  <c r="W18" i="38"/>
  <c r="X38" i="45"/>
  <c r="X17" i="45"/>
  <c r="Y17" i="45" s="1"/>
  <c r="S17" i="45"/>
  <c r="T17" i="45" s="1"/>
  <c r="R36" i="50"/>
  <c r="S36" i="50" s="1"/>
  <c r="W36" i="50"/>
  <c r="R36" i="36"/>
  <c r="S36" i="36" s="1"/>
  <c r="U36" i="36"/>
  <c r="W36" i="36"/>
  <c r="U20" i="36"/>
  <c r="W20" i="36"/>
  <c r="R20" i="36"/>
  <c r="R37" i="31"/>
  <c r="U37" i="31"/>
  <c r="W37" i="31"/>
  <c r="W20" i="51"/>
  <c r="R20" i="51"/>
  <c r="S20" i="51" s="1"/>
  <c r="W18" i="44"/>
  <c r="R18" i="44"/>
  <c r="S18" i="44" s="1"/>
  <c r="X53" i="37"/>
  <c r="V53" i="37"/>
  <c r="S53" i="37"/>
  <c r="T53" i="37" s="1"/>
  <c r="X56" i="43"/>
  <c r="Y56" i="43" s="1"/>
  <c r="S56" i="43"/>
  <c r="T56" i="43" s="1"/>
  <c r="S20" i="43"/>
  <c r="T20" i="43" s="1"/>
  <c r="X20" i="43"/>
  <c r="Y20" i="43" s="1"/>
  <c r="X35" i="46"/>
  <c r="S35" i="46"/>
  <c r="T35" i="46" s="1"/>
  <c r="S56" i="46"/>
  <c r="T56" i="46" s="1"/>
  <c r="X56" i="46"/>
  <c r="T19" i="32"/>
  <c r="U19" i="32" s="1"/>
  <c r="Y19" i="32"/>
  <c r="W19" i="32"/>
  <c r="T18" i="32"/>
  <c r="U18" i="32" s="1"/>
  <c r="Y18" i="32"/>
  <c r="W18" i="32"/>
  <c r="R37" i="36"/>
  <c r="S37" i="36" s="1"/>
  <c r="U37" i="36"/>
  <c r="W37" i="36"/>
  <c r="W16" i="36"/>
  <c r="U16" i="36"/>
  <c r="R16" i="36"/>
  <c r="S16" i="36" s="1"/>
  <c r="W18" i="31"/>
  <c r="U18" i="31"/>
  <c r="R18" i="31"/>
  <c r="S18" i="31" s="1"/>
  <c r="R54" i="31"/>
  <c r="W54" i="31"/>
  <c r="U54" i="31"/>
  <c r="W16" i="51"/>
  <c r="R16" i="51"/>
  <c r="S16" i="51" s="1"/>
  <c r="W19" i="44"/>
  <c r="R19" i="44"/>
  <c r="S19" i="44" s="1"/>
  <c r="R37" i="44"/>
  <c r="S37" i="44" s="1"/>
  <c r="W37" i="44"/>
  <c r="W53" i="38"/>
  <c r="Y53" i="38" s="1"/>
  <c r="Z53" i="38" s="1"/>
  <c r="AA53" i="38" s="1"/>
  <c r="S36" i="43"/>
  <c r="T36" i="43" s="1"/>
  <c r="X36" i="43"/>
  <c r="Y36" i="43" s="1"/>
  <c r="X54" i="43"/>
  <c r="Y54" i="43" s="1"/>
  <c r="S54" i="43"/>
  <c r="T54" i="43" s="1"/>
  <c r="S34" i="46"/>
  <c r="T34" i="46" s="1"/>
  <c r="X34" i="46"/>
  <c r="X54" i="46"/>
  <c r="S54" i="46"/>
  <c r="T54" i="46" s="1"/>
  <c r="R20" i="50"/>
  <c r="S20" i="50" s="1"/>
  <c r="W20" i="50"/>
  <c r="W35" i="51"/>
  <c r="R35" i="51"/>
  <c r="S35" i="51" s="1"/>
  <c r="X16" i="38"/>
  <c r="V16" i="38"/>
  <c r="S16" i="38"/>
  <c r="T16" i="38" s="1"/>
  <c r="W16" i="38"/>
  <c r="X37" i="45"/>
  <c r="X55" i="45"/>
  <c r="W17" i="50"/>
  <c r="R17" i="50"/>
  <c r="S17" i="50" s="1"/>
  <c r="X20" i="38"/>
  <c r="V20" i="38"/>
  <c r="S20" i="38"/>
  <c r="T20" i="38" s="1"/>
  <c r="W20" i="38"/>
  <c r="S20" i="45"/>
  <c r="T20" i="45" s="1"/>
  <c r="X20" i="45"/>
  <c r="X56" i="45"/>
  <c r="R35" i="50"/>
  <c r="S35" i="50" s="1"/>
  <c r="W35" i="50"/>
  <c r="U17" i="36"/>
  <c r="W17" i="36"/>
  <c r="R17" i="36"/>
  <c r="S17" i="36" s="1"/>
  <c r="R55" i="31"/>
  <c r="U55" i="31"/>
  <c r="W55" i="31"/>
  <c r="R34" i="31"/>
  <c r="W34" i="31"/>
  <c r="U34" i="31"/>
  <c r="W38" i="51"/>
  <c r="R38" i="51"/>
  <c r="S38" i="51" s="1"/>
  <c r="W36" i="44"/>
  <c r="R36" i="44"/>
  <c r="S36" i="44" s="1"/>
  <c r="R38" i="44"/>
  <c r="S38" i="44" s="1"/>
  <c r="W38" i="44"/>
  <c r="X19" i="43"/>
  <c r="Y19" i="43" s="1"/>
  <c r="S19" i="43"/>
  <c r="T19" i="43" s="1"/>
  <c r="X52" i="43"/>
  <c r="Y52" i="43" s="1"/>
  <c r="S52" i="43"/>
  <c r="T52" i="43" s="1"/>
  <c r="S16" i="46"/>
  <c r="T16" i="46" s="1"/>
  <c r="X16" i="46"/>
  <c r="X18" i="46"/>
  <c r="S18" i="46"/>
  <c r="T18" i="46" s="1"/>
  <c r="S19" i="39"/>
  <c r="T19" i="39" s="1"/>
  <c r="V19" i="39"/>
  <c r="X19" i="39"/>
  <c r="Y53" i="44" l="1"/>
  <c r="Z53" i="44" s="1"/>
  <c r="Z19" i="32"/>
  <c r="AA19" i="32" s="1"/>
  <c r="AB19" i="32" s="1"/>
  <c r="Y55" i="44"/>
  <c r="Z55" i="44" s="1"/>
  <c r="Y54" i="46"/>
  <c r="Z54" i="46" s="1"/>
  <c r="AA54" i="46" s="1"/>
  <c r="Y56" i="37"/>
  <c r="Z56" i="37" s="1"/>
  <c r="AA56" i="37" s="1"/>
  <c r="X20" i="31"/>
  <c r="Y20" i="31" s="1"/>
  <c r="Z20" i="31" s="1"/>
  <c r="X52" i="31"/>
  <c r="Y52" i="31" s="1"/>
  <c r="Z52" i="31" s="1"/>
  <c r="Y35" i="46"/>
  <c r="Z35" i="46" s="1"/>
  <c r="AA35" i="46" s="1"/>
  <c r="X20" i="36"/>
  <c r="Y20" i="36" s="1"/>
  <c r="Z20" i="36" s="1"/>
  <c r="Y20" i="39"/>
  <c r="Z20" i="39" s="1"/>
  <c r="AA20" i="39" s="1"/>
  <c r="Y36" i="46"/>
  <c r="Z36" i="46" s="1"/>
  <c r="AA36" i="46" s="1"/>
  <c r="X37" i="36"/>
  <c r="Y37" i="36" s="1"/>
  <c r="Z37" i="36" s="1"/>
  <c r="X36" i="36"/>
  <c r="Y36" i="36" s="1"/>
  <c r="Z36" i="36" s="1"/>
  <c r="Y18" i="39"/>
  <c r="Z18" i="39" s="1"/>
  <c r="AA18" i="39" s="1"/>
  <c r="Y34" i="46"/>
  <c r="Z34" i="46" s="1"/>
  <c r="AA34" i="46" s="1"/>
  <c r="Y38" i="46"/>
  <c r="Z38" i="46" s="1"/>
  <c r="AA38" i="46" s="1"/>
  <c r="X35" i="36"/>
  <c r="Y35" i="36" s="1"/>
  <c r="Z35" i="36" s="1"/>
  <c r="Y53" i="46"/>
  <c r="Z53" i="46" s="1"/>
  <c r="AA53" i="46" s="1"/>
  <c r="Y19" i="39"/>
  <c r="Z19" i="39" s="1"/>
  <c r="AA19" i="39" s="1"/>
  <c r="Y56" i="46"/>
  <c r="Z56" i="46" s="1"/>
  <c r="AA56" i="46" s="1"/>
  <c r="X34" i="36"/>
  <c r="Y34" i="36" s="1"/>
  <c r="Z34" i="36" s="1"/>
  <c r="Y52" i="46"/>
  <c r="Z52" i="46" s="1"/>
  <c r="AA52" i="46" s="1"/>
  <c r="X34" i="31"/>
  <c r="Y34" i="31" s="1"/>
  <c r="Z34" i="31" s="1"/>
  <c r="X17" i="36"/>
  <c r="Y17" i="36" s="1"/>
  <c r="Z17" i="36" s="1"/>
  <c r="X16" i="36"/>
  <c r="X18" i="36"/>
  <c r="Y18" i="36" s="1"/>
  <c r="Z18" i="36" s="1"/>
  <c r="Y16" i="39"/>
  <c r="Z16" i="39" s="1"/>
  <c r="AA16" i="39" s="1"/>
  <c r="X38" i="36"/>
  <c r="Y38" i="36" s="1"/>
  <c r="Z38" i="36" s="1"/>
  <c r="X19" i="36"/>
  <c r="Y19" i="36" s="1"/>
  <c r="Z19" i="36" s="1"/>
  <c r="Y55" i="46"/>
  <c r="Z55" i="46" s="1"/>
  <c r="AA55" i="46" s="1"/>
  <c r="Y55" i="37"/>
  <c r="Z55" i="37" s="1"/>
  <c r="AA55" i="37" s="1"/>
  <c r="X18" i="31"/>
  <c r="Y18" i="31" s="1"/>
  <c r="Z18" i="31" s="1"/>
  <c r="Y37" i="46"/>
  <c r="Z37" i="46" s="1"/>
  <c r="AA37" i="46" s="1"/>
  <c r="Y17" i="39"/>
  <c r="Z17" i="39" s="1"/>
  <c r="AA17" i="39" s="1"/>
  <c r="Y53" i="37"/>
  <c r="Z53" i="37" s="1"/>
  <c r="AA53" i="37" s="1"/>
  <c r="Y52" i="37"/>
  <c r="Z52" i="37" s="1"/>
  <c r="AA52" i="37" s="1"/>
  <c r="Y54" i="37"/>
  <c r="Z54" i="37" s="1"/>
  <c r="AA54" i="37" s="1"/>
  <c r="X36" i="31"/>
  <c r="Y36" i="31" s="1"/>
  <c r="Z36" i="31" s="1"/>
  <c r="X19" i="31"/>
  <c r="Y19" i="31" s="1"/>
  <c r="Z19" i="31" s="1"/>
  <c r="Y56" i="51"/>
  <c r="Z56" i="51" s="1"/>
  <c r="Y56" i="50"/>
  <c r="Z56" i="50" s="1"/>
  <c r="X53" i="31"/>
  <c r="Y53" i="31" s="1"/>
  <c r="Z53" i="31" s="1"/>
  <c r="X54" i="31"/>
  <c r="Y54" i="31" s="1"/>
  <c r="Z54" i="31" s="1"/>
  <c r="Z18" i="32"/>
  <c r="AA18" i="32" s="1"/>
  <c r="AB18" i="32" s="1"/>
  <c r="X37" i="31"/>
  <c r="Y37" i="31" s="1"/>
  <c r="Z37" i="31" s="1"/>
  <c r="X35" i="31"/>
  <c r="Y35" i="31" s="1"/>
  <c r="Z35" i="31" s="1"/>
  <c r="Z20" i="32"/>
  <c r="AA20" i="32" s="1"/>
  <c r="AB20" i="32" s="1"/>
  <c r="X38" i="31"/>
  <c r="Y38" i="31" s="1"/>
  <c r="Z38" i="31" s="1"/>
  <c r="Z17" i="32"/>
  <c r="AA17" i="32" s="1"/>
  <c r="AB17" i="32" s="1"/>
  <c r="X56" i="31"/>
  <c r="Y56" i="31" s="1"/>
  <c r="Z56" i="31" s="1"/>
  <c r="Y54" i="44"/>
  <c r="Z54" i="44" s="1"/>
  <c r="X55" i="31"/>
  <c r="Y55" i="31" s="1"/>
  <c r="Z55" i="31" s="1"/>
  <c r="X17" i="31"/>
  <c r="Y17" i="31" s="1"/>
  <c r="Z17" i="31" s="1"/>
  <c r="Y34" i="47"/>
  <c r="Z34" i="47" s="1"/>
  <c r="AA34" i="47" s="1"/>
  <c r="Z56" i="47"/>
  <c r="AA56" i="47" s="1"/>
  <c r="Y52" i="47"/>
  <c r="Z52" i="47" s="1"/>
  <c r="AA52" i="47" s="1"/>
  <c r="Y36" i="47"/>
  <c r="Z36" i="47" s="1"/>
  <c r="AA36" i="47" s="1"/>
  <c r="Y52" i="50"/>
  <c r="Z52" i="50" s="1"/>
  <c r="Z55" i="47"/>
  <c r="AA55" i="47" s="1"/>
  <c r="Y38" i="47"/>
  <c r="Z38" i="47" s="1"/>
  <c r="AA38" i="47" s="1"/>
  <c r="Z35" i="47"/>
  <c r="AA35" i="47" s="1"/>
  <c r="Z37" i="47"/>
  <c r="AA37" i="47" s="1"/>
  <c r="Y54" i="47"/>
  <c r="Z54" i="47" s="1"/>
  <c r="AA54" i="47" s="1"/>
  <c r="Y53" i="47"/>
  <c r="Z53" i="47" s="1"/>
  <c r="AA53" i="47" s="1"/>
  <c r="Y53" i="51"/>
  <c r="Z53" i="51" s="1"/>
  <c r="Y55" i="51"/>
  <c r="Z55" i="51" s="1"/>
  <c r="Z36" i="39"/>
  <c r="AA36" i="39" s="1"/>
  <c r="Z52" i="38"/>
  <c r="AA52" i="38" s="1"/>
  <c r="Z37" i="37"/>
  <c r="AA37" i="37" s="1"/>
  <c r="Z38" i="39"/>
  <c r="AA38" i="39" s="1"/>
  <c r="H69" i="54"/>
  <c r="H70" i="54"/>
  <c r="E70" i="63" s="1"/>
  <c r="L8" i="55"/>
  <c r="H43" i="55"/>
  <c r="H55" i="55" s="1"/>
  <c r="H68" i="54"/>
  <c r="E68" i="63" s="1"/>
  <c r="N55" i="55"/>
  <c r="E110" i="65" s="1"/>
  <c r="T6" i="55"/>
  <c r="O8" i="55"/>
  <c r="N8" i="55"/>
  <c r="F5" i="55"/>
  <c r="G8" i="55"/>
  <c r="S5" i="55"/>
  <c r="E51" i="59"/>
  <c r="F91" i="59" s="1"/>
  <c r="F41" i="59"/>
  <c r="S6" i="55"/>
  <c r="F6" i="55"/>
  <c r="Q6" i="55" s="1"/>
  <c r="D77" i="65"/>
  <c r="V77" i="65"/>
  <c r="H8" i="55"/>
  <c r="T5" i="55"/>
  <c r="D77" i="64"/>
  <c r="V77" i="64"/>
  <c r="K8" i="55"/>
  <c r="M8" i="55"/>
  <c r="X77" i="64"/>
  <c r="F77" i="64"/>
  <c r="G41" i="59"/>
  <c r="L69" i="54"/>
  <c r="L43" i="55"/>
  <c r="L49" i="55"/>
  <c r="L68" i="54"/>
  <c r="L70" i="54"/>
  <c r="X77" i="63"/>
  <c r="U7" i="55"/>
  <c r="F77" i="63"/>
  <c r="I70" i="54"/>
  <c r="I43" i="55"/>
  <c r="I49" i="55"/>
  <c r="I68" i="54"/>
  <c r="I69" i="54"/>
  <c r="J8" i="55"/>
  <c r="J41" i="59"/>
  <c r="L41" i="59"/>
  <c r="O49" i="55"/>
  <c r="O43" i="55"/>
  <c r="O68" i="54"/>
  <c r="O69" i="54"/>
  <c r="O70" i="54"/>
  <c r="U6" i="55"/>
  <c r="E77" i="64"/>
  <c r="K41" i="59"/>
  <c r="G69" i="54"/>
  <c r="G49" i="55"/>
  <c r="G68" i="54"/>
  <c r="G70" i="54"/>
  <c r="G43" i="55"/>
  <c r="E98" i="59"/>
  <c r="U5" i="55"/>
  <c r="I8" i="55"/>
  <c r="I41" i="59"/>
  <c r="K49" i="55"/>
  <c r="T49" i="55" s="1"/>
  <c r="K70" i="54"/>
  <c r="E70" i="64" s="1"/>
  <c r="K69" i="54"/>
  <c r="E69" i="64" s="1"/>
  <c r="K68" i="54"/>
  <c r="K43" i="55"/>
  <c r="E70" i="65"/>
  <c r="J68" i="54"/>
  <c r="J43" i="55"/>
  <c r="J49" i="55"/>
  <c r="J69" i="54"/>
  <c r="J70" i="54"/>
  <c r="H41" i="59"/>
  <c r="E68" i="65"/>
  <c r="N71" i="54"/>
  <c r="N75" i="54" s="1"/>
  <c r="M49" i="55"/>
  <c r="M43" i="55"/>
  <c r="M70" i="54"/>
  <c r="M69" i="54"/>
  <c r="M68" i="54"/>
  <c r="X77" i="65"/>
  <c r="F77" i="65"/>
  <c r="E77" i="65"/>
  <c r="E77" i="63"/>
  <c r="T7" i="55"/>
  <c r="K69" i="65"/>
  <c r="L69" i="65"/>
  <c r="D77" i="63"/>
  <c r="V77" i="63"/>
  <c r="S7" i="55"/>
  <c r="F7" i="55"/>
  <c r="Q7" i="55" s="1"/>
  <c r="N41" i="59"/>
  <c r="M41" i="59"/>
  <c r="X18" i="50"/>
  <c r="Y18" i="50" s="1"/>
  <c r="Z18" i="50" s="1"/>
  <c r="Y54" i="45"/>
  <c r="Z54" i="45" s="1"/>
  <c r="AA54" i="45" s="1"/>
  <c r="Y18" i="45"/>
  <c r="Z18" i="45" s="1"/>
  <c r="AA18" i="45" s="1"/>
  <c r="X19" i="44"/>
  <c r="Y19" i="44" s="1"/>
  <c r="Z19" i="44" s="1"/>
  <c r="X20" i="50"/>
  <c r="Y20" i="50" s="1"/>
  <c r="Z20" i="50" s="1"/>
  <c r="X36" i="51"/>
  <c r="Y36" i="51" s="1"/>
  <c r="Z36" i="51" s="1"/>
  <c r="Y36" i="45"/>
  <c r="Z36" i="45" s="1"/>
  <c r="AA36" i="45" s="1"/>
  <c r="X16" i="50"/>
  <c r="Y16" i="50" s="1"/>
  <c r="Z16" i="50" s="1"/>
  <c r="Y20" i="45"/>
  <c r="Z20" i="45" s="1"/>
  <c r="AA20" i="45" s="1"/>
  <c r="Y18" i="46"/>
  <c r="Z18" i="46" s="1"/>
  <c r="AA18" i="46" s="1"/>
  <c r="X34" i="51"/>
  <c r="Y34" i="51" s="1"/>
  <c r="Z34" i="51" s="1"/>
  <c r="Z16" i="43"/>
  <c r="AA16" i="43" s="1"/>
  <c r="Z18" i="43"/>
  <c r="AA18" i="43" s="1"/>
  <c r="X19" i="51"/>
  <c r="Y19" i="51" s="1"/>
  <c r="Z19" i="51" s="1"/>
  <c r="Z20" i="43"/>
  <c r="AA20" i="43" s="1"/>
  <c r="X17" i="51"/>
  <c r="Y17" i="51" s="1"/>
  <c r="Z17" i="51" s="1"/>
  <c r="Z17" i="43"/>
  <c r="AA17" i="43" s="1"/>
  <c r="Y53" i="45"/>
  <c r="Z53" i="45" s="1"/>
  <c r="AA53" i="45" s="1"/>
  <c r="X38" i="51"/>
  <c r="Y38" i="51" s="1"/>
  <c r="Z38" i="51" s="1"/>
  <c r="X35" i="50"/>
  <c r="Y35" i="50" s="1"/>
  <c r="Z35" i="50" s="1"/>
  <c r="Y55" i="45"/>
  <c r="Z55" i="45" s="1"/>
  <c r="AA55" i="45" s="1"/>
  <c r="Y16" i="44"/>
  <c r="Z16" i="44" s="1"/>
  <c r="X18" i="51"/>
  <c r="Y18" i="51" s="1"/>
  <c r="Z18" i="51" s="1"/>
  <c r="X37" i="50"/>
  <c r="Y37" i="50" s="1"/>
  <c r="Z37" i="50" s="1"/>
  <c r="X38" i="50"/>
  <c r="Y38" i="50" s="1"/>
  <c r="Z38" i="50" s="1"/>
  <c r="X34" i="50"/>
  <c r="Y34" i="50" s="1"/>
  <c r="Z34" i="50" s="1"/>
  <c r="X38" i="44"/>
  <c r="Y38" i="44" s="1"/>
  <c r="Z38" i="44" s="1"/>
  <c r="Y37" i="45"/>
  <c r="Z37" i="45" s="1"/>
  <c r="AA37" i="45" s="1"/>
  <c r="Z34" i="43"/>
  <c r="AA34" i="43" s="1"/>
  <c r="S34" i="31"/>
  <c r="Y38" i="45"/>
  <c r="Z38" i="45" s="1"/>
  <c r="AA38" i="45" s="1"/>
  <c r="S35" i="31"/>
  <c r="Z35" i="43"/>
  <c r="AA35" i="43" s="1"/>
  <c r="Y20" i="46"/>
  <c r="Z20" i="46" s="1"/>
  <c r="AA20" i="46" s="1"/>
  <c r="Y16" i="46"/>
  <c r="Z16" i="46" s="1"/>
  <c r="AA16" i="46" s="1"/>
  <c r="X17" i="50"/>
  <c r="Y17" i="50" s="1"/>
  <c r="Z17" i="50" s="1"/>
  <c r="Y17" i="46"/>
  <c r="Z17" i="46" s="1"/>
  <c r="AA17" i="46" s="1"/>
  <c r="S20" i="31"/>
  <c r="I10" i="30"/>
  <c r="I9" i="30"/>
  <c r="X36" i="44"/>
  <c r="Y36" i="44" s="1"/>
  <c r="Z36" i="44" s="1"/>
  <c r="Y16" i="38"/>
  <c r="Z16" i="38" s="1"/>
  <c r="AA16" i="38" s="1"/>
  <c r="Y17" i="38"/>
  <c r="Z17" i="38" s="1"/>
  <c r="AA17" i="38" s="1"/>
  <c r="S54" i="31"/>
  <c r="Z54" i="43"/>
  <c r="AA54" i="43" s="1"/>
  <c r="X18" i="44"/>
  <c r="Y18" i="44" s="1"/>
  <c r="Z18" i="44" s="1"/>
  <c r="S20" i="36"/>
  <c r="J11" i="30" s="1"/>
  <c r="I11" i="30"/>
  <c r="X36" i="50"/>
  <c r="Y36" i="50" s="1"/>
  <c r="Z36" i="50" s="1"/>
  <c r="X20" i="44"/>
  <c r="Y20" i="44" s="1"/>
  <c r="Z20" i="44" s="1"/>
  <c r="S53" i="31"/>
  <c r="Z53" i="43"/>
  <c r="AA53" i="43" s="1"/>
  <c r="X37" i="51"/>
  <c r="Y37" i="51" s="1"/>
  <c r="Z37" i="51" s="1"/>
  <c r="X35" i="44"/>
  <c r="Y35" i="44" s="1"/>
  <c r="Z35" i="44" s="1"/>
  <c r="Z52" i="45"/>
  <c r="AA52" i="45" s="1"/>
  <c r="Z52" i="43"/>
  <c r="AA52" i="43" s="1"/>
  <c r="S52" i="31"/>
  <c r="X16" i="51"/>
  <c r="Y16" i="51" s="1"/>
  <c r="Z16" i="51" s="1"/>
  <c r="Y18" i="38"/>
  <c r="Z18" i="38" s="1"/>
  <c r="AA18" i="38" s="1"/>
  <c r="S20" i="44"/>
  <c r="J12" i="30" s="1"/>
  <c r="I12" i="30"/>
  <c r="Z16" i="45"/>
  <c r="AA16" i="45" s="1"/>
  <c r="X19" i="50"/>
  <c r="Y19" i="50" s="1"/>
  <c r="Z19" i="50" s="1"/>
  <c r="Y19" i="38"/>
  <c r="Z19" i="38" s="1"/>
  <c r="AA19" i="38" s="1"/>
  <c r="Y20" i="38"/>
  <c r="Z20" i="38" s="1"/>
  <c r="AA20" i="38" s="1"/>
  <c r="X35" i="51"/>
  <c r="Y35" i="51" s="1"/>
  <c r="Z35" i="51" s="1"/>
  <c r="X37" i="44"/>
  <c r="Y37" i="44" s="1"/>
  <c r="Z37" i="44" s="1"/>
  <c r="X20" i="51"/>
  <c r="Y20" i="51" s="1"/>
  <c r="Z20" i="51" s="1"/>
  <c r="Z17" i="45"/>
  <c r="AA17" i="45" s="1"/>
  <c r="X17" i="44"/>
  <c r="Y17" i="44" s="1"/>
  <c r="Z17" i="44" s="1"/>
  <c r="Z38" i="43"/>
  <c r="AA38" i="43" s="1"/>
  <c r="S38" i="31"/>
  <c r="Y19" i="46"/>
  <c r="Z19" i="46" s="1"/>
  <c r="AA19" i="46" s="1"/>
  <c r="C32" i="14"/>
  <c r="H15" i="14"/>
  <c r="Z19" i="43"/>
  <c r="AA19" i="43" s="1"/>
  <c r="S55" i="31"/>
  <c r="Z55" i="43"/>
  <c r="AA55" i="43" s="1"/>
  <c r="Y56" i="45"/>
  <c r="Z56" i="45" s="1"/>
  <c r="AA56" i="45" s="1"/>
  <c r="Y16" i="36"/>
  <c r="Z16" i="36" s="1"/>
  <c r="S37" i="31"/>
  <c r="Z37" i="43"/>
  <c r="AA37" i="43" s="1"/>
  <c r="Z34" i="45"/>
  <c r="AA34" i="45" s="1"/>
  <c r="Y35" i="45"/>
  <c r="Z35" i="45" s="1"/>
  <c r="AA35" i="45" s="1"/>
  <c r="Y34" i="44"/>
  <c r="Z34" i="44" s="1"/>
  <c r="S36" i="31"/>
  <c r="Z36" i="43"/>
  <c r="AA36" i="43" s="1"/>
  <c r="S56" i="31"/>
  <c r="Z56" i="43"/>
  <c r="AA56" i="43" s="1"/>
  <c r="Y19" i="45"/>
  <c r="Z19" i="45" s="1"/>
  <c r="AA19" i="45" s="1"/>
  <c r="M55" i="55" l="1"/>
  <c r="D110" i="65" s="1"/>
  <c r="H71" i="54"/>
  <c r="H75" i="54" s="1"/>
  <c r="G91" i="59"/>
  <c r="N57" i="55"/>
  <c r="M59" i="59" s="1"/>
  <c r="E69" i="63"/>
  <c r="K69" i="63" s="1"/>
  <c r="O55" i="55"/>
  <c r="F110" i="65" s="1"/>
  <c r="M91" i="59"/>
  <c r="N91" i="59"/>
  <c r="H91" i="59"/>
  <c r="L55" i="55"/>
  <c r="L57" i="55" s="1"/>
  <c r="U49" i="55"/>
  <c r="K55" i="55"/>
  <c r="K57" i="55" s="1"/>
  <c r="G71" i="54"/>
  <c r="D68" i="63"/>
  <c r="S68" i="54"/>
  <c r="F68" i="54"/>
  <c r="F69" i="65"/>
  <c r="F69" i="63"/>
  <c r="U69" i="54"/>
  <c r="F69" i="64"/>
  <c r="D68" i="65"/>
  <c r="M71" i="54"/>
  <c r="K77" i="63"/>
  <c r="L77" i="63"/>
  <c r="D69" i="65"/>
  <c r="K71" i="54"/>
  <c r="K75" i="54" s="1"/>
  <c r="E68" i="64"/>
  <c r="S49" i="55"/>
  <c r="F49" i="55"/>
  <c r="Q49" i="55" s="1"/>
  <c r="F68" i="65"/>
  <c r="O71" i="54"/>
  <c r="O75" i="54" s="1"/>
  <c r="I71" i="54"/>
  <c r="F68" i="63"/>
  <c r="U68" i="54"/>
  <c r="D69" i="64"/>
  <c r="T70" i="54"/>
  <c r="F70" i="63"/>
  <c r="U70" i="54"/>
  <c r="E41" i="59"/>
  <c r="N82" i="59" s="1"/>
  <c r="K69" i="64"/>
  <c r="L69" i="64"/>
  <c r="K68" i="63"/>
  <c r="L68" i="63"/>
  <c r="L70" i="63"/>
  <c r="K70" i="63"/>
  <c r="T69" i="54"/>
  <c r="S69" i="54"/>
  <c r="F69" i="54"/>
  <c r="Q69" i="54" s="1"/>
  <c r="D69" i="63"/>
  <c r="J55" i="55"/>
  <c r="I91" i="59"/>
  <c r="D70" i="64"/>
  <c r="T68" i="54"/>
  <c r="D68" i="64"/>
  <c r="J71" i="54"/>
  <c r="X78" i="63"/>
  <c r="U8" i="55"/>
  <c r="K91" i="59"/>
  <c r="E110" i="63"/>
  <c r="H57" i="55"/>
  <c r="L91" i="59"/>
  <c r="F70" i="64"/>
  <c r="K70" i="64"/>
  <c r="L70" i="64"/>
  <c r="T43" i="55"/>
  <c r="K77" i="64"/>
  <c r="L77" i="64"/>
  <c r="F68" i="64"/>
  <c r="L71" i="54"/>
  <c r="L75" i="54" s="1"/>
  <c r="S8" i="55"/>
  <c r="D70" i="65"/>
  <c r="K77" i="65"/>
  <c r="L77" i="65"/>
  <c r="U43" i="55"/>
  <c r="I55" i="55"/>
  <c r="E73" i="65"/>
  <c r="E150" i="65" s="1"/>
  <c r="W69" i="65"/>
  <c r="L68" i="65"/>
  <c r="K68" i="65"/>
  <c r="S43" i="55"/>
  <c r="F43" i="55"/>
  <c r="G55" i="55"/>
  <c r="J91" i="59"/>
  <c r="T8" i="55"/>
  <c r="Q5" i="55"/>
  <c r="F8" i="55"/>
  <c r="Q8" i="55" s="1"/>
  <c r="K110" i="65"/>
  <c r="L110" i="65"/>
  <c r="K70" i="65"/>
  <c r="L70" i="65"/>
  <c r="D70" i="63"/>
  <c r="S70" i="54"/>
  <c r="F70" i="54"/>
  <c r="Q70" i="54" s="1"/>
  <c r="F70" i="65"/>
  <c r="J9" i="30"/>
  <c r="J10" i="30"/>
  <c r="M57" i="55" l="1"/>
  <c r="L59" i="59" s="1"/>
  <c r="N105" i="55"/>
  <c r="E144" i="65" s="1"/>
  <c r="O57" i="55"/>
  <c r="N59" i="59" s="1"/>
  <c r="T71" i="54"/>
  <c r="F110" i="64"/>
  <c r="P110" i="64" s="1"/>
  <c r="P144" i="64" s="1"/>
  <c r="P145" i="64" s="1"/>
  <c r="L69" i="63"/>
  <c r="L73" i="63" s="1"/>
  <c r="L150" i="63" s="1"/>
  <c r="J82" i="59"/>
  <c r="T55" i="55"/>
  <c r="E110" i="64"/>
  <c r="K110" i="64" s="1"/>
  <c r="L144" i="65"/>
  <c r="L145" i="65" s="1"/>
  <c r="L73" i="65"/>
  <c r="L150" i="65" s="1"/>
  <c r="F82" i="59"/>
  <c r="H82" i="59"/>
  <c r="W70" i="63"/>
  <c r="G82" i="59"/>
  <c r="E91" i="59"/>
  <c r="J69" i="65"/>
  <c r="H69" i="65"/>
  <c r="I69" i="65"/>
  <c r="G69" i="65"/>
  <c r="F73" i="64"/>
  <c r="F150" i="64" s="1"/>
  <c r="H70" i="65"/>
  <c r="J70" i="65"/>
  <c r="G70" i="65"/>
  <c r="I70" i="65"/>
  <c r="W70" i="65"/>
  <c r="K73" i="65"/>
  <c r="W68" i="65"/>
  <c r="G59" i="59"/>
  <c r="T57" i="55"/>
  <c r="H105" i="55"/>
  <c r="D110" i="64"/>
  <c r="J57" i="55"/>
  <c r="W68" i="63"/>
  <c r="K73" i="63"/>
  <c r="M69" i="64"/>
  <c r="O69" i="64"/>
  <c r="N69" i="64"/>
  <c r="P69" i="64"/>
  <c r="Q69" i="64"/>
  <c r="R69" i="64"/>
  <c r="C77" i="63"/>
  <c r="U77" i="63" s="1"/>
  <c r="W77" i="63"/>
  <c r="I68" i="64"/>
  <c r="G68" i="64"/>
  <c r="H68" i="64"/>
  <c r="J68" i="64"/>
  <c r="I69" i="63"/>
  <c r="J69" i="63"/>
  <c r="G69" i="63"/>
  <c r="H69" i="63"/>
  <c r="M82" i="59"/>
  <c r="W69" i="64"/>
  <c r="L110" i="63"/>
  <c r="L144" i="63" s="1"/>
  <c r="L145" i="63" s="1"/>
  <c r="K110" i="63"/>
  <c r="F14" i="53"/>
  <c r="F16" i="53" s="1"/>
  <c r="F18" i="53" s="1"/>
  <c r="F21" i="53" s="1"/>
  <c r="F14" i="52"/>
  <c r="F16" i="52" s="1"/>
  <c r="F18" i="52" s="1"/>
  <c r="J75" i="54"/>
  <c r="C77" i="64"/>
  <c r="U77" i="64" s="1"/>
  <c r="W77" i="64"/>
  <c r="F73" i="65"/>
  <c r="F150" i="65" s="1"/>
  <c r="J59" i="59"/>
  <c r="K105" i="55"/>
  <c r="Q69" i="65"/>
  <c r="R69" i="65"/>
  <c r="P69" i="65"/>
  <c r="M69" i="65"/>
  <c r="N69" i="65"/>
  <c r="O69" i="65"/>
  <c r="N70" i="65"/>
  <c r="Q70" i="65"/>
  <c r="M70" i="65"/>
  <c r="O70" i="65"/>
  <c r="P70" i="65"/>
  <c r="R70" i="65"/>
  <c r="F110" i="63"/>
  <c r="U55" i="55"/>
  <c r="I57" i="55"/>
  <c r="I110" i="65"/>
  <c r="I144" i="65" s="1"/>
  <c r="I145" i="65" s="1"/>
  <c r="H110" i="65"/>
  <c r="H144" i="65" s="1"/>
  <c r="H145" i="65" s="1"/>
  <c r="J110" i="65"/>
  <c r="J144" i="65" s="1"/>
  <c r="J145" i="65" s="1"/>
  <c r="G110" i="65"/>
  <c r="Q68" i="65"/>
  <c r="N68" i="65"/>
  <c r="O68" i="65"/>
  <c r="M68" i="65"/>
  <c r="P68" i="65"/>
  <c r="R68" i="65"/>
  <c r="Q68" i="63"/>
  <c r="P68" i="63"/>
  <c r="N68" i="63"/>
  <c r="R68" i="63"/>
  <c r="O68" i="63"/>
  <c r="M68" i="63"/>
  <c r="N68" i="64"/>
  <c r="M68" i="64"/>
  <c r="P68" i="64"/>
  <c r="O68" i="64"/>
  <c r="R68" i="64"/>
  <c r="Q68" i="64"/>
  <c r="Q68" i="54"/>
  <c r="F71" i="54"/>
  <c r="E73" i="63"/>
  <c r="E150" i="63" s="1"/>
  <c r="T75" i="54"/>
  <c r="K59" i="59"/>
  <c r="L105" i="55"/>
  <c r="U71" i="54"/>
  <c r="I75" i="54"/>
  <c r="H70" i="64"/>
  <c r="J70" i="64"/>
  <c r="I70" i="64"/>
  <c r="G70" i="64"/>
  <c r="R70" i="63"/>
  <c r="M70" i="63"/>
  <c r="P70" i="63"/>
  <c r="O70" i="63"/>
  <c r="N70" i="63"/>
  <c r="Q70" i="63"/>
  <c r="W70" i="64"/>
  <c r="W110" i="65"/>
  <c r="O69" i="63"/>
  <c r="P69" i="63"/>
  <c r="M69" i="63"/>
  <c r="N69" i="63"/>
  <c r="R69" i="63"/>
  <c r="Q69" i="63"/>
  <c r="L68" i="64"/>
  <c r="L73" i="64" s="1"/>
  <c r="K68" i="64"/>
  <c r="G14" i="53"/>
  <c r="G16" i="53" s="1"/>
  <c r="G18" i="53" s="1"/>
  <c r="G21" i="53" s="1"/>
  <c r="G14" i="52"/>
  <c r="G16" i="52" s="1"/>
  <c r="G18" i="52" s="1"/>
  <c r="M75" i="54"/>
  <c r="G68" i="63"/>
  <c r="J68" i="63"/>
  <c r="H68" i="63"/>
  <c r="I68" i="63"/>
  <c r="N110" i="65"/>
  <c r="N144" i="65" s="1"/>
  <c r="N145" i="65" s="1"/>
  <c r="M110" i="65"/>
  <c r="O110" i="65"/>
  <c r="O144" i="65" s="1"/>
  <c r="O145" i="65" s="1"/>
  <c r="P110" i="65"/>
  <c r="P144" i="65" s="1"/>
  <c r="P145" i="65" s="1"/>
  <c r="Q110" i="65"/>
  <c r="Q144" i="65" s="1"/>
  <c r="Q145" i="65" s="1"/>
  <c r="R110" i="65"/>
  <c r="R144" i="65" s="1"/>
  <c r="R145" i="65" s="1"/>
  <c r="D110" i="63"/>
  <c r="S55" i="55"/>
  <c r="G57" i="55"/>
  <c r="C77" i="65"/>
  <c r="U77" i="65" s="1"/>
  <c r="K144" i="65"/>
  <c r="K145" i="65" s="1"/>
  <c r="W77" i="65"/>
  <c r="J70" i="63"/>
  <c r="I70" i="63"/>
  <c r="G70" i="63"/>
  <c r="H70" i="63"/>
  <c r="Q43" i="55"/>
  <c r="F55" i="55"/>
  <c r="R70" i="64"/>
  <c r="M70" i="64"/>
  <c r="P70" i="64"/>
  <c r="N70" i="64"/>
  <c r="Q70" i="64"/>
  <c r="O70" i="64"/>
  <c r="L82" i="59"/>
  <c r="K82" i="59"/>
  <c r="I82" i="59"/>
  <c r="H69" i="64"/>
  <c r="I69" i="64"/>
  <c r="J69" i="64"/>
  <c r="G69" i="64"/>
  <c r="E73" i="64"/>
  <c r="E150" i="64" s="1"/>
  <c r="G68" i="65"/>
  <c r="J68" i="65"/>
  <c r="H68" i="65"/>
  <c r="I68" i="65"/>
  <c r="S71" i="54"/>
  <c r="E14" i="52"/>
  <c r="E14" i="53"/>
  <c r="G75" i="54"/>
  <c r="M105" i="55" l="1"/>
  <c r="M107" i="55" s="1"/>
  <c r="N107" i="55"/>
  <c r="E145" i="65" s="1"/>
  <c r="G35" i="52"/>
  <c r="G40" i="52" s="1"/>
  <c r="G42" i="52" s="1"/>
  <c r="G44" i="52" s="1"/>
  <c r="G35" i="53"/>
  <c r="G40" i="53" s="1"/>
  <c r="G42" i="53" s="1"/>
  <c r="G44" i="53" s="1"/>
  <c r="O105" i="55"/>
  <c r="F144" i="65" s="1"/>
  <c r="W69" i="63"/>
  <c r="N110" i="64"/>
  <c r="N144" i="64" s="1"/>
  <c r="N145" i="64" s="1"/>
  <c r="R110" i="64"/>
  <c r="R144" i="64" s="1"/>
  <c r="R145" i="64" s="1"/>
  <c r="M110" i="64"/>
  <c r="M144" i="64" s="1"/>
  <c r="M145" i="64" s="1"/>
  <c r="Q110" i="64"/>
  <c r="Q144" i="64" s="1"/>
  <c r="Q145" i="64" s="1"/>
  <c r="O110" i="64"/>
  <c r="O144" i="64" s="1"/>
  <c r="O145" i="64" s="1"/>
  <c r="L110" i="64"/>
  <c r="L144" i="64" s="1"/>
  <c r="L145" i="64" s="1"/>
  <c r="H73" i="65"/>
  <c r="H150" i="65" s="1"/>
  <c r="W110" i="63"/>
  <c r="K144" i="63"/>
  <c r="K145" i="63" s="1"/>
  <c r="N73" i="65"/>
  <c r="N150" i="65" s="1"/>
  <c r="O73" i="63"/>
  <c r="O150" i="63" s="1"/>
  <c r="N73" i="64"/>
  <c r="N150" i="64" s="1"/>
  <c r="E82" i="59"/>
  <c r="I73" i="65"/>
  <c r="W68" i="64"/>
  <c r="K73" i="64"/>
  <c r="M73" i="64"/>
  <c r="X68" i="64"/>
  <c r="K150" i="63"/>
  <c r="Q73" i="65"/>
  <c r="X70" i="65"/>
  <c r="D14" i="52"/>
  <c r="D16" i="52" s="1"/>
  <c r="D18" i="52" s="1"/>
  <c r="E16" i="52"/>
  <c r="E18" i="52" s="1"/>
  <c r="K144" i="64"/>
  <c r="K145" i="64" s="1"/>
  <c r="C69" i="63"/>
  <c r="U69" i="63" s="1"/>
  <c r="V69" i="63"/>
  <c r="G110" i="64"/>
  <c r="I110" i="64"/>
  <c r="I144" i="64" s="1"/>
  <c r="I145" i="64" s="1"/>
  <c r="H110" i="64"/>
  <c r="H144" i="64" s="1"/>
  <c r="H145" i="64" s="1"/>
  <c r="J110" i="64"/>
  <c r="J144" i="64" s="1"/>
  <c r="J145" i="64" s="1"/>
  <c r="D14" i="53"/>
  <c r="E16" i="53"/>
  <c r="E18" i="53" s="1"/>
  <c r="E21" i="53" s="1"/>
  <c r="L150" i="64"/>
  <c r="C110" i="65"/>
  <c r="U110" i="65" s="1"/>
  <c r="G144" i="65"/>
  <c r="V110" i="65"/>
  <c r="F144" i="64"/>
  <c r="L107" i="55"/>
  <c r="J73" i="65"/>
  <c r="I73" i="63"/>
  <c r="X69" i="63"/>
  <c r="N73" i="63"/>
  <c r="D73" i="64"/>
  <c r="D150" i="64" s="1"/>
  <c r="E144" i="63"/>
  <c r="T105" i="55"/>
  <c r="H107" i="55"/>
  <c r="C70" i="65"/>
  <c r="U70" i="65" s="1"/>
  <c r="V70" i="65"/>
  <c r="R73" i="63"/>
  <c r="C68" i="65"/>
  <c r="U68" i="65" s="1"/>
  <c r="G73" i="65"/>
  <c r="V68" i="65"/>
  <c r="P73" i="63"/>
  <c r="H59" i="59"/>
  <c r="U57" i="55"/>
  <c r="I105" i="55"/>
  <c r="X69" i="65"/>
  <c r="J73" i="64"/>
  <c r="C70" i="63"/>
  <c r="U70" i="63" s="1"/>
  <c r="V70" i="63"/>
  <c r="X110" i="65"/>
  <c r="M144" i="65"/>
  <c r="M145" i="65" s="1"/>
  <c r="F59" i="59"/>
  <c r="S57" i="55"/>
  <c r="E35" i="53"/>
  <c r="E35" i="52"/>
  <c r="G105" i="55"/>
  <c r="J73" i="63"/>
  <c r="Q73" i="63"/>
  <c r="H73" i="64"/>
  <c r="C69" i="65"/>
  <c r="U69" i="65" s="1"/>
  <c r="V69" i="65"/>
  <c r="X70" i="64"/>
  <c r="C68" i="63"/>
  <c r="U68" i="63" s="1"/>
  <c r="G73" i="63"/>
  <c r="V68" i="63"/>
  <c r="C70" i="64"/>
  <c r="U70" i="64" s="1"/>
  <c r="V70" i="64"/>
  <c r="W73" i="63"/>
  <c r="Q73" i="64"/>
  <c r="R73" i="65"/>
  <c r="R150" i="65" s="1"/>
  <c r="C68" i="64"/>
  <c r="U68" i="64" s="1"/>
  <c r="G73" i="64"/>
  <c r="V68" i="64"/>
  <c r="D73" i="65"/>
  <c r="D150" i="65" s="1"/>
  <c r="Q71" i="54"/>
  <c r="F75" i="54"/>
  <c r="Q75" i="54" s="1"/>
  <c r="R73" i="64"/>
  <c r="P73" i="65"/>
  <c r="O110" i="63"/>
  <c r="O144" i="63" s="1"/>
  <c r="O145" i="63" s="1"/>
  <c r="Q110" i="63"/>
  <c r="Q144" i="63" s="1"/>
  <c r="Q145" i="63" s="1"/>
  <c r="N110" i="63"/>
  <c r="N144" i="63" s="1"/>
  <c r="N145" i="63" s="1"/>
  <c r="M110" i="63"/>
  <c r="R110" i="63"/>
  <c r="R144" i="63" s="1"/>
  <c r="R145" i="63" s="1"/>
  <c r="P110" i="63"/>
  <c r="P144" i="63" s="1"/>
  <c r="P145" i="63" s="1"/>
  <c r="I73" i="64"/>
  <c r="K150" i="65"/>
  <c r="W73" i="65"/>
  <c r="I59" i="59"/>
  <c r="F35" i="52"/>
  <c r="F40" i="52" s="1"/>
  <c r="F42" i="52" s="1"/>
  <c r="F44" i="52" s="1"/>
  <c r="F35" i="53"/>
  <c r="F40" i="53" s="1"/>
  <c r="F42" i="53" s="1"/>
  <c r="F44" i="53" s="1"/>
  <c r="J105" i="55"/>
  <c r="X70" i="63"/>
  <c r="Q55" i="55"/>
  <c r="F57" i="55"/>
  <c r="O73" i="64"/>
  <c r="E144" i="64"/>
  <c r="K107" i="55"/>
  <c r="F73" i="63"/>
  <c r="F150" i="63" s="1"/>
  <c r="U75" i="54"/>
  <c r="M73" i="63"/>
  <c r="X68" i="63"/>
  <c r="H73" i="63"/>
  <c r="C69" i="64"/>
  <c r="U69" i="64" s="1"/>
  <c r="V69" i="64"/>
  <c r="I110" i="63"/>
  <c r="I144" i="63" s="1"/>
  <c r="I145" i="63" s="1"/>
  <c r="J110" i="63"/>
  <c r="J144" i="63" s="1"/>
  <c r="J145" i="63" s="1"/>
  <c r="H110" i="63"/>
  <c r="H144" i="63" s="1"/>
  <c r="H145" i="63" s="1"/>
  <c r="G110" i="63"/>
  <c r="W144" i="65"/>
  <c r="M73" i="65"/>
  <c r="X68" i="65"/>
  <c r="D73" i="63"/>
  <c r="D150" i="63" s="1"/>
  <c r="S75" i="54"/>
  <c r="P73" i="64"/>
  <c r="O73" i="65"/>
  <c r="X69" i="64"/>
  <c r="R22" i="30"/>
  <c r="R23" i="30"/>
  <c r="S23" i="30"/>
  <c r="S22" i="30"/>
  <c r="D144" i="65" l="1"/>
  <c r="O107" i="55"/>
  <c r="F145" i="65" s="1"/>
  <c r="W145" i="65"/>
  <c r="X110" i="64"/>
  <c r="V73" i="63"/>
  <c r="W144" i="63"/>
  <c r="W110" i="64"/>
  <c r="V73" i="65"/>
  <c r="I150" i="65"/>
  <c r="W144" i="64"/>
  <c r="X73" i="63"/>
  <c r="Q150" i="63"/>
  <c r="C110" i="64"/>
  <c r="U110" i="64" s="1"/>
  <c r="G144" i="64"/>
  <c r="V110" i="64"/>
  <c r="O150" i="64"/>
  <c r="J150" i="63"/>
  <c r="R150" i="63"/>
  <c r="N150" i="63"/>
  <c r="I150" i="64"/>
  <c r="S105" i="55"/>
  <c r="D144" i="63"/>
  <c r="G107" i="55"/>
  <c r="V144" i="65"/>
  <c r="C144" i="65"/>
  <c r="U144" i="65" s="1"/>
  <c r="G145" i="65"/>
  <c r="V145" i="65" s="1"/>
  <c r="C73" i="63"/>
  <c r="G150" i="63"/>
  <c r="D35" i="53"/>
  <c r="D144" i="64"/>
  <c r="J107" i="55"/>
  <c r="C73" i="64"/>
  <c r="Q151" i="64" s="1"/>
  <c r="G150" i="64"/>
  <c r="F144" i="63"/>
  <c r="U105" i="55"/>
  <c r="I107" i="55"/>
  <c r="I150" i="63"/>
  <c r="D35" i="52"/>
  <c r="E40" i="52"/>
  <c r="E42" i="52" s="1"/>
  <c r="M150" i="63"/>
  <c r="M144" i="63"/>
  <c r="M145" i="63" s="1"/>
  <c r="X110" i="63"/>
  <c r="E145" i="63"/>
  <c r="W145" i="63"/>
  <c r="T107" i="55"/>
  <c r="J150" i="65"/>
  <c r="J18" i="52"/>
  <c r="X144" i="65"/>
  <c r="M150" i="65"/>
  <c r="X73" i="65"/>
  <c r="M150" i="64"/>
  <c r="X73" i="64"/>
  <c r="F145" i="64"/>
  <c r="X145" i="64"/>
  <c r="J150" i="64"/>
  <c r="C110" i="63"/>
  <c r="U110" i="63" s="1"/>
  <c r="G144" i="63"/>
  <c r="V110" i="63"/>
  <c r="Q150" i="64"/>
  <c r="P150" i="63"/>
  <c r="X144" i="64"/>
  <c r="I14" i="53"/>
  <c r="D16" i="53"/>
  <c r="D18" i="53" s="1"/>
  <c r="I18" i="53" s="1"/>
  <c r="Q150" i="65"/>
  <c r="K150" i="64"/>
  <c r="W73" i="64"/>
  <c r="Q57" i="55"/>
  <c r="F105" i="55"/>
  <c r="P150" i="64"/>
  <c r="H150" i="63"/>
  <c r="E59" i="59"/>
  <c r="H99" i="59" s="1"/>
  <c r="O150" i="65"/>
  <c r="D145" i="65"/>
  <c r="W145" i="64"/>
  <c r="E145" i="64"/>
  <c r="P150" i="65"/>
  <c r="V73" i="64"/>
  <c r="R150" i="64"/>
  <c r="H150" i="64"/>
  <c r="G150" i="65"/>
  <c r="C73" i="65"/>
  <c r="J151" i="65" s="1"/>
  <c r="X145" i="65" l="1"/>
  <c r="F99" i="59"/>
  <c r="O151" i="64"/>
  <c r="O152" i="64" s="1"/>
  <c r="F21" i="58" s="1"/>
  <c r="F43" i="58" s="1"/>
  <c r="I99" i="59"/>
  <c r="G151" i="65"/>
  <c r="G152" i="65" s="1"/>
  <c r="G151" i="64"/>
  <c r="C144" i="63"/>
  <c r="G145" i="63"/>
  <c r="V145" i="63" s="1"/>
  <c r="M151" i="65"/>
  <c r="M152" i="65" s="1"/>
  <c r="Q151" i="65"/>
  <c r="Q152" i="65" s="1"/>
  <c r="G23" i="58" s="1"/>
  <c r="G45" i="58" s="1"/>
  <c r="V144" i="64"/>
  <c r="G145" i="64"/>
  <c r="V145" i="64" s="1"/>
  <c r="C144" i="64"/>
  <c r="U144" i="64" s="1"/>
  <c r="P151" i="64"/>
  <c r="P152" i="64" s="1"/>
  <c r="F22" i="58" s="1"/>
  <c r="F44" i="58" s="1"/>
  <c r="J152" i="65"/>
  <c r="G14" i="58" s="1"/>
  <c r="G36" i="58" s="1"/>
  <c r="I151" i="64"/>
  <c r="I152" i="64" s="1"/>
  <c r="F13" i="58" s="1"/>
  <c r="F35" i="58" s="1"/>
  <c r="R151" i="65"/>
  <c r="R152" i="65" s="1"/>
  <c r="G24" i="58" s="1"/>
  <c r="G46" i="58" s="1"/>
  <c r="U73" i="65"/>
  <c r="C150" i="65"/>
  <c r="L151" i="65"/>
  <c r="I151" i="65"/>
  <c r="I152" i="65" s="1"/>
  <c r="G13" i="58" s="1"/>
  <c r="G35" i="58" s="1"/>
  <c r="H151" i="65"/>
  <c r="H152" i="65" s="1"/>
  <c r="G12" i="58" s="1"/>
  <c r="N151" i="65"/>
  <c r="K151" i="65"/>
  <c r="K152" i="65" s="1"/>
  <c r="J35" i="52"/>
  <c r="D40" i="52"/>
  <c r="D145" i="64"/>
  <c r="O151" i="65"/>
  <c r="O152" i="65" s="1"/>
  <c r="G21" i="58" s="1"/>
  <c r="G43" i="58" s="1"/>
  <c r="D145" i="63"/>
  <c r="S107" i="55"/>
  <c r="D21" i="53"/>
  <c r="I21" i="53" s="1"/>
  <c r="V144" i="63"/>
  <c r="Q105" i="55"/>
  <c r="F107" i="55"/>
  <c r="Q107" i="55" s="1"/>
  <c r="F145" i="63"/>
  <c r="X145" i="63"/>
  <c r="U107" i="55"/>
  <c r="E44" i="52"/>
  <c r="D42" i="52"/>
  <c r="D44" i="52" s="1"/>
  <c r="M151" i="64"/>
  <c r="M152" i="64" s="1"/>
  <c r="U73" i="64"/>
  <c r="C150" i="64"/>
  <c r="N151" i="64"/>
  <c r="L151" i="64"/>
  <c r="J151" i="64"/>
  <c r="J152" i="64" s="1"/>
  <c r="F14" i="58" s="1"/>
  <c r="F36" i="58" s="1"/>
  <c r="H151" i="64"/>
  <c r="H152" i="64" s="1"/>
  <c r="F12" i="58" s="1"/>
  <c r="R151" i="64"/>
  <c r="R152" i="64" s="1"/>
  <c r="F24" i="58" s="1"/>
  <c r="F46" i="58" s="1"/>
  <c r="Q152" i="64"/>
  <c r="F23" i="58" s="1"/>
  <c r="F45" i="58" s="1"/>
  <c r="U73" i="63"/>
  <c r="C150" i="63"/>
  <c r="P151" i="65"/>
  <c r="P152" i="65" s="1"/>
  <c r="G22" i="58" s="1"/>
  <c r="G44" i="58" s="1"/>
  <c r="M99" i="59"/>
  <c r="G99" i="59"/>
  <c r="N99" i="59"/>
  <c r="J99" i="59"/>
  <c r="L99" i="59"/>
  <c r="K99" i="59"/>
  <c r="K151" i="64"/>
  <c r="K152" i="64" s="1"/>
  <c r="X144" i="63"/>
  <c r="C145" i="65"/>
  <c r="U145" i="65" s="1"/>
  <c r="Q22" i="30"/>
  <c r="J40" i="52" l="1"/>
  <c r="E99" i="59"/>
  <c r="D151" i="65"/>
  <c r="D151" i="64"/>
  <c r="F151" i="65"/>
  <c r="N152" i="65"/>
  <c r="G20" i="58" s="1"/>
  <c r="G42" i="58" s="1"/>
  <c r="F151" i="64"/>
  <c r="N152" i="64"/>
  <c r="F20" i="58" s="1"/>
  <c r="F42" i="58" s="1"/>
  <c r="G34" i="58"/>
  <c r="G33" i="58" s="1"/>
  <c r="G11" i="58"/>
  <c r="G152" i="64"/>
  <c r="C145" i="64"/>
  <c r="U145" i="64" s="1"/>
  <c r="G16" i="58"/>
  <c r="G38" i="58" s="1"/>
  <c r="D152" i="65"/>
  <c r="G9" i="58"/>
  <c r="G19" i="58"/>
  <c r="E151" i="65"/>
  <c r="L152" i="65"/>
  <c r="E152" i="65" s="1"/>
  <c r="W152" i="65" s="1"/>
  <c r="F16" i="58"/>
  <c r="F38" i="58" s="1"/>
  <c r="F19" i="58"/>
  <c r="F34" i="58"/>
  <c r="F33" i="58" s="1"/>
  <c r="F11" i="58"/>
  <c r="C145" i="63"/>
  <c r="E151" i="64"/>
  <c r="L152" i="64"/>
  <c r="E152" i="64" s="1"/>
  <c r="W152" i="64" s="1"/>
  <c r="U144" i="63"/>
  <c r="C147" i="63"/>
  <c r="T56" i="32"/>
  <c r="U56" i="32" s="1"/>
  <c r="W56" i="32"/>
  <c r="Y56" i="32"/>
  <c r="T60" i="32"/>
  <c r="U60" i="32" s="1"/>
  <c r="T57" i="32"/>
  <c r="U57" i="32" s="1"/>
  <c r="W58" i="32"/>
  <c r="Y58" i="32"/>
  <c r="T58" i="32"/>
  <c r="U58" i="32" s="1"/>
  <c r="W57" i="32"/>
  <c r="Y57" i="32"/>
  <c r="Y59" i="32"/>
  <c r="W59" i="32"/>
  <c r="W60" i="32"/>
  <c r="Y60" i="32"/>
  <c r="T59" i="32"/>
  <c r="U59" i="32" s="1"/>
  <c r="T40" i="32"/>
  <c r="U40" i="32" s="1"/>
  <c r="T36" i="32"/>
  <c r="U36" i="32" s="1"/>
  <c r="T37" i="32"/>
  <c r="U37" i="32" s="1"/>
  <c r="T39" i="32"/>
  <c r="U39" i="32" s="1"/>
  <c r="W38" i="32"/>
  <c r="Y38" i="32"/>
  <c r="Y39" i="32"/>
  <c r="W39" i="32"/>
  <c r="W37" i="32"/>
  <c r="Y37" i="32"/>
  <c r="W40" i="32"/>
  <c r="Y40" i="32"/>
  <c r="W36" i="32"/>
  <c r="Y36" i="32"/>
  <c r="T38" i="32"/>
  <c r="U38" i="32" s="1"/>
  <c r="S16" i="37"/>
  <c r="T16" i="37" s="1"/>
  <c r="X16" i="37"/>
  <c r="V16" i="37"/>
  <c r="S20" i="37"/>
  <c r="T20" i="37" s="1"/>
  <c r="S19" i="37"/>
  <c r="T19" i="37" s="1"/>
  <c r="S18" i="37"/>
  <c r="T18" i="37" s="1"/>
  <c r="S17" i="37"/>
  <c r="T17" i="37" s="1"/>
  <c r="X17" i="37"/>
  <c r="V17" i="37"/>
  <c r="X18" i="37"/>
  <c r="V18" i="37"/>
  <c r="X19" i="37"/>
  <c r="V19" i="37"/>
  <c r="X20" i="37"/>
  <c r="V20" i="37"/>
  <c r="F152" i="64" l="1"/>
  <c r="X152" i="64" s="1"/>
  <c r="Z59" i="32"/>
  <c r="AA59" i="32" s="1"/>
  <c r="AB59" i="32" s="1"/>
  <c r="Y20" i="37"/>
  <c r="Z20" i="37" s="1"/>
  <c r="AA20" i="37" s="1"/>
  <c r="Y17" i="37"/>
  <c r="Z17" i="37" s="1"/>
  <c r="AA17" i="37" s="1"/>
  <c r="Y19" i="37"/>
  <c r="Z19" i="37" s="1"/>
  <c r="AA19" i="37" s="1"/>
  <c r="Y16" i="37"/>
  <c r="Z16" i="37" s="1"/>
  <c r="AA16" i="37" s="1"/>
  <c r="Y18" i="37"/>
  <c r="Z18" i="37" s="1"/>
  <c r="AA18" i="37" s="1"/>
  <c r="Z56" i="32"/>
  <c r="AA56" i="32" s="1"/>
  <c r="AB56" i="32" s="1"/>
  <c r="Z36" i="32"/>
  <c r="AA36" i="32" s="1"/>
  <c r="AB36" i="32" s="1"/>
  <c r="Z57" i="32"/>
  <c r="AA57" i="32" s="1"/>
  <c r="AB57" i="32" s="1"/>
  <c r="Z40" i="32"/>
  <c r="AA40" i="32" s="1"/>
  <c r="AB40" i="32" s="1"/>
  <c r="Z58" i="32"/>
  <c r="AA58" i="32" s="1"/>
  <c r="AB58" i="32" s="1"/>
  <c r="Z37" i="32"/>
  <c r="AA37" i="32" s="1"/>
  <c r="AB37" i="32" s="1"/>
  <c r="Z38" i="32"/>
  <c r="AA38" i="32" s="1"/>
  <c r="AB38" i="32" s="1"/>
  <c r="Z39" i="32"/>
  <c r="AA39" i="32" s="1"/>
  <c r="AB39" i="32" s="1"/>
  <c r="Z60" i="32"/>
  <c r="AA60" i="32" s="1"/>
  <c r="AB60" i="32" s="1"/>
  <c r="F152" i="65"/>
  <c r="X152" i="65" s="1"/>
  <c r="F9" i="58"/>
  <c r="D152" i="64"/>
  <c r="G31" i="58"/>
  <c r="G28" i="58" s="1"/>
  <c r="G6" i="58"/>
  <c r="F41" i="58"/>
  <c r="F40" i="58" s="1"/>
  <c r="F18" i="58"/>
  <c r="F53" i="58" s="1"/>
  <c r="G41" i="58"/>
  <c r="G40" i="58" s="1"/>
  <c r="G18" i="58"/>
  <c r="G53" i="58" s="1"/>
  <c r="V152" i="65"/>
  <c r="C148" i="63"/>
  <c r="U145" i="63"/>
  <c r="G25" i="58" l="1"/>
  <c r="C152" i="65"/>
  <c r="U152" i="65" s="1"/>
  <c r="G51" i="58"/>
  <c r="G47" i="58"/>
  <c r="V152" i="64"/>
  <c r="C152" i="64"/>
  <c r="U152" i="64" s="1"/>
  <c r="F31" i="58"/>
  <c r="F28" i="58" s="1"/>
  <c r="F51" i="58" s="1"/>
  <c r="F6" i="58"/>
  <c r="F25" i="58" s="1"/>
  <c r="G61" i="58" l="1"/>
  <c r="F61" i="58"/>
  <c r="F47" i="58"/>
  <c r="R16" i="31" l="1"/>
  <c r="S16" i="31" s="1"/>
  <c r="W16" i="31"/>
  <c r="U16" i="31" l="1"/>
  <c r="X16" i="31" l="1"/>
  <c r="Y16" i="31" s="1"/>
  <c r="Z16" i="31" s="1"/>
  <c r="Y16" i="32"/>
  <c r="W16" i="32"/>
  <c r="T16" i="32"/>
  <c r="U16" i="32" s="1"/>
  <c r="Z16" i="32" l="1"/>
  <c r="AA16" i="32" s="1"/>
  <c r="AB16" i="32" s="1"/>
  <c r="Q20" i="30" l="1"/>
  <c r="Q23" i="30" s="1"/>
  <c r="E39" i="53" l="1"/>
  <c r="C151" i="63" s="1"/>
  <c r="I151" i="63" s="1"/>
  <c r="I152" i="63" s="1"/>
  <c r="E13" i="58" s="1"/>
  <c r="T20" i="30"/>
  <c r="M151" i="63" l="1"/>
  <c r="M152" i="63" s="1"/>
  <c r="E19" i="58" s="1"/>
  <c r="L151" i="63"/>
  <c r="K151" i="63"/>
  <c r="K152" i="63" s="1"/>
  <c r="E16" i="58" s="1"/>
  <c r="P151" i="63"/>
  <c r="P152" i="63" s="1"/>
  <c r="E22" i="58" s="1"/>
  <c r="E44" i="58" s="1"/>
  <c r="D44" i="58" s="1"/>
  <c r="J151" i="63"/>
  <c r="J152" i="63" s="1"/>
  <c r="E14" i="58" s="1"/>
  <c r="D14" i="58" s="1"/>
  <c r="O151" i="63"/>
  <c r="O152" i="63" s="1"/>
  <c r="E21" i="58" s="1"/>
  <c r="E43" i="58" s="1"/>
  <c r="D43" i="58" s="1"/>
  <c r="G151" i="63"/>
  <c r="H151" i="63"/>
  <c r="H152" i="63" s="1"/>
  <c r="E12" i="58" s="1"/>
  <c r="Q151" i="63"/>
  <c r="Q152" i="63" s="1"/>
  <c r="E23" i="58" s="1"/>
  <c r="D23" i="58" s="1"/>
  <c r="N151" i="63"/>
  <c r="E40" i="53"/>
  <c r="E42" i="53" s="1"/>
  <c r="D42" i="53" s="1"/>
  <c r="I42" i="53" s="1"/>
  <c r="R151" i="63"/>
  <c r="R152" i="63" s="1"/>
  <c r="E24" i="58" s="1"/>
  <c r="D24" i="58" s="1"/>
  <c r="D39" i="53"/>
  <c r="F108" i="55" s="1"/>
  <c r="D40" i="53"/>
  <c r="D13" i="58"/>
  <c r="E35" i="58"/>
  <c r="D35" i="58" s="1"/>
  <c r="F151" i="63" l="1"/>
  <c r="D22" i="58"/>
  <c r="E11" i="58"/>
  <c r="D11" i="58" s="1"/>
  <c r="E36" i="58"/>
  <c r="D36" i="58" s="1"/>
  <c r="D151" i="63"/>
  <c r="G152" i="63"/>
  <c r="E9" i="58" s="1"/>
  <c r="N152" i="63"/>
  <c r="E20" i="58" s="1"/>
  <c r="E18" i="58" s="1"/>
  <c r="D12" i="58"/>
  <c r="E34" i="58"/>
  <c r="D21" i="58"/>
  <c r="E151" i="63"/>
  <c r="E44" i="53"/>
  <c r="E46" i="58"/>
  <c r="D46" i="58" s="1"/>
  <c r="E45" i="58"/>
  <c r="D45" i="58" s="1"/>
  <c r="L152" i="63"/>
  <c r="E152" i="63" s="1"/>
  <c r="W152" i="63" s="1"/>
  <c r="D19" i="58"/>
  <c r="E41" i="58"/>
  <c r="B55" i="53"/>
  <c r="D44" i="53"/>
  <c r="D16" i="58"/>
  <c r="C16" i="58"/>
  <c r="E38" i="58"/>
  <c r="D38" i="58" s="1"/>
  <c r="D152" i="63" l="1"/>
  <c r="V152" i="63" s="1"/>
  <c r="E33" i="58"/>
  <c r="E42" i="58"/>
  <c r="D42" i="58" s="1"/>
  <c r="D20" i="58"/>
  <c r="F152" i="63"/>
  <c r="X152" i="63" s="1"/>
  <c r="D34" i="58"/>
  <c r="D33" i="58" s="1"/>
  <c r="E6" i="58"/>
  <c r="D9" i="58"/>
  <c r="E31" i="58"/>
  <c r="D41" i="58"/>
  <c r="E53" i="58"/>
  <c r="D18" i="58"/>
  <c r="E40" i="58" l="1"/>
  <c r="C152" i="63"/>
  <c r="U152" i="63" s="1"/>
  <c r="D40" i="58"/>
  <c r="D53" i="58"/>
  <c r="C18" i="58"/>
  <c r="D6" i="58"/>
  <c r="C6" i="58"/>
  <c r="C25" i="58" s="1"/>
  <c r="E25" i="58"/>
  <c r="E28" i="58"/>
  <c r="D31" i="58"/>
  <c r="D28" i="58" s="1"/>
  <c r="C40" i="58" l="1"/>
  <c r="C28" i="58"/>
  <c r="D47" i="58"/>
  <c r="E51" i="58"/>
  <c r="D51" i="58" s="1"/>
  <c r="E47" i="58"/>
  <c r="D25" i="58"/>
  <c r="E61" i="58"/>
  <c r="C47" i="5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tc={340A48D7-D136-4D4D-94F7-05CAA396ED93}</author>
    <author>tc={B6AED949-B922-4E14-8E7A-62C0E9F7C6B9}</author>
  </authors>
  <commentList>
    <comment ref="R16" authorId="0" shapeId="0" xr:uid="{340A48D7-D136-4D4D-94F7-05CAA396ED93}">
      <text>
        <t>[Threaded comment]
Your version of Excel allows you to read this threaded comment; however, any edits to it will get removed if the file is opened in a newer version of Excel. Learn more: https://go.microsoft.com/fwlink/?linkid=870924
Comment:
    Manual link includes $3 discount to BSC</t>
      </text>
    </comment>
    <comment ref="U16" authorId="1" shapeId="0" xr:uid="{B6AED949-B922-4E14-8E7A-62C0E9F7C6B9}">
      <text>
        <t>[Threaded comment]
Your version of Excel allows you to read this threaded comment; however, any edits to it will get removed if the file is opened in a newer version of Excel. Learn more: https://go.microsoft.com/fwlink/?linkid=870924
Comment:
    Removed CARES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267" authorId="0" shapeId="0" xr:uid="{6C8568FD-AE9B-4DCC-80DC-7AA4F1084602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Needs to be a labor allocator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68" authorId="0" shapeId="0" xr:uid="{78C3B5F8-081C-4800-8A58-B290F9551268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The percentages need to be changed OR the allocator needs to be changed</t>
        </r>
      </text>
    </comment>
    <comment ref="A77" authorId="0" shapeId="0" xr:uid="{EF1CF08E-8CDA-4CBB-92AF-B2D188D6C9FF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The percentages need to be changed OR the allocator needs to be changed</t>
        </r>
      </text>
    </comment>
    <comment ref="A110" authorId="0" shapeId="0" xr:uid="{CD0691DE-1531-4744-B959-D4F6CED3CB78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Added the FERC #</t>
        </r>
      </text>
    </comment>
    <comment ref="A132" authorId="0" shapeId="0" xr:uid="{2306DFFD-A1E1-4F3F-9D11-55412D921506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Added the FERC Accounts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77" authorId="0" shapeId="0" xr:uid="{21B604CE-DC81-40FE-8B35-F56C45C2D531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The percentages need to be changed OR the allocator needs to be changed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tc={4AD0D94C-B8AE-40EF-B9F0-3A2FB217F27F}</author>
  </authors>
  <commentList>
    <comment ref="AY25" authorId="0" shapeId="0" xr:uid="{4AD0D94C-B8AE-40EF-B9F0-3A2FB217F27F}">
      <text>
        <t>[Threaded comment]
Your version of Excel allows you to read this threaded comment; however, any edits to it will get removed if the file is opened in a newer version of Excel. Learn more: https://go.microsoft.com/fwlink/?linkid=870924
Comment:
    Different formula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tc={D7969EA6-A09E-406B-927F-8D0CB4410700}</author>
  </authors>
  <commentList>
    <comment ref="M2" authorId="0" shapeId="0" xr:uid="{D7969EA6-A09E-406B-927F-8D0CB4410700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tc={E3302846-2447-4413-AD48-843005A9C211}</author>
  </authors>
  <commentList>
    <comment ref="M2" authorId="0" shapeId="0" xr:uid="{E3302846-2447-4413-AD48-843005A9C211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tc={2B5F730B-7F22-45F9-A912-2AAEA70D1D30}</author>
  </authors>
  <commentList>
    <comment ref="M2" authorId="0" shapeId="0" xr:uid="{2B5F730B-7F22-45F9-A912-2AAEA70D1D30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tc={E8D49B16-57C1-411C-AFA8-3CD5E3011A3C}</author>
  </authors>
  <commentList>
    <comment ref="M2" authorId="0" shapeId="0" xr:uid="{E8D49B16-57C1-411C-AFA8-3CD5E3011A3C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tc={C3788321-CEE9-40A8-8ED6-A2FAE0691374}</author>
  </authors>
  <commentList>
    <comment ref="M2" authorId="0" shapeId="0" xr:uid="{C3788321-CEE9-40A8-8ED6-A2FAE0691374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tc={7E1C2566-C1CB-4416-BCD5-C205A06EA75D}</author>
  </authors>
  <commentList>
    <comment ref="M2" authorId="0" shapeId="0" xr:uid="{7E1C2566-C1CB-4416-BCD5-C205A06EA75D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tc={43A2F6FF-1D84-44E0-A077-5F9037F103CC}</author>
  </authors>
  <commentList>
    <comment ref="M2" authorId="0" shapeId="0" xr:uid="{43A2F6FF-1D84-44E0-A077-5F9037F103CC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tc={7989BACC-8145-40B2-9404-01D5FFEFFC9F}</author>
  </authors>
  <commentList>
    <comment ref="M2" authorId="0" shapeId="0" xr:uid="{7989BACC-8145-40B2-9404-01D5FFEFFC9F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tc={24F0889C-F018-4F50-A655-E70D8F77A013}</author>
  </authors>
  <commentList>
    <comment ref="M2" authorId="0" shapeId="0" xr:uid="{24F0889C-F018-4F50-A655-E70D8F77A013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tc={74F3266B-A582-4A5E-A2B7-E8F9627604CE}</author>
  </authors>
  <commentList>
    <comment ref="M2" authorId="0" shapeId="0" xr:uid="{74F3266B-A582-4A5E-A2B7-E8F9627604CE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tc={5D341AE4-CC31-41CF-9371-F4B228980F8C}</author>
  </authors>
  <commentList>
    <comment ref="M2" authorId="0" shapeId="0" xr:uid="{5D341AE4-CC31-41CF-9371-F4B228980F8C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tc={CD4B78D9-5507-4A72-837B-A9D63FDB4729}</author>
  </authors>
  <commentList>
    <comment ref="M2" authorId="0" shapeId="0" xr:uid="{CD4B78D9-5507-4A72-837B-A9D63FDB4729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sharedStrings.xml><?xml version="1.0" encoding="utf-8"?>
<sst xmlns="http://schemas.openxmlformats.org/spreadsheetml/2006/main" count="5867" uniqueCount="930">
  <si>
    <t>LINE NO.</t>
  </si>
  <si>
    <t>DESCRIPTION</t>
  </si>
  <si>
    <t>TOTAL</t>
  </si>
  <si>
    <t>Residential</t>
  </si>
  <si>
    <t>Small Volume General Service</t>
  </si>
  <si>
    <t>Large Volume General Service</t>
  </si>
  <si>
    <t>Checks</t>
  </si>
  <si>
    <t>(A)</t>
  </si>
  <si>
    <t>(B)</t>
  </si>
  <si>
    <t>(C)</t>
  </si>
  <si>
    <t>(D)</t>
  </si>
  <si>
    <t>DEVELOPMENT OF RATE BASE</t>
  </si>
  <si>
    <t>Gas Plant in Service</t>
  </si>
  <si>
    <t>Depreciation &amp; Amort. Reserve</t>
  </si>
  <si>
    <t>Net Plant in Service</t>
  </si>
  <si>
    <t>ADDITIONS &amp; DEDUCTIONS</t>
  </si>
  <si>
    <t>Cash Working Capital</t>
  </si>
  <si>
    <t>Materials &amp; Supplies</t>
  </si>
  <si>
    <t>Prepayments</t>
  </si>
  <si>
    <t>Customer Adv. for Construction</t>
  </si>
  <si>
    <t>Customer Deposits</t>
  </si>
  <si>
    <t>Total Other Rate Base</t>
  </si>
  <si>
    <t>Accum Deferred Income Taxes</t>
  </si>
  <si>
    <t>Total Addistions &amp; Deductions</t>
  </si>
  <si>
    <t>TOTAL RATE BASE</t>
  </si>
  <si>
    <t>DEVELOPMENT OF RETURN</t>
  </si>
  <si>
    <t>REVENUES FROM GAS SALES</t>
  </si>
  <si>
    <t>Base Revenues Present Rates</t>
  </si>
  <si>
    <t>TOTAL SALES OF GAS REVENUE</t>
  </si>
  <si>
    <t>OTHER OPERATING REVENUES</t>
  </si>
  <si>
    <t>Forfeited Discounts</t>
  </si>
  <si>
    <t xml:space="preserve">Miscellaneous Service Revenue </t>
  </si>
  <si>
    <t>OTHER REVENUE</t>
  </si>
  <si>
    <t>TOTAL OTHER OPERATING REVENUE</t>
  </si>
  <si>
    <t>TOTAL GAS OPERATING REVENUE</t>
  </si>
  <si>
    <t>OPERATING EXPENSES</t>
  </si>
  <si>
    <t>Operating &amp; Maintenance</t>
  </si>
  <si>
    <t>Depreciation &amp; Amortization</t>
  </si>
  <si>
    <t>Interest on Customer Deposits</t>
  </si>
  <si>
    <t xml:space="preserve">Taxes Other Than Income </t>
  </si>
  <si>
    <t>Tax Expense</t>
  </si>
  <si>
    <t>TOTAL OPERATING EXPENSES</t>
  </si>
  <si>
    <t>OPERATING INCOME</t>
  </si>
  <si>
    <t>RATE OF RETURN ON RATE BASE</t>
  </si>
  <si>
    <t>REVENUE REQUIREMENT INPUTS</t>
  </si>
  <si>
    <t>ANNUAL BOOKED THERM SALES</t>
  </si>
  <si>
    <t>PRESENT SALES REVENUES</t>
  </si>
  <si>
    <t>TOTAL YEAR END CUSTOMERS</t>
  </si>
  <si>
    <t>Check</t>
  </si>
  <si>
    <t>Other</t>
  </si>
  <si>
    <t>Total Additions &amp; Deductions</t>
  </si>
  <si>
    <t>ROR on OCRB</t>
  </si>
  <si>
    <t>RETURN ON RATE BASE</t>
  </si>
  <si>
    <t>PROPOSED SALES REVENUE</t>
  </si>
  <si>
    <t>Other Revenue</t>
  </si>
  <si>
    <t>Income Tax Expense</t>
  </si>
  <si>
    <t>REVENUE PROOF INPUTS</t>
  </si>
  <si>
    <t>APPROVED SALES REVENUES</t>
  </si>
  <si>
    <t>Rounding Plug Calc For Taxes</t>
  </si>
  <si>
    <t xml:space="preserve"> Manual adder to tax input number to tie out to RR model when there's a difference</t>
  </si>
  <si>
    <t xml:space="preserve">FERC </t>
  </si>
  <si>
    <t>Total</t>
  </si>
  <si>
    <t>No.</t>
  </si>
  <si>
    <t>Account</t>
  </si>
  <si>
    <t>ALLOCA</t>
  </si>
  <si>
    <t>Look Up</t>
  </si>
  <si>
    <t>COMPANY</t>
  </si>
  <si>
    <t xml:space="preserve">DEMAND </t>
  </si>
  <si>
    <t>COMMODITY</t>
  </si>
  <si>
    <t>CUSTOMER</t>
  </si>
  <si>
    <t>DEMAND Check</t>
  </si>
  <si>
    <t>COMMODITY Check</t>
  </si>
  <si>
    <t>CUSTOMER Check</t>
  </si>
  <si>
    <t>Plant in Service</t>
  </si>
  <si>
    <t>302-303</t>
  </si>
  <si>
    <t>Total Intangible Plant</t>
  </si>
  <si>
    <t>PISXIG</t>
  </si>
  <si>
    <t>365-371</t>
  </si>
  <si>
    <t>Total Transmission Plant</t>
  </si>
  <si>
    <t>TRANS</t>
  </si>
  <si>
    <t>Distribution Plant</t>
  </si>
  <si>
    <t>Land and Land Rights</t>
  </si>
  <si>
    <t>Structures &amp; Improvements</t>
  </si>
  <si>
    <t>Mains</t>
  </si>
  <si>
    <t>Measuring and Regulating Station Equipment-General</t>
  </si>
  <si>
    <t>Measuring and Regulating Station Equipment-City</t>
  </si>
  <si>
    <t>Services</t>
  </si>
  <si>
    <t>CUST380</t>
  </si>
  <si>
    <t>Meters</t>
  </si>
  <si>
    <t>CUST381</t>
  </si>
  <si>
    <t>Meter Installations</t>
  </si>
  <si>
    <t>CUST382</t>
  </si>
  <si>
    <t>House Regulators</t>
  </si>
  <si>
    <t>CUST383</t>
  </si>
  <si>
    <t>House Regulatory Installations</t>
  </si>
  <si>
    <t>CUST384</t>
  </si>
  <si>
    <t>Industrial Measuring Regulating Station Equipment</t>
  </si>
  <si>
    <t>CUST385</t>
  </si>
  <si>
    <t>Other Equipment</t>
  </si>
  <si>
    <t>DISTR</t>
  </si>
  <si>
    <t>Total Distribution Plant</t>
  </si>
  <si>
    <t>389-398</t>
  </si>
  <si>
    <t>Total General Plant</t>
  </si>
  <si>
    <t xml:space="preserve">TOTAL PLANT IN SERVICE EXCLUDING INTANGIBLE </t>
  </si>
  <si>
    <t>TOTAL GAS PLANT IN SERVICE</t>
  </si>
  <si>
    <t>Less: Accumulated Depreciation (AD)</t>
  </si>
  <si>
    <t>Total Intangible Plant AD</t>
  </si>
  <si>
    <t>Total Transmission Plant AD</t>
  </si>
  <si>
    <t>Distribution Plant AD</t>
  </si>
  <si>
    <t>House Regulator Installations</t>
  </si>
  <si>
    <t>Total Distribution Plant AD</t>
  </si>
  <si>
    <t>Total General Plant AD</t>
  </si>
  <si>
    <t xml:space="preserve">TOTAL ACCUMULATED DEPRECIATION </t>
  </si>
  <si>
    <t>TOTAL NET PLANT IN SERVICE</t>
  </si>
  <si>
    <t>Working Capital</t>
  </si>
  <si>
    <t>N/A</t>
  </si>
  <si>
    <t>154, 163</t>
  </si>
  <si>
    <t>Total Working Capital</t>
  </si>
  <si>
    <t>Less: Customer Contributions</t>
  </si>
  <si>
    <t>Customer Advances for Construction</t>
  </si>
  <si>
    <t>CUST10</t>
  </si>
  <si>
    <t>Total Contributions</t>
  </si>
  <si>
    <t>Other Rate Base</t>
  </si>
  <si>
    <t xml:space="preserve">Prepaid Pension </t>
  </si>
  <si>
    <t>PAYXAG</t>
  </si>
  <si>
    <t>Regulatory Assets</t>
  </si>
  <si>
    <t>Regulatory Liabilities</t>
  </si>
  <si>
    <t>PLANT</t>
  </si>
  <si>
    <t>Total Accumulated Deferred Taxes (ADIT)</t>
  </si>
  <si>
    <t xml:space="preserve">Look Up Column </t>
  </si>
  <si>
    <t>Line</t>
  </si>
  <si>
    <t>Purchased Gas Expense</t>
  </si>
  <si>
    <t xml:space="preserve">Purchased Gas </t>
  </si>
  <si>
    <t>DEMGAS</t>
  </si>
  <si>
    <t>Purchased Gas Cost Expenses</t>
  </si>
  <si>
    <t>Total Purchased Gas Expense</t>
  </si>
  <si>
    <t>856-870</t>
  </si>
  <si>
    <t>Total Transmission Expense</t>
  </si>
  <si>
    <t>Distribution Expense</t>
  </si>
  <si>
    <t>Distribution Load Dispatching</t>
  </si>
  <si>
    <t>Mains and Services</t>
  </si>
  <si>
    <t>PLT376380</t>
  </si>
  <si>
    <t>Measuring and Regulating Station - General</t>
  </si>
  <si>
    <t>DISTREG</t>
  </si>
  <si>
    <t>Measuring and Regulating Station - Industrial</t>
  </si>
  <si>
    <t>Measuring and Regulating Station - City Gate Check Stations</t>
  </si>
  <si>
    <t>Meter and House Regulator</t>
  </si>
  <si>
    <t>PLT382384</t>
  </si>
  <si>
    <t>Customer Installations</t>
  </si>
  <si>
    <t>Other Expenses</t>
  </si>
  <si>
    <t>DISTRPLT</t>
  </si>
  <si>
    <t>Rents</t>
  </si>
  <si>
    <t>Maintenance Supervision &amp; Engineering</t>
  </si>
  <si>
    <t>LABDISTXMAIN</t>
  </si>
  <si>
    <t>Maintenance of Mains</t>
  </si>
  <si>
    <t>DISTMAIN</t>
  </si>
  <si>
    <t>Maint. of Measuring &amp; Regulating Station Equipment - General</t>
  </si>
  <si>
    <t>Maintenance of Services</t>
  </si>
  <si>
    <t>Maintenance of Meters and House Regulators</t>
  </si>
  <si>
    <t>Maintenance of Other Equipment</t>
  </si>
  <si>
    <t>Total Distribution Expense</t>
  </si>
  <si>
    <t>Customer Account Expense</t>
  </si>
  <si>
    <t>Supervision</t>
  </si>
  <si>
    <t>Meter Reading</t>
  </si>
  <si>
    <t>CUST902</t>
  </si>
  <si>
    <t xml:space="preserve">Customer Records and Collection </t>
  </si>
  <si>
    <t>CUST903</t>
  </si>
  <si>
    <t>Uncollectible Accounts</t>
  </si>
  <si>
    <t>CUST904</t>
  </si>
  <si>
    <t xml:space="preserve">Miscellaneous Customer Accounts </t>
  </si>
  <si>
    <t>CUSTMIS</t>
  </si>
  <si>
    <t>Supervision - Customer Service</t>
  </si>
  <si>
    <t>Customer Assistance</t>
  </si>
  <si>
    <t>Informational and Instructional Advertising</t>
  </si>
  <si>
    <t>Miscellaneous Customer Service and Informational</t>
  </si>
  <si>
    <t>Total Customer Account Expense</t>
  </si>
  <si>
    <t>Administrative and General Expense</t>
  </si>
  <si>
    <t>Administrative and General Salaries</t>
  </si>
  <si>
    <t>Office Supplies and Expenses</t>
  </si>
  <si>
    <t>Administrative Expenses Transferred - Credit</t>
  </si>
  <si>
    <t xml:space="preserve">Outside Services Employed    </t>
  </si>
  <si>
    <t>Property Insurance</t>
  </si>
  <si>
    <t>Injuries and Damages</t>
  </si>
  <si>
    <t>Employee Pension and Benefits</t>
  </si>
  <si>
    <t>General Advertising Expenses</t>
  </si>
  <si>
    <t>Miscellaneous General Expenses</t>
  </si>
  <si>
    <t>Maintenance of General Plant</t>
  </si>
  <si>
    <t>Regulatory Commission Expenses</t>
  </si>
  <si>
    <t>Total Administrative &amp; General Expense</t>
  </si>
  <si>
    <t>Total Operation and Maintenance Expense</t>
  </si>
  <si>
    <t>Depreciation and Amortization</t>
  </si>
  <si>
    <t>Intangible Plant Depreciation Expense</t>
  </si>
  <si>
    <t>Franchises and Consents</t>
  </si>
  <si>
    <t>Miscellaneous Intangible Plant</t>
  </si>
  <si>
    <t>Allocated Common Systems Costs (Mass Alloc)</t>
  </si>
  <si>
    <t>Total Intangible Plant Depreciation Expense</t>
  </si>
  <si>
    <t>Total Transmission Depreciation</t>
  </si>
  <si>
    <t>Distribution Plant Depreciation Expense</t>
  </si>
  <si>
    <t>Meas. and Reg. Station Equipment - General</t>
  </si>
  <si>
    <t>Meas. and Reg. Station Equipment - City Gate Check Station</t>
  </si>
  <si>
    <t>Industrial Meas. &amp; Reg. Station Equipment</t>
  </si>
  <si>
    <t>Total All Distribution Depreciation Expense</t>
  </si>
  <si>
    <t>Total General Plant Depreciation Expense</t>
  </si>
  <si>
    <t>Depreciation and Amortization - All</t>
  </si>
  <si>
    <t>403/404/406/407</t>
  </si>
  <si>
    <t>Intangible Plant</t>
  </si>
  <si>
    <t>403/404/406</t>
  </si>
  <si>
    <t>Transmission Plant</t>
  </si>
  <si>
    <t>General Plant</t>
  </si>
  <si>
    <t>Total Depreciation and Amortization - All</t>
  </si>
  <si>
    <t>Total Interest on Customer Deposits</t>
  </si>
  <si>
    <t>CUSTDEP</t>
  </si>
  <si>
    <t>Taxes Other Than Income Taxes</t>
  </si>
  <si>
    <t>Property Tax</t>
  </si>
  <si>
    <t>Other (Including Payroll Taxes)</t>
  </si>
  <si>
    <t>Total Taxes Other Than Income Taxes</t>
  </si>
  <si>
    <t>Income Taxes</t>
  </si>
  <si>
    <t>Current Income Tax - State &amp; Federal</t>
  </si>
  <si>
    <t xml:space="preserve">Deferred IT - Federal &amp; State (debits) </t>
  </si>
  <si>
    <t>Deferred IT - Federal &amp; State (credits)</t>
  </si>
  <si>
    <t>Total Income Taxes</t>
  </si>
  <si>
    <t>Total Operating Expense - Excluding Income Taxes</t>
  </si>
  <si>
    <t>Total Operating Expense - Including Taxes</t>
  </si>
  <si>
    <t>Total Operating Expense - Proposed Income taxes</t>
  </si>
  <si>
    <t>Look Up Columns</t>
  </si>
  <si>
    <t>DEMAND</t>
  </si>
  <si>
    <t>LINE</t>
  </si>
  <si>
    <t xml:space="preserve">TRANSMISSION </t>
  </si>
  <si>
    <t>DISTRIBUTION</t>
  </si>
  <si>
    <t>METER</t>
  </si>
  <si>
    <t>NO.</t>
  </si>
  <si>
    <t>ACCT.</t>
  </si>
  <si>
    <t>MAIN</t>
  </si>
  <si>
    <t>REGULATOR</t>
  </si>
  <si>
    <t>OTHER</t>
  </si>
  <si>
    <t>GAS</t>
  </si>
  <si>
    <t>SERVICES</t>
  </si>
  <si>
    <t>METERS</t>
  </si>
  <si>
    <t>REGULATORS</t>
  </si>
  <si>
    <t>READING</t>
  </si>
  <si>
    <t>RECORD</t>
  </si>
  <si>
    <t>Misc. Intangible Plant</t>
  </si>
  <si>
    <t>Measuring and Regulating Station Equipment</t>
  </si>
  <si>
    <t>Plant in Service - Trans.&amp;Dist.</t>
  </si>
  <si>
    <t>Land &amp; Land Rights</t>
  </si>
  <si>
    <t>Office Furniture and Equipment</t>
  </si>
  <si>
    <t>Transportation Equipment</t>
  </si>
  <si>
    <t>Stores Equipment</t>
  </si>
  <si>
    <t>Tools, Shop and Garage Equipment</t>
  </si>
  <si>
    <t>Laboratory Equipment</t>
  </si>
  <si>
    <t>Power Operated Equipment</t>
  </si>
  <si>
    <t>Communication Equipment</t>
  </si>
  <si>
    <t>Miscellaneous Equipment</t>
  </si>
  <si>
    <t>Plant in Service - All</t>
  </si>
  <si>
    <t>Total Plant in Service</t>
  </si>
  <si>
    <t xml:space="preserve">Intangible Plant </t>
  </si>
  <si>
    <t>Franchises &amp; Consents</t>
  </si>
  <si>
    <t xml:space="preserve">Miscellaneous Intangible Plant </t>
  </si>
  <si>
    <t xml:space="preserve">Transmission Plant </t>
  </si>
  <si>
    <t>Measuring and Reg. Station Equipment</t>
  </si>
  <si>
    <t xml:space="preserve">Distribution Plant </t>
  </si>
  <si>
    <t xml:space="preserve">General Plant           </t>
  </si>
  <si>
    <t>Office Furniture &amp; Equipment</t>
  </si>
  <si>
    <t>Accumulated Depreciation - All</t>
  </si>
  <si>
    <t>Intangible Plant Accum. Depreciation &amp; Amortization</t>
  </si>
  <si>
    <t>Transmission Plant Accum. Depreciation &amp; Amortization</t>
  </si>
  <si>
    <t>Distribution Plant Accum. Depreciation &amp; Amortization</t>
  </si>
  <si>
    <t>General Plant Accum. Depreciation &amp; Amortization</t>
  </si>
  <si>
    <t>Total Accum. Depreciation - All</t>
  </si>
  <si>
    <t>TOTAL NET PLANT</t>
  </si>
  <si>
    <t>154/163</t>
  </si>
  <si>
    <t>SUBTOTAL RATE BASE</t>
  </si>
  <si>
    <t>Less: Accumulated Deferred Taxes (ADIT)</t>
  </si>
  <si>
    <t>ADIT</t>
  </si>
  <si>
    <t>ADIT - Other Property</t>
  </si>
  <si>
    <t>ADIT - Other</t>
  </si>
  <si>
    <t xml:space="preserve">Purchased Gas Expense </t>
  </si>
  <si>
    <t>Transmission Expense</t>
  </si>
  <si>
    <t>Mains Expense</t>
  </si>
  <si>
    <t>Measuring and Regulating Station</t>
  </si>
  <si>
    <t>Maintenance of Compressor Station Equipment</t>
  </si>
  <si>
    <t>Operation Supervision and Engineering</t>
  </si>
  <si>
    <t>Total Distribution Gas Expense</t>
  </si>
  <si>
    <t>TOTAL EXPENSE EXCLUD A&amp;G &amp; GAS</t>
  </si>
  <si>
    <t>TOTAL EXPENSE Including GAS</t>
  </si>
  <si>
    <t>Total A&amp;G Expense</t>
  </si>
  <si>
    <t xml:space="preserve">Transmission Plant Depreciation Expense                     </t>
  </si>
  <si>
    <t xml:space="preserve">Mains </t>
  </si>
  <si>
    <t>TOTAL DEPRECIATION EXPENSE EXCLUDING GENERAL</t>
  </si>
  <si>
    <t>General Plant Depreciation Expense</t>
  </si>
  <si>
    <t>Land and Rights</t>
  </si>
  <si>
    <t xml:space="preserve">Customer Deposit Interest Expense </t>
  </si>
  <si>
    <t>TOTAL OPERATING EXPENSE - EXCLUD. INCOME TAX</t>
  </si>
  <si>
    <t>TOTAL OPERATING EXPENSE - INCLUDE. INCOME TAX</t>
  </si>
  <si>
    <t>TOTAL COMPANY</t>
  </si>
  <si>
    <t xml:space="preserve">REVENUES </t>
  </si>
  <si>
    <t>-</t>
  </si>
  <si>
    <t xml:space="preserve">     CAPACITY COMPONENTS</t>
  </si>
  <si>
    <t xml:space="preserve"> </t>
  </si>
  <si>
    <t xml:space="preserve">     PRODUCTION DEMAND COMP</t>
  </si>
  <si>
    <t xml:space="preserve">     TRANSMISSION DEMAND COMP</t>
  </si>
  <si>
    <t xml:space="preserve">     DISTRIBUTION DEMAND COMP</t>
  </si>
  <si>
    <t xml:space="preserve">     DISTRIBUTION MAINS</t>
  </si>
  <si>
    <t xml:space="preserve">     DISTRIBUTION REGULATORS</t>
  </si>
  <si>
    <t xml:space="preserve">     DISTRIBUTION OTHER</t>
  </si>
  <si>
    <t xml:space="preserve">     COMMODITY COMPONENTS</t>
  </si>
  <si>
    <t xml:space="preserve">     CUSTOMER COMPONENTS</t>
  </si>
  <si>
    <t xml:space="preserve">     CUST SERVICE DROP COMPONENT</t>
  </si>
  <si>
    <t xml:space="preserve">     CUST METER COMPONENT</t>
  </si>
  <si>
    <t xml:space="preserve">     CUST REGULATOR COMPONENT</t>
  </si>
  <si>
    <t xml:space="preserve">     CUST METER READING COMP</t>
  </si>
  <si>
    <t xml:space="preserve">     CUST RECORDS &amp; COLL COMP</t>
  </si>
  <si>
    <t xml:space="preserve">     CUST SERVICE</t>
  </si>
  <si>
    <t>PER UNIT COST</t>
  </si>
  <si>
    <t>TOTAL CAPACITY SERVICE</t>
  </si>
  <si>
    <t>CUSTOMER COMPONENT $/MO/CUST</t>
  </si>
  <si>
    <t>TOTAL THRUPUT THERM</t>
  </si>
  <si>
    <t>TOTAL ANNUAL CUSTOMERS</t>
  </si>
  <si>
    <t>ALLOCATION FACTOR TABLE</t>
  </si>
  <si>
    <t xml:space="preserve">Allocation </t>
  </si>
  <si>
    <t>Description</t>
  </si>
  <si>
    <t>Factor</t>
  </si>
  <si>
    <t>Look Up Value</t>
  </si>
  <si>
    <t>PRODUCTION ALLLOCATORS</t>
  </si>
  <si>
    <t>Annual Firm Therm Throughput</t>
  </si>
  <si>
    <t>TRANSMISSION ALLOCATORS</t>
  </si>
  <si>
    <t xml:space="preserve">Proportional Responsibility </t>
  </si>
  <si>
    <t>DISTRIBUTION ALLOCATORS</t>
  </si>
  <si>
    <t>Distribution Mains</t>
  </si>
  <si>
    <t>Distribution Regulators</t>
  </si>
  <si>
    <t>COMMODITY ALLOCATORS</t>
  </si>
  <si>
    <t>THERMS</t>
  </si>
  <si>
    <t>CUSTOMER ALLOCATORS</t>
  </si>
  <si>
    <t>Year End Number of Customers</t>
  </si>
  <si>
    <t>ACCT 380-Services</t>
  </si>
  <si>
    <t>ACCT 381-Meters</t>
  </si>
  <si>
    <t>ACCT 382-Meter Installations</t>
  </si>
  <si>
    <t>ACCT 383-House Regulators</t>
  </si>
  <si>
    <t>ACCT 384-House Reg. Installation</t>
  </si>
  <si>
    <t>ACCT 385-Industrial Reg Equipment</t>
  </si>
  <si>
    <t>ACCT 487-Misc. Service Revenue</t>
  </si>
  <si>
    <t>CUST487</t>
  </si>
  <si>
    <t>ACCT 902-Meter Read Expense</t>
  </si>
  <si>
    <t>ACCT 903-Customer Records &amp; Collections</t>
  </si>
  <si>
    <t>ACCT 904-Customer UNCOLLECTIBLES</t>
  </si>
  <si>
    <t>ACCT 902 + 903 + 904</t>
  </si>
  <si>
    <t>Customer Advances</t>
  </si>
  <si>
    <t>CUSTAFC</t>
  </si>
  <si>
    <t>INTERNALLY DEVELOPED FACTORS</t>
  </si>
  <si>
    <t>Total Gas Plant in Service</t>
  </si>
  <si>
    <t>Sum of Allocated Labor</t>
  </si>
  <si>
    <t>LABOR</t>
  </si>
  <si>
    <t>Plant in Service Excluding Intangible and General</t>
  </si>
  <si>
    <t>TOTAL TRANSMISSION PLANT</t>
  </si>
  <si>
    <t>TRANPLT</t>
  </si>
  <si>
    <t>ACCT 376 MAINS + 380 SERVICES</t>
  </si>
  <si>
    <t>ACCT 382 + 384 INSTALLATIONS</t>
  </si>
  <si>
    <t>TOTAL DISTRIBUTION PLANT</t>
  </si>
  <si>
    <t>TOTAL GENERAL PLANT</t>
  </si>
  <si>
    <t>GENPLT</t>
  </si>
  <si>
    <t>TOTAL EXPENSES EXCLUDING A&amp;G AND GAS</t>
  </si>
  <si>
    <t>TOTEXPEXAGG</t>
  </si>
  <si>
    <t>NET PLANT</t>
  </si>
  <si>
    <t>Net Plant</t>
  </si>
  <si>
    <t>LABOR PRODUCTION</t>
  </si>
  <si>
    <t>LABPROD</t>
  </si>
  <si>
    <t xml:space="preserve">LABOR ACCT 820-867 </t>
  </si>
  <si>
    <t>LABTM</t>
  </si>
  <si>
    <t>LABOR ACCT 870-894</t>
  </si>
  <si>
    <t>LABDIST</t>
  </si>
  <si>
    <t>LAROR ACCT 901-910</t>
  </si>
  <si>
    <t>LABCA</t>
  </si>
  <si>
    <t>LAROR ACCT 920-932</t>
  </si>
  <si>
    <t>LABA&amp;G</t>
  </si>
  <si>
    <t>LABOR DISTXMAINSUP</t>
  </si>
  <si>
    <t>PRESENT REVENUE</t>
  </si>
  <si>
    <t>TOTREV</t>
  </si>
  <si>
    <t xml:space="preserve">PAYROLL EXCLUDING A&amp;G </t>
  </si>
  <si>
    <t>WORKING CASH 1/8 OF O&amp;M</t>
  </si>
  <si>
    <t>WCOM</t>
  </si>
  <si>
    <t>Forfeited Discounts (Late Fees) Directly Assigned</t>
  </si>
  <si>
    <t>RATIO TABLE</t>
  </si>
  <si>
    <t xml:space="preserve">ANNUAL FIRM THERM THROUGHPUT </t>
  </si>
  <si>
    <t>REVENUE AND O&amp;M EXPENSE LINKED TO REVENUE REQUIREMENT MODEL</t>
  </si>
  <si>
    <t>FERC
Account</t>
  </si>
  <si>
    <t xml:space="preserve">Revenues &amp; Expenses </t>
  </si>
  <si>
    <t>ALLOCATION</t>
  </si>
  <si>
    <t>Retail Revenue</t>
  </si>
  <si>
    <t>480/481/482</t>
  </si>
  <si>
    <t>Net Sales to Ultimate Customers</t>
  </si>
  <si>
    <t>Sales for Resale</t>
  </si>
  <si>
    <t>Transportation of Gas</t>
  </si>
  <si>
    <t>Total Retail Revenue</t>
  </si>
  <si>
    <t>Other Operating Revenue</t>
  </si>
  <si>
    <t>Forfeited Discounts (Late Fees)</t>
  </si>
  <si>
    <t>Miscellaneous Service Revenues</t>
  </si>
  <si>
    <t xml:space="preserve">Other Gas Revenues  </t>
  </si>
  <si>
    <t>Total Other Operating Revenue</t>
  </si>
  <si>
    <t>Total Operating Revenue</t>
  </si>
  <si>
    <t>Total Customer Accounts Expense</t>
  </si>
  <si>
    <t>Total Taxes</t>
  </si>
  <si>
    <t>RATEBASE LINKED TO REVENUE REQUIREMENT MODEL</t>
  </si>
  <si>
    <t>New Check Column Ferc Accounts</t>
  </si>
  <si>
    <t xml:space="preserve">New Check Column Origional cost - Things to Add </t>
  </si>
  <si>
    <t>Things that Need
 to be removed</t>
  </si>
  <si>
    <t>Total Plant in Service - All</t>
  </si>
  <si>
    <t>Less: Accumulated Depreciation</t>
  </si>
  <si>
    <t>Intangible Plant Accumulated Depreciation</t>
  </si>
  <si>
    <t>Total Intangible Plant Accumulated Depreciation</t>
  </si>
  <si>
    <t xml:space="preserve">Transmission Plant Accumulated Depreciation                </t>
  </si>
  <si>
    <t>Total Transmission Plant Accumulated Depreciation</t>
  </si>
  <si>
    <t xml:space="preserve">Distribution Plant Accumulated Depreciation                  </t>
  </si>
  <si>
    <t>Total Distribution Plant Accumulated Depreciation</t>
  </si>
  <si>
    <t xml:space="preserve">General Plant Accumulated Depreciation                       </t>
  </si>
  <si>
    <t>Total General Plant Accumulated Depreciation</t>
  </si>
  <si>
    <t>Accumulated Depreciation &amp; Amortization - All</t>
  </si>
  <si>
    <t>Total Accum. Depreciation &amp; Amortization - All</t>
  </si>
  <si>
    <t>Net Plant in Service - All</t>
  </si>
  <si>
    <t>Total Net Plant in Service - All</t>
  </si>
  <si>
    <t xml:space="preserve">Check </t>
  </si>
  <si>
    <t>Rate Base Excl. Cash WC</t>
  </si>
  <si>
    <t>UNS GAS, INC.</t>
  </si>
  <si>
    <t>ALLOCATION OF FUNCTIONS</t>
  </si>
  <si>
    <t>INTERNAL WORKPAPER</t>
  </si>
  <si>
    <t xml:space="preserve"> OTHER</t>
  </si>
  <si>
    <t>DEVELOPMENT OF RATE BASE FUNCTION ALLOCATORS</t>
  </si>
  <si>
    <t xml:space="preserve">PLANT </t>
  </si>
  <si>
    <t>TRANSMISSION</t>
  </si>
  <si>
    <t>DISTROTHER</t>
  </si>
  <si>
    <t>DISTRMAIN</t>
  </si>
  <si>
    <t>Meas. &amp; Reg. Station Equip - General</t>
  </si>
  <si>
    <t>DISTRREGULATOR</t>
  </si>
  <si>
    <t>Meas. &amp; Reg. Station Equip - City Gate</t>
  </si>
  <si>
    <t>DISTSERVICES</t>
  </si>
  <si>
    <t>DISTMETERS</t>
  </si>
  <si>
    <t>DISTHOUSEREG</t>
  </si>
  <si>
    <t>DEVELOPMENT OF OPERATION &amp; MAINTENANCE EXPENSE FUNCTION ALLOCATORS</t>
  </si>
  <si>
    <t>OPERATION &amp; MAINTENANCE EXPENSE</t>
  </si>
  <si>
    <t>MAINS&amp;SERVICES</t>
  </si>
  <si>
    <t>METER&amp;HOUSEREG</t>
  </si>
  <si>
    <t>DIST Plant</t>
  </si>
  <si>
    <t>DISTR&amp;CUSTOMER</t>
  </si>
  <si>
    <t>DISTRMAINS</t>
  </si>
  <si>
    <t>METERREAD</t>
  </si>
  <si>
    <t>CUSTRECORDS</t>
  </si>
  <si>
    <t>CUSTOTHER</t>
  </si>
  <si>
    <t>Outside Services Employed</t>
  </si>
  <si>
    <t>Regulatory Commission Expense</t>
  </si>
  <si>
    <t>DISTRREGULATORS</t>
  </si>
  <si>
    <t>DISTRSERVICES</t>
  </si>
  <si>
    <t>DISTRMETERS</t>
  </si>
  <si>
    <t>DISTRHOUSEREG</t>
  </si>
  <si>
    <t>Customer Deposit Interest Expense</t>
  </si>
  <si>
    <t>ALLOCATION OF FUNCTIONS TO RESIDENTIAL</t>
  </si>
  <si>
    <t xml:space="preserve"> Residential</t>
  </si>
  <si>
    <t>Demand</t>
  </si>
  <si>
    <t>Commodity</t>
  </si>
  <si>
    <t>Customer</t>
  </si>
  <si>
    <t>Demand Check</t>
  </si>
  <si>
    <t>Commodity Check</t>
  </si>
  <si>
    <t>Customer Check</t>
  </si>
  <si>
    <t>RESIDENTIAL</t>
  </si>
  <si>
    <t>Industrial Only</t>
  </si>
  <si>
    <t>389 - 398</t>
  </si>
  <si>
    <t>Total Gross Plant Excluding Intangible and General Plant</t>
  </si>
  <si>
    <t>Total Gross Plant</t>
  </si>
  <si>
    <t>.</t>
  </si>
  <si>
    <t>General Plant AD</t>
  </si>
  <si>
    <t>Total Accumulated Depreciation</t>
  </si>
  <si>
    <t>O&amp;M</t>
  </si>
  <si>
    <t>Total Rate Base</t>
  </si>
  <si>
    <t>Purchased Gas Cost Expense</t>
  </si>
  <si>
    <t>920-928</t>
  </si>
  <si>
    <t>409 - 411</t>
  </si>
  <si>
    <t>TOTAL RESIDENTIAL FUNCTIONALIZED SUMMARY</t>
  </si>
  <si>
    <t>Total O&amp;M Expense Excluding Taxes</t>
  </si>
  <si>
    <t>Total O&amp;M Expense Including Taxes</t>
  </si>
  <si>
    <t>Proposed Rate of Return</t>
  </si>
  <si>
    <t>Return on Rate Base</t>
  </si>
  <si>
    <t>Income Tax Gross Up</t>
  </si>
  <si>
    <t>Total Proposed Revenue Requirement</t>
  </si>
  <si>
    <t>ALLOCATION OF FUNCTIONS TO SMALL VOLUME GENERAL SERVICE</t>
  </si>
  <si>
    <t>Small</t>
  </si>
  <si>
    <t>ALLOCATION OF FUNCTIONS TO LARGE VOLUME GENERAL SERVICE</t>
  </si>
  <si>
    <t xml:space="preserve">Total </t>
  </si>
  <si>
    <t>Large Non</t>
  </si>
  <si>
    <r>
      <rPr>
        <u/>
        <sz val="10"/>
        <color theme="1"/>
        <rFont val="Calibri"/>
        <family val="2"/>
        <scheme val="minor"/>
      </rPr>
      <t>Note:</t>
    </r>
    <r>
      <rPr>
        <sz val="10"/>
        <color theme="1"/>
        <rFont val="Calibri"/>
        <family val="2"/>
        <scheme val="minor"/>
      </rPr>
      <t xml:space="preserve"> Rate % adjustments in this tab flow to following tabs to adjust individual charges. </t>
    </r>
  </si>
  <si>
    <t>Effective date</t>
  </si>
  <si>
    <t>Final Revenue Requirement</t>
  </si>
  <si>
    <r>
      <rPr>
        <u/>
        <sz val="9"/>
        <color theme="1"/>
        <rFont val="Calibri"/>
        <family val="2"/>
        <scheme val="minor"/>
      </rPr>
      <t>Note:</t>
    </r>
    <r>
      <rPr>
        <sz val="9"/>
        <color theme="1"/>
        <rFont val="Calibri"/>
        <family val="2"/>
        <scheme val="minor"/>
      </rPr>
      <t xml:space="preserve"> This is where rate changes flow through to Proof of Revenue</t>
    </r>
  </si>
  <si>
    <t>Rates in those tabs flow to Proof of Revenue, H-4 Bill Impact and other</t>
  </si>
  <si>
    <t>Gross Revenue Increase</t>
  </si>
  <si>
    <t xml:space="preserve">and feed back to this file to balance the Revenue Requirement to revenues collected. </t>
  </si>
  <si>
    <t>Other Revenues</t>
  </si>
  <si>
    <t>Margin</t>
  </si>
  <si>
    <t>Direct Across the Board Increase</t>
  </si>
  <si>
    <t>Net Revenue Increase</t>
  </si>
  <si>
    <r>
      <rPr>
        <u/>
        <sz val="8"/>
        <color theme="1"/>
        <rFont val="Calibri"/>
        <family val="2"/>
        <scheme val="minor"/>
      </rPr>
      <t>Note:</t>
    </r>
    <r>
      <rPr>
        <sz val="8"/>
        <color theme="1"/>
        <rFont val="Calibri"/>
        <family val="2"/>
        <scheme val="minor"/>
      </rPr>
      <t xml:space="preserve"> For reference, not used after Direct Case</t>
    </r>
  </si>
  <si>
    <t>Proof of Revenue</t>
  </si>
  <si>
    <t>CCOSS</t>
  </si>
  <si>
    <t xml:space="preserve">Revenue from </t>
  </si>
  <si>
    <t>Margin Rev</t>
  </si>
  <si>
    <t>Class/System</t>
  </si>
  <si>
    <t xml:space="preserve">Proposed </t>
  </si>
  <si>
    <r>
      <rPr>
        <u/>
        <sz val="10"/>
        <color theme="1"/>
        <rFont val="Calibri"/>
        <family val="2"/>
        <scheme val="minor"/>
      </rPr>
      <t>Note:</t>
    </r>
    <r>
      <rPr>
        <sz val="10"/>
        <color theme="1"/>
        <rFont val="Calibri"/>
        <family val="2"/>
        <scheme val="minor"/>
      </rPr>
      <t xml:space="preserve"> Adjust rates &amp; charges here as % of current.</t>
    </r>
  </si>
  <si>
    <t>Average bill imapct</t>
  </si>
  <si>
    <t>Sales</t>
  </si>
  <si>
    <t>from Sales</t>
  </si>
  <si>
    <t>ROR</t>
  </si>
  <si>
    <t>Revenue</t>
  </si>
  <si>
    <t>Adjusted Therms</t>
  </si>
  <si>
    <t>$/therm</t>
  </si>
  <si>
    <t>Delivery</t>
  </si>
  <si>
    <t>$</t>
  </si>
  <si>
    <t>%</t>
  </si>
  <si>
    <t>ROO</t>
  </si>
  <si>
    <t>GRRES</t>
  </si>
  <si>
    <t>Small Non-Res Service</t>
  </si>
  <si>
    <t>GRRESC</t>
  </si>
  <si>
    <t>Large Non-Res Service</t>
  </si>
  <si>
    <t>Large</t>
  </si>
  <si>
    <t>GGSVS</t>
  </si>
  <si>
    <t>GILVS</t>
  </si>
  <si>
    <t>From RR Model:</t>
  </si>
  <si>
    <t>RR  Margin from Sales</t>
  </si>
  <si>
    <t>Revenue Requirement</t>
  </si>
  <si>
    <t>Difference</t>
  </si>
  <si>
    <t>Target</t>
  </si>
  <si>
    <t>State and Federal Tax</t>
  </si>
  <si>
    <t>Effective 5-1-2012</t>
  </si>
  <si>
    <t>Current Rates</t>
  </si>
  <si>
    <t>Income tax expense</t>
  </si>
  <si>
    <t>DELIVERY</t>
  </si>
  <si>
    <t>Operating income</t>
  </si>
  <si>
    <t>Proposed income tax expense net interest credits, etc.</t>
  </si>
  <si>
    <t>GGLVS</t>
  </si>
  <si>
    <t>GISVS</t>
  </si>
  <si>
    <t>GPSVS</t>
  </si>
  <si>
    <t>GPLVS</t>
  </si>
  <si>
    <t>GPCNGSV</t>
  </si>
  <si>
    <t>GRCNG</t>
  </si>
  <si>
    <t>GGIRS</t>
  </si>
  <si>
    <t>GTGLVS</t>
  </si>
  <si>
    <t>GTILVS</t>
  </si>
  <si>
    <t>GTPLVS</t>
  </si>
  <si>
    <t>GTNILVS</t>
  </si>
  <si>
    <t>GTNGLVS</t>
  </si>
  <si>
    <t>GCNGLVS</t>
  </si>
  <si>
    <t>GTCNGGLV</t>
  </si>
  <si>
    <t>GTGSVS</t>
  </si>
  <si>
    <t>Lookup</t>
  </si>
  <si>
    <t>Proposed</t>
  </si>
  <si>
    <t>BASIC_SERVICE_CHARGE</t>
  </si>
  <si>
    <t>THERM_DELIVERY_TIER1</t>
  </si>
  <si>
    <t>Line No.</t>
  </si>
  <si>
    <t>Rate Description</t>
  </si>
  <si>
    <t>Test Year 
Net Revenue</t>
  </si>
  <si>
    <t>Net Increase</t>
  </si>
  <si>
    <t>Proposed 
% Increase
 to Test Year</t>
  </si>
  <si>
    <t>Adjusted Test 
Year Revenue</t>
  </si>
  <si>
    <t>Proposed Dollar Increase</t>
  </si>
  <si>
    <t>Proposed % Increase
to Adjusted Test Year</t>
  </si>
  <si>
    <t>Proposed Net Revenue</t>
  </si>
  <si>
    <t>Class Summary</t>
  </si>
  <si>
    <t>Revenue Allocation</t>
  </si>
  <si>
    <t>Subtotal</t>
  </si>
  <si>
    <t>Supporting Schedules</t>
  </si>
  <si>
    <t>H-2-2</t>
  </si>
  <si>
    <t>Recap Schedules</t>
  </si>
  <si>
    <t>A-1</t>
  </si>
  <si>
    <t>Links</t>
  </si>
  <si>
    <t>Other Operating Revenues  - Revenue Requirement Model</t>
  </si>
  <si>
    <t>Check to other tabs</t>
  </si>
  <si>
    <t>Rev Req</t>
  </si>
  <si>
    <t>Small variance due to rounding</t>
  </si>
  <si>
    <t>TEST YEAR UNADJUSTED</t>
  </si>
  <si>
    <t>SALES ADJUSTMENTS</t>
  </si>
  <si>
    <t>TEST YEAR ADJUSTED</t>
  </si>
  <si>
    <t>PROPOSED</t>
  </si>
  <si>
    <t>Sub Account</t>
  </si>
  <si>
    <t>Test Year Basic Service Charges</t>
  </si>
  <si>
    <t>Test Year 
Sales (T)</t>
  </si>
  <si>
    <t>Average Per Service Charge</t>
  </si>
  <si>
    <t>T</t>
  </si>
  <si>
    <t>Basic Service Charges</t>
  </si>
  <si>
    <t>Adjusted 
Sales (T)</t>
  </si>
  <si>
    <t>Proposed 
Sales (T)</t>
  </si>
  <si>
    <t>Rate ID</t>
  </si>
  <si>
    <t>CHECK</t>
  </si>
  <si>
    <t>Check to Summary tab</t>
  </si>
  <si>
    <t>Test Year Revenue</t>
  </si>
  <si>
    <t>Revenue Adjustments</t>
  </si>
  <si>
    <t>Adjusted Test Year Revenue</t>
  </si>
  <si>
    <t>Proposed Revenues</t>
  </si>
  <si>
    <t>Proposed
Increase to Test 
Year Revenue</t>
  </si>
  <si>
    <t>Proposed 
Increase to 
Adjusted Revenue</t>
  </si>
  <si>
    <t>Margin Increase</t>
  </si>
  <si>
    <t>Margin ($)</t>
  </si>
  <si>
    <t>Current Effective Date</t>
  </si>
  <si>
    <t>Proposed Effective Date</t>
  </si>
  <si>
    <t>Current Lookup</t>
  </si>
  <si>
    <t>Proposed Lookup</t>
  </si>
  <si>
    <t>Rate Component lookup</t>
  </si>
  <si>
    <t>Rate Id</t>
  </si>
  <si>
    <t>Rate Description and UOM</t>
  </si>
  <si>
    <t>Proposed Rates</t>
  </si>
  <si>
    <t>Increase</t>
  </si>
  <si>
    <t>Basic Service Charge Per Month</t>
  </si>
  <si>
    <t>Basic Service Charge Per Month Adder, w/ LFCR</t>
  </si>
  <si>
    <t>Delivery Charge, per Therm</t>
  </si>
  <si>
    <t>PGA</t>
  </si>
  <si>
    <t>N/M</t>
  </si>
  <si>
    <t xml:space="preserve">TEST YEAR UNADJUSTED
</t>
  </si>
  <si>
    <t>Distribution Id</t>
  </si>
  <si>
    <t>Sales (T)</t>
  </si>
  <si>
    <t>Margin Revenues</t>
  </si>
  <si>
    <t>Total Margin Revenues from Sales</t>
  </si>
  <si>
    <t>Total Revenues from Sales</t>
  </si>
  <si>
    <t>Average Margin Rates</t>
  </si>
  <si>
    <t>Average $/T</t>
  </si>
  <si>
    <t>Total Company</t>
  </si>
  <si>
    <t>RATE ID</t>
  </si>
  <si>
    <t xml:space="preserve"> Unbilled</t>
  </si>
  <si>
    <t>Total Company Unbilled</t>
  </si>
  <si>
    <t>Subaccount</t>
  </si>
  <si>
    <t>Billing Determinants lookup Billed</t>
  </si>
  <si>
    <t>Billing Determinants Lookup Adjusted</t>
  </si>
  <si>
    <t>H5 Lookup Billed</t>
  </si>
  <si>
    <t>H5 Lookup Adjusted</t>
  </si>
  <si>
    <t>Summary lookup</t>
  </si>
  <si>
    <t>TY Billing Determinants</t>
  </si>
  <si>
    <t>TY Revenues</t>
  </si>
  <si>
    <t>Adjusted Billing Determinants</t>
  </si>
  <si>
    <t>Adjusted TY Revenues</t>
  </si>
  <si>
    <t>Proposed Billing Determinants</t>
  </si>
  <si>
    <t>Subtotal Delivery (Margin) Revenue</t>
  </si>
  <si>
    <t>Discounted Delivery</t>
  </si>
  <si>
    <t>MOVED TO GGSVS</t>
  </si>
  <si>
    <t>MOVED TO GILVS</t>
  </si>
  <si>
    <t>MOVED TO GRRES</t>
  </si>
  <si>
    <t>MOVED TO GTILVS</t>
  </si>
  <si>
    <t>MOVED TO GTNILVS</t>
  </si>
  <si>
    <t>Rates Lookup</t>
  </si>
  <si>
    <t>Schedule Lookup</t>
  </si>
  <si>
    <t>Billing Determinants Lookup</t>
  </si>
  <si>
    <t>Adjusted Billing Determinants lookup</t>
  </si>
  <si>
    <t>total_bill_count</t>
  </si>
  <si>
    <t>total_adjusted_bill_count</t>
  </si>
  <si>
    <t>LFCR_FIXED_UNSG</t>
  </si>
  <si>
    <t>total_billed_therms</t>
  </si>
  <si>
    <t>total_adjusted_therms</t>
  </si>
  <si>
    <t>Subtotal Fuel Revenues</t>
  </si>
  <si>
    <t>Fuel Revenues</t>
  </si>
  <si>
    <t>Delivery Charge, per Therm above 100</t>
  </si>
  <si>
    <t>DELIVERY_TIER2_SON</t>
  </si>
  <si>
    <t>CARES Therms 0 to 100</t>
  </si>
  <si>
    <t>Therms 0 to 100</t>
  </si>
  <si>
    <t>CARES Therms above 100</t>
  </si>
  <si>
    <t>Therms above 100</t>
  </si>
  <si>
    <t>LOOKUP_ID</t>
  </si>
  <si>
    <t>EFFECTIVE_DATE</t>
  </si>
  <si>
    <t>MAIN_ACCOUNT</t>
  </si>
  <si>
    <t>SUB_ACCOUNT</t>
  </si>
  <si>
    <t>RS_CD</t>
  </si>
  <si>
    <t>RV_CHANGE_IND</t>
  </si>
  <si>
    <t>SUMMER_START</t>
  </si>
  <si>
    <t>SUMMER_END</t>
  </si>
  <si>
    <t>WINTER_START</t>
  </si>
  <si>
    <t>WINTER_END</t>
  </si>
  <si>
    <t>THREE_PHASE_ADDER</t>
  </si>
  <si>
    <t>LFCR_FIXED_0_2000</t>
  </si>
  <si>
    <t>LFCR_FIXED_OVER_2000</t>
  </si>
  <si>
    <t>DG_METER_CHARGE</t>
  </si>
  <si>
    <t>DEMAND_OFF_PERC</t>
  </si>
  <si>
    <t>DEMAND_OFFXS_PERC</t>
  </si>
  <si>
    <t>DEMAND_MIN</t>
  </si>
  <si>
    <t>DEMAND_RATCHET</t>
  </si>
  <si>
    <t>RATCHET_BASIS</t>
  </si>
  <si>
    <t>DEMAND_TOU_IND</t>
  </si>
  <si>
    <t>DEMAND_SEAS_IND</t>
  </si>
  <si>
    <t>DEMAND_TIER1_END</t>
  </si>
  <si>
    <t>DEMAND_TIER1_SON</t>
  </si>
  <si>
    <t>DEMAND_TIER1_SOFF</t>
  </si>
  <si>
    <t>DEMAND_TIER1_WON</t>
  </si>
  <si>
    <t>DEMAND_TIER1_WOFF</t>
  </si>
  <si>
    <t>DEMAND_TIER2_SON</t>
  </si>
  <si>
    <t>DEMAND_TIER2_SOFF</t>
  </si>
  <si>
    <t>DEMAND_TIER2_WON</t>
  </si>
  <si>
    <t>DEMAND_TIER2_WOFF</t>
  </si>
  <si>
    <t>DEMAND_PRIMARY_DISCOUNT</t>
  </si>
  <si>
    <t>DEMAND_PRIMARY_DISCOUNT_UOM</t>
  </si>
  <si>
    <t>PF_ADJ_IND</t>
  </si>
  <si>
    <t>DELIVERY_TOU_IND</t>
  </si>
  <si>
    <t>DELIVERY_SEAS_IND</t>
  </si>
  <si>
    <t>DELIVERY_TIER1_END</t>
  </si>
  <si>
    <t>DELIVERY_TIER2_END</t>
  </si>
  <si>
    <t>DELIVERY_TIER3_END</t>
  </si>
  <si>
    <t>DELIVERY_TIER1_SON</t>
  </si>
  <si>
    <t>DELIVERY_TIER1_SSHL</t>
  </si>
  <si>
    <t>DELIVERY_TIER1_SOFF</t>
  </si>
  <si>
    <t>DISCOUNTED_DELIVERY_TIER1_W</t>
  </si>
  <si>
    <t>DELIVERY_TIER1_RON</t>
  </si>
  <si>
    <t>DELIVERY_TIER1_RSHL</t>
  </si>
  <si>
    <t>DELIVERY_TIER1_ROFF</t>
  </si>
  <si>
    <t>DELIVERY_TIER1_WON</t>
  </si>
  <si>
    <t>DELIVERY_TIER1_WOFF</t>
  </si>
  <si>
    <t>DELIVERY_TIER2_SSHL</t>
  </si>
  <si>
    <t>DELIVERY_TIER2_SOFF</t>
  </si>
  <si>
    <t>DELIVERY_TIER2_RON</t>
  </si>
  <si>
    <t>DELIVERY_TIER2_RSHL</t>
  </si>
  <si>
    <t>DELIVERY_TIER2_ROFF</t>
  </si>
  <si>
    <t>DELIVERY_TIER2_WON</t>
  </si>
  <si>
    <t>DELIVERY_TIER2_WOFF</t>
  </si>
  <si>
    <t>DELIVERY_TIER3_SON</t>
  </si>
  <si>
    <t>DELIVERY_TIER3_SSHL</t>
  </si>
  <si>
    <t>DELIVERY_TIER3_SOFF</t>
  </si>
  <si>
    <t>DELIVERY_TIER3_RON</t>
  </si>
  <si>
    <t>DELIVERY_TIER3_RSHL</t>
  </si>
  <si>
    <t>DELIVERY_TIER3_ROFF</t>
  </si>
  <si>
    <t>DELIVERY_TIER3_WON</t>
  </si>
  <si>
    <t>DELIVERY_TIER3_WOFF</t>
  </si>
  <si>
    <t>DELIVERY_TIER4_SON</t>
  </si>
  <si>
    <t>DELIVERY_TIER4_SSHL</t>
  </si>
  <si>
    <t>DELIVERY_TIER4_SOFF</t>
  </si>
  <si>
    <t>DELIVERY_TIER4_RON</t>
  </si>
  <si>
    <t>DELIVERY_TIER4_RSHL</t>
  </si>
  <si>
    <t>DELIVERY_TIER4_ROFF</t>
  </si>
  <si>
    <t>DELIVERY_TIER4_WON</t>
  </si>
  <si>
    <t>DELIVERY_TIER4_WOFF</t>
  </si>
  <si>
    <t>BP_TOU_IND</t>
  </si>
  <si>
    <t>BP_SEAS_IND</t>
  </si>
  <si>
    <t>BP_SON</t>
  </si>
  <si>
    <t>BP_SSHL</t>
  </si>
  <si>
    <t>BP_SOFF</t>
  </si>
  <si>
    <t>BP_RON</t>
  </si>
  <si>
    <t>BP_RSHL</t>
  </si>
  <si>
    <t>BP_ROFF</t>
  </si>
  <si>
    <t>BP_WON</t>
  </si>
  <si>
    <t>BP_WOFF</t>
  </si>
  <si>
    <t>TCA_UOM</t>
  </si>
  <si>
    <t>CARES_TIER1_END</t>
  </si>
  <si>
    <t>CARES_TIER2_END</t>
  </si>
  <si>
    <t>CARES_TIER3_END</t>
  </si>
  <si>
    <t>CARES_TIER4_END</t>
  </si>
  <si>
    <t>CARES_TIER1_DISCOUNT</t>
  </si>
  <si>
    <t>CARES_TIER2_DISCOUNT</t>
  </si>
  <si>
    <t>CARES_TIER3_DISCOUNT</t>
  </si>
  <si>
    <t>CARES_TIER4_DISCOUNT</t>
  </si>
  <si>
    <t>CARES_TIER5_DISCOUNT</t>
  </si>
  <si>
    <t>EV_DISCOUNT</t>
  </si>
  <si>
    <t>TRANSITIONAL_ADJ</t>
  </si>
  <si>
    <t>WP_PRIMARY_DISCOUNT</t>
  </si>
  <si>
    <t>FORTIS_CLASS</t>
  </si>
  <si>
    <t>REST_CLASS</t>
  </si>
  <si>
    <t>DSM_CLASS</t>
  </si>
  <si>
    <t>SERVICE_TYPE</t>
  </si>
  <si>
    <t>RUCO_IND</t>
  </si>
  <si>
    <t>ECA_IND</t>
  </si>
  <si>
    <t>LFCR_IND</t>
  </si>
  <si>
    <t>TRANSPORTATIONCITYD_IND</t>
  </si>
  <si>
    <t>COMPRESSEDNATGAS_IND</t>
  </si>
  <si>
    <t>TAC_IND</t>
  </si>
  <si>
    <t>41030GGSVS</t>
  </si>
  <si>
    <t>UNSG</t>
  </si>
  <si>
    <t>40010</t>
  </si>
  <si>
    <t>5753</t>
  </si>
  <si>
    <t>Small Volume Commercial Service</t>
  </si>
  <si>
    <t>N</t>
  </si>
  <si>
    <t>NONE</t>
  </si>
  <si>
    <t>COM</t>
  </si>
  <si>
    <t>NONRES</t>
  </si>
  <si>
    <t>FULL</t>
  </si>
  <si>
    <t>Y</t>
  </si>
  <si>
    <t>41030GGLVS</t>
  </si>
  <si>
    <t>5754</t>
  </si>
  <si>
    <t>Large Volume Commercial Service</t>
  </si>
  <si>
    <t>41030GPCNGSV</t>
  </si>
  <si>
    <t>5763</t>
  </si>
  <si>
    <t>Compressed Natural Gas-Public Auth</t>
  </si>
  <si>
    <t>41030GRCNG</t>
  </si>
  <si>
    <t>40000</t>
  </si>
  <si>
    <t>Compressed Natural Gas-Residential Service</t>
  </si>
  <si>
    <t>RES</t>
  </si>
  <si>
    <t>41030GCNGLVS</t>
  </si>
  <si>
    <t>Compressed Natural Gas-Large Volume Service</t>
  </si>
  <si>
    <t>IND</t>
  </si>
  <si>
    <t>41030GTCNGGLV</t>
  </si>
  <si>
    <t>40290</t>
  </si>
  <si>
    <t>5756</t>
  </si>
  <si>
    <t>Transportation Compressed Natural Gas-Large Volume Service</t>
  </si>
  <si>
    <t>TIND</t>
  </si>
  <si>
    <t>41030GISVS</t>
  </si>
  <si>
    <t>40020</t>
  </si>
  <si>
    <t>5758</t>
  </si>
  <si>
    <t>Small Volume Industrial Service</t>
  </si>
  <si>
    <t>41030GILVS</t>
  </si>
  <si>
    <t>5759</t>
  </si>
  <si>
    <t>Large Volume Industrial Service</t>
  </si>
  <si>
    <t>41030GGIRS</t>
  </si>
  <si>
    <t>5755</t>
  </si>
  <si>
    <t>Irrigation Service</t>
  </si>
  <si>
    <t>41030GPSVS</t>
  </si>
  <si>
    <t>40050</t>
  </si>
  <si>
    <t>5765</t>
  </si>
  <si>
    <t>Small Volume Public Authority Service</t>
  </si>
  <si>
    <t>41030GPLVS</t>
  </si>
  <si>
    <t>5766</t>
  </si>
  <si>
    <t>Large Volume Public Authority Service</t>
  </si>
  <si>
    <t>41030GRRES</t>
  </si>
  <si>
    <t>5751</t>
  </si>
  <si>
    <t>Residential Gas Service</t>
  </si>
  <si>
    <t>41030GRRESC</t>
  </si>
  <si>
    <t>5752</t>
  </si>
  <si>
    <t>Residential CARES Gas Service</t>
  </si>
  <si>
    <t>EXEMPT</t>
  </si>
  <si>
    <t>41030GTGLVS</t>
  </si>
  <si>
    <t>Transportation LV Large Commercial</t>
  </si>
  <si>
    <t>41030GTGSVS</t>
  </si>
  <si>
    <t>Transportation Competitive Gas Sales</t>
  </si>
  <si>
    <t>TCOM</t>
  </si>
  <si>
    <t>41030GTILVS</t>
  </si>
  <si>
    <t>Transportation LV Industrial</t>
  </si>
  <si>
    <t>41030GTPLVS</t>
  </si>
  <si>
    <t>Transportation LV Public Authority</t>
  </si>
  <si>
    <t>41030GTNILVS</t>
  </si>
  <si>
    <t>Transportation NSP LV Industrial</t>
  </si>
  <si>
    <t>41030GTNGLVS</t>
  </si>
  <si>
    <t>Transportation NSP LV General Service</t>
  </si>
  <si>
    <t>Current</t>
  </si>
  <si>
    <t>Service Transfer Fee</t>
  </si>
  <si>
    <t>Customer-Requested Meter Re-read</t>
  </si>
  <si>
    <t>Special Meter Reading Fee (including Customer Self-Reads)</t>
  </si>
  <si>
    <t>Service Establishment, Reestablishment or Reconnection of Service or Reconnection of Service under usual operating procedures During Regular Business Hours</t>
  </si>
  <si>
    <t>Service Establishment, Reestablishment or Reconnection of Service under usual operating procedures After Regular Business Hours (includes Saturdays, Sundays and Holidays)</t>
  </si>
  <si>
    <t>Service Reestablishment under other than usual operating procedures</t>
  </si>
  <si>
    <t>Meter Test</t>
  </si>
  <si>
    <t>Consumption History Request and Interval History Request</t>
  </si>
  <si>
    <t>Returned Payment Fee</t>
  </si>
  <si>
    <t>Late Payment Finance Charge</t>
  </si>
  <si>
    <t>Rider R-1 -- Purchased Gas Adjustment</t>
  </si>
  <si>
    <t>Rider R-2 -- CEM</t>
  </si>
  <si>
    <t>Rider R-6 -- Lost Fixed Cost Recovery</t>
  </si>
  <si>
    <t>Rider R-8 System Improvement Beneft</t>
  </si>
  <si>
    <t>PGA Revenue Requirement</t>
  </si>
  <si>
    <t>PGA Therms</t>
  </si>
  <si>
    <t>Current PGA</t>
  </si>
  <si>
    <t>Total Gas Costs</t>
  </si>
  <si>
    <t>Total CARES Therms</t>
  </si>
  <si>
    <t>CARES Rev Req</t>
  </si>
  <si>
    <t>CARES PGA %</t>
  </si>
  <si>
    <t>CARES Discounted PGA</t>
  </si>
  <si>
    <t>CARES Fixed Credit</t>
  </si>
  <si>
    <t>Total CARES</t>
  </si>
  <si>
    <t>TOTAL REV REQ</t>
  </si>
  <si>
    <t>SUB ACCOUNT</t>
  </si>
  <si>
    <t>Residential Gas Service - GRRES</t>
  </si>
  <si>
    <t>ANNUAL</t>
  </si>
  <si>
    <t>BILL IMPACTS CURRENT RATES</t>
  </si>
  <si>
    <t>Rate Component Lookup</t>
  </si>
  <si>
    <t>Therms</t>
  </si>
  <si>
    <t>Basic Service Charge per month</t>
  </si>
  <si>
    <t>Delivery Charge</t>
  </si>
  <si>
    <t>TCJA</t>
  </si>
  <si>
    <t>Net Bill</t>
  </si>
  <si>
    <t>LFCR</t>
  </si>
  <si>
    <t>Total Bill</t>
  </si>
  <si>
    <t>Medium</t>
  </si>
  <si>
    <t>TCJA/TEAM</t>
  </si>
  <si>
    <t>XLg</t>
  </si>
  <si>
    <t>AnnAvg</t>
  </si>
  <si>
    <t>CEM</t>
  </si>
  <si>
    <t>SIB</t>
  </si>
  <si>
    <t>BILL IMPACTS PROPOSED RATES</t>
  </si>
  <si>
    <t>TEAM</t>
  </si>
  <si>
    <t>$ Change</t>
  </si>
  <si>
    <t>% Change</t>
  </si>
  <si>
    <t>JANUARY</t>
  </si>
  <si>
    <t>Avg</t>
  </si>
  <si>
    <t>JULY</t>
  </si>
  <si>
    <t>Residential CARES Gas Service - GRRESC</t>
  </si>
  <si>
    <t>Proposed Rate ID</t>
  </si>
  <si>
    <t>Delivery Charge, over 100</t>
  </si>
  <si>
    <t>Delivery Charge, per Therm first 100 winter</t>
  </si>
  <si>
    <t>PGA CARES Fixed Discount</t>
  </si>
  <si>
    <t>January</t>
  </si>
  <si>
    <t>July</t>
  </si>
  <si>
    <t>SRB</t>
  </si>
  <si>
    <t>Compressed Natural Gas-Residential Service - GRCNG</t>
  </si>
  <si>
    <t>Small Volume Commercial Service - GGSVS</t>
  </si>
  <si>
    <t>Small Volume Industrial Service - GISVS</t>
  </si>
  <si>
    <t>Small Volume Public Authority Service - GPSVS</t>
  </si>
  <si>
    <t>Irrigation Service - GGIRS</t>
  </si>
  <si>
    <t>Compressed Natural Gas-Public Auth - GPCNGSV</t>
  </si>
  <si>
    <t>Large Volume Commercial Service - GGLVS</t>
  </si>
  <si>
    <t>Large Volume Industrial Service - GILVS</t>
  </si>
  <si>
    <t>Large Volume Public Authority Service - GPLVS</t>
  </si>
  <si>
    <t>Transportation LV Industrial - GTILVS</t>
  </si>
  <si>
    <t>Transportation LV Industrial NSP- GTNILVS</t>
  </si>
  <si>
    <t>Revenue Proof</t>
  </si>
  <si>
    <t>Rate Id:</t>
  </si>
  <si>
    <t>Total Bills</t>
  </si>
  <si>
    <t>Sub Account:</t>
  </si>
  <si>
    <t>Total Therms</t>
  </si>
  <si>
    <t>Usage Range - Therms</t>
  </si>
  <si>
    <t>Lower</t>
  </si>
  <si>
    <t>Upper</t>
  </si>
  <si>
    <t>billed_therms</t>
  </si>
  <si>
    <t>bill_count</t>
  </si>
  <si>
    <t>Cumulative_Bills</t>
  </si>
  <si>
    <t>Cumulative_Therms</t>
  </si>
  <si>
    <t>percent_total_bills</t>
  </si>
  <si>
    <t>percent_total_therms</t>
  </si>
  <si>
    <t>Average Monthly Customers</t>
  </si>
  <si>
    <t>Average Monthly Therm per Customer</t>
  </si>
  <si>
    <t>Median therms per Customer</t>
  </si>
  <si>
    <t>Average Annual Therm per Customer</t>
  </si>
  <si>
    <t>Rate</t>
  </si>
  <si>
    <t>CEM_CLASS</t>
  </si>
  <si>
    <t>res</t>
  </si>
  <si>
    <t>svs</t>
  </si>
  <si>
    <t>lvs</t>
  </si>
  <si>
    <t>Final</t>
  </si>
  <si>
    <t>TCJA / LFCR</t>
  </si>
  <si>
    <t>Cares Discount</t>
  </si>
  <si>
    <t>Miscellaneous Service Fee Revenues</t>
  </si>
  <si>
    <t>Adjustment</t>
  </si>
  <si>
    <t>TY Margin for non Transport</t>
  </si>
  <si>
    <t xml:space="preserve"> TY Margin for Transport</t>
  </si>
  <si>
    <t>Unadjusted TY Transport</t>
  </si>
  <si>
    <t>Golden Valley Pipeline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</si>
</sst>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  <numFmt numFmtId="166" formatCode="&quot;$&quot;#,##0.000000"/>
    <numFmt numFmtId="167" formatCode="_(* #,##0_);_(* \(#,##0\);_(* &quot;-&quot;??_);_(@_)"/>
    <numFmt numFmtId="168" formatCode="mmm\-d"/>
    <numFmt numFmtId="169" formatCode="#,##0.0_);\(#,##0.0\)"/>
    <numFmt numFmtId="170" formatCode="_(* #,##0.0000_);_(* \(#,##0.0000\);_(* &quot;-&quot;??_);_(@_)"/>
    <numFmt numFmtId="171" formatCode="0.0%;[Red]\(0.0%\)"/>
    <numFmt numFmtId="172" formatCode="0%;[Red]\(0%\)"/>
    <numFmt numFmtId="173" formatCode="0.0%;\(0.0%\)"/>
    <numFmt numFmtId="174" formatCode="0.000\ \¢"/>
    <numFmt numFmtId="175" formatCode="#,##0.0000"/>
    <numFmt numFmtId="176" formatCode="0.00_)"/>
    <numFmt numFmtId="177" formatCode="&quot;$&quot;* #,##0_);[Red]&quot;$&quot;\ \ \ \ \ \(\ #,##0\)"/>
    <numFmt numFmtId="178" formatCode="#,##0.00;[Red]\(#,##0.00\)"/>
    <numFmt numFmtId="179" formatCode="mmmm\ d\,\ yyyy"/>
    <numFmt numFmtId="180" formatCode="0%;\(0%\)"/>
    <numFmt numFmtId="181" formatCode="0.0%"/>
    <numFmt numFmtId="182" formatCode="&quot;   &quot;@"/>
    <numFmt numFmtId="183" formatCode="_(* #,##0_);_(* \(#,##0\);_(* &quot;-&quot;_)"/>
    <numFmt numFmtId="184" formatCode="&quot;$&quot;#,##0.0000"/>
    <numFmt numFmtId="185" formatCode="#,##0.00000_);\(#,##0.00000\)"/>
    <numFmt numFmtId="186" formatCode="0.0000%"/>
    <numFmt numFmtId="187" formatCode="&quot;$&quot;#,##0.00000_);\(&quot;$&quot;#,##0.00000\)"/>
    <numFmt numFmtId="188" formatCode="&quot;$&quot;#,##0.00000"/>
    <numFmt numFmtId="189" formatCode="_(* #,##0.00000_);_(* \(#,##0.00000\);_(* &quot;-&quot;??_);_(@_)"/>
    <numFmt numFmtId="190" formatCode="_(* #,##0.000_);_(* \(#,##0.000\);_(* &quot;-&quot;??_);_(@_)"/>
    <numFmt numFmtId="191" formatCode="0.0000"/>
    <numFmt numFmtId="192" formatCode="0.000000"/>
    <numFmt numFmtId="193" formatCode="_(&quot;$&quot;* #,##0_);_(&quot;$&quot;* \(#,##0\);_(&quot;$&quot;* &quot;-&quot;??_);_(@_)"/>
    <numFmt numFmtId="194" formatCode="0.00000%"/>
    <numFmt numFmtId="195" formatCode="#,##0.0000_);\(#,##0.0000\)"/>
    <numFmt numFmtId="196" formatCode="&quot;$&quot;#,##0.00000_);[Red]\(&quot;$&quot;#,##0.00000\)"/>
    <numFmt numFmtId="197" formatCode="&quot;$&quot;#,##0.000000_);[Red]\(&quot;$&quot;#,##0.000000\)"/>
    <numFmt numFmtId="198" formatCode="_(&quot;$&quot;* #,##0.0000_);_(&quot;$&quot;* \(#,##0.0000\);_(&quot;$&quot;* &quot;-&quot;??_);_(@_)"/>
    <numFmt numFmtId="199" formatCode="#,##0.0000000_);\(#,##0.0000000\)"/>
    <numFmt numFmtId="200" formatCode="0.000%"/>
    <numFmt numFmtId="201" formatCode="_(* #,##0.00000000_);_(* \(#,##0.00000000\);_(* &quot;-&quot;??_);_(@_)"/>
    <numFmt numFmtId="202" formatCode="_(* #,##0.000000000_);_(* \(#,##0.000000000\);_(* &quot;-&quot;??_);_(@_)"/>
  </numFmts>
  <fonts count="1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"/>
      <color theme="1"/>
      <name val="Calibri"/>
      <family val="2"/>
      <scheme val="minor"/>
    </font>
    <font>
      <sz val="8"/>
      <color indexed="8"/>
      <name val="Arial"/>
      <family val="2"/>
    </font>
    <font>
      <sz val="11"/>
      <color indexed="9"/>
      <name val="Calibri"/>
      <family val="2"/>
    </font>
    <font>
      <sz val="8"/>
      <color indexed="9"/>
      <name val="Arial"/>
      <family val="2"/>
    </font>
    <font>
      <sz val="11"/>
      <color indexed="20"/>
      <name val="Calibri"/>
      <family val="2"/>
    </font>
    <font>
      <sz val="8"/>
      <color indexed="20"/>
      <name val="Arial"/>
      <family val="2"/>
    </font>
    <font>
      <sz val="10"/>
      <name val="Helv"/>
    </font>
    <font>
      <b/>
      <sz val="11"/>
      <color indexed="52"/>
      <name val="Calibri"/>
      <family val="2"/>
    </font>
    <font>
      <b/>
      <sz val="8"/>
      <color indexed="52"/>
      <name val="Arial"/>
      <family val="2"/>
    </font>
    <font>
      <b/>
      <sz val="11"/>
      <color indexed="9"/>
      <name val="Calibri"/>
      <family val="2"/>
    </font>
    <font>
      <b/>
      <sz val="8"/>
      <color indexed="9"/>
      <name val="Arial"/>
      <family val="2"/>
    </font>
    <font>
      <b/>
      <sz val="10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sz val="10"/>
      <name val="MS Sans Serif"/>
      <family val="2"/>
    </font>
    <font>
      <sz val="10"/>
      <color indexed="8"/>
      <name val="Arial"/>
      <family val="2"/>
    </font>
    <font>
      <sz val="8"/>
      <name val="Times New Roman"/>
      <family val="1"/>
    </font>
    <font>
      <b/>
      <sz val="8"/>
      <name val="Arial Narrow"/>
      <family val="2"/>
    </font>
    <font>
      <i/>
      <sz val="11"/>
      <color indexed="23"/>
      <name val="Calibri"/>
      <family val="2"/>
    </font>
    <font>
      <i/>
      <sz val="8"/>
      <color indexed="23"/>
      <name val="Arial"/>
      <family val="2"/>
    </font>
    <font>
      <sz val="8"/>
      <name val="Helv"/>
    </font>
    <font>
      <sz val="11"/>
      <color indexed="17"/>
      <name val="Calibri"/>
      <family val="2"/>
    </font>
    <font>
      <sz val="8"/>
      <color indexed="17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indexed="62"/>
      <name val="Arial"/>
      <family val="2"/>
    </font>
    <font>
      <b/>
      <sz val="13"/>
      <color indexed="56"/>
      <name val="Calibri"/>
      <family val="2"/>
    </font>
    <font>
      <b/>
      <sz val="13"/>
      <color indexed="62"/>
      <name val="Arial"/>
      <family val="2"/>
    </font>
    <font>
      <b/>
      <sz val="11"/>
      <color indexed="56"/>
      <name val="Calibri"/>
      <family val="2"/>
    </font>
    <font>
      <b/>
      <sz val="11"/>
      <color indexed="62"/>
      <name val="Arial"/>
      <family val="2"/>
    </font>
    <font>
      <sz val="11"/>
      <color indexed="62"/>
      <name val="Calibri"/>
      <family val="2"/>
    </font>
    <font>
      <sz val="8"/>
      <color indexed="62"/>
      <name val="Arial"/>
      <family val="2"/>
    </font>
    <font>
      <b/>
      <sz val="10"/>
      <color indexed="8"/>
      <name val="Arial"/>
      <family val="2"/>
    </font>
    <font>
      <sz val="11"/>
      <color indexed="52"/>
      <name val="Calibri"/>
      <family val="2"/>
    </font>
    <font>
      <sz val="8"/>
      <color indexed="52"/>
      <name val="Arial"/>
      <family val="2"/>
    </font>
    <font>
      <sz val="11"/>
      <color indexed="60"/>
      <name val="Calibri"/>
      <family val="2"/>
    </font>
    <font>
      <sz val="8"/>
      <color indexed="60"/>
      <name val="Arial"/>
      <family val="2"/>
    </font>
    <font>
      <sz val="10"/>
      <name val="Courier 17cpi"/>
    </font>
    <font>
      <b/>
      <i/>
      <sz val="16"/>
      <name val="Helv"/>
    </font>
    <font>
      <sz val="10"/>
      <color indexed="8"/>
      <name val="MS Sans Serif"/>
      <family val="2"/>
    </font>
    <font>
      <sz val="10"/>
      <name val="Tahoma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sz val="11"/>
      <name val="Arial"/>
      <family val="2"/>
    </font>
    <font>
      <b/>
      <sz val="11"/>
      <color indexed="63"/>
      <name val="Calibri"/>
      <family val="2"/>
    </font>
    <font>
      <b/>
      <sz val="8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i/>
      <sz val="10"/>
      <color indexed="8"/>
      <name val="Arial"/>
      <family val="2"/>
    </font>
    <font>
      <b/>
      <sz val="11"/>
      <color indexed="16"/>
      <name val="Times New Roman"/>
      <family val="1"/>
    </font>
    <font>
      <b/>
      <sz val="10"/>
      <color indexed="17"/>
      <name val="Arial"/>
      <family val="2"/>
    </font>
    <font>
      <b/>
      <sz val="11"/>
      <color indexed="21"/>
      <name val="Arial"/>
      <family val="2"/>
    </font>
    <font>
      <b/>
      <sz val="22"/>
      <color indexed="8"/>
      <name val="Times New Roman"/>
      <family val="1"/>
    </font>
    <font>
      <b/>
      <sz val="10"/>
      <color indexed="13"/>
      <name val="Arial"/>
      <family val="2"/>
    </font>
    <font>
      <b/>
      <sz val="22"/>
      <color indexed="21"/>
      <name val="Times New Roman"/>
      <family val="1"/>
    </font>
    <font>
      <sz val="10"/>
      <color theme="1"/>
      <name val="Times New Roman"/>
      <family val="2"/>
    </font>
    <font>
      <b/>
      <sz val="12"/>
      <color indexed="8"/>
      <name val="Arial"/>
      <family val="2"/>
    </font>
    <font>
      <sz val="8"/>
      <color indexed="12"/>
      <name val="Arial"/>
      <family val="2"/>
    </font>
    <font>
      <sz val="7"/>
      <name val="Small Fonts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8"/>
      <color indexed="8"/>
      <name val="Wingdings"/>
      <charset val="2"/>
    </font>
    <font>
      <sz val="11"/>
      <color indexed="10"/>
      <name val="Calibri"/>
      <family val="2"/>
    </font>
    <font>
      <sz val="8"/>
      <color indexed="10"/>
      <name val="Arial"/>
      <family val="2"/>
    </font>
    <font>
      <sz val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8"/>
      <name val="Calibri"/>
      <family val="2"/>
      <scheme val="minor"/>
    </font>
    <font>
      <u/>
      <sz val="8"/>
      <name val="Calibri"/>
      <family val="2"/>
      <scheme val="minor"/>
    </font>
    <font>
      <b/>
      <sz val="8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sz val="8"/>
      <color rgb="FF0000FF"/>
      <name val="Calibri"/>
      <family val="2"/>
      <scheme val="minor"/>
    </font>
    <font>
      <sz val="10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1"/>
      <color rgb="FF0066FF"/>
      <name val="Calibri"/>
      <family val="2"/>
      <scheme val="minor"/>
    </font>
    <font>
      <sz val="7"/>
      <name val="Small Fonts"/>
    </font>
    <font>
      <sz val="10"/>
      <color rgb="FF0000CC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1"/>
      <color theme="1"/>
      <name val="Arial Narrow"/>
      <family val="2"/>
    </font>
    <font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Calibri"/>
      <family val="2"/>
      <scheme val="minor"/>
    </font>
    <font>
      <b/>
      <sz val="8"/>
      <name val="Arial"/>
      <family val="2"/>
    </font>
    <font>
      <b/>
      <u/>
      <sz val="8"/>
      <name val="Arial"/>
      <family val="2"/>
    </font>
    <font>
      <b/>
      <sz val="8"/>
      <color indexed="12"/>
      <name val="Arial"/>
      <family val="2"/>
    </font>
    <font>
      <b/>
      <strike/>
      <sz val="8"/>
      <name val="Arial"/>
      <family val="2"/>
    </font>
    <font>
      <strike/>
      <sz val="8"/>
      <name val="Arial"/>
      <family val="2"/>
    </font>
    <font>
      <b/>
      <sz val="8"/>
      <color indexed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sz val="12"/>
      <color rgb="FF0000FF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2"/>
      <color theme="1"/>
      <name val="Calibri"/>
      <family val="2"/>
      <scheme val="minor"/>
    </font>
    <font>
      <b/>
      <sz val="12"/>
      <color rgb="FF0033CC"/>
      <name val="Arial"/>
      <family val="2"/>
    </font>
    <font>
      <b/>
      <sz val="10"/>
      <name val="Arial"/>
      <family val="2"/>
    </font>
    <font>
      <sz val="8"/>
      <color rgb="FFFFFF00"/>
      <name val="Arial"/>
      <family val="2"/>
    </font>
    <font>
      <b/>
      <sz val="12"/>
      <color theme="0"/>
      <name val="Arial"/>
      <family val="2"/>
    </font>
    <font>
      <sz val="9"/>
      <name val="Calibri"/>
      <family val="2"/>
    </font>
    <font>
      <sz val="8"/>
      <color indexed="8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7"/>
      <name val="Calibri"/>
      <family val="2"/>
    </font>
    <font>
      <b/>
      <sz val="8"/>
      <name val="Calibri"/>
      <family val="2"/>
    </font>
  </fonts>
  <fills count="4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2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26"/>
        <bgColor indexed="64"/>
      </patternFill>
    </fill>
    <fill>
      <patternFill patternType="solid">
        <fgColor indexed="17"/>
      </patternFill>
    </fill>
    <fill>
      <patternFill patternType="solid">
        <fgColor indexed="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5620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0" fontId="4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7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7" fillId="3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2" borderId="0" applyNumberFormat="0" applyBorder="0" applyAlignment="0" applyProtection="0"/>
    <xf numFmtId="0" fontId="7" fillId="3" borderId="0" applyNumberFormat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2" borderId="0" applyNumberFormat="0" applyBorder="0" applyAlignment="0" applyProtection="0"/>
    <xf numFmtId="0" fontId="7" fillId="3" borderId="0" applyNumberFormat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7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7" fillId="5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4" borderId="0" applyNumberFormat="0" applyBorder="0" applyAlignment="0" applyProtection="0"/>
    <xf numFmtId="0" fontId="7" fillId="5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4" borderId="0" applyNumberFormat="0" applyBorder="0" applyAlignment="0" applyProtection="0"/>
    <xf numFmtId="0" fontId="7" fillId="5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7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7" fillId="7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6" fillId="7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6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6" fillId="7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6" fillId="7" borderId="0" applyNumberFormat="0" applyBorder="0" applyAlignment="0" applyProtection="0"/>
    <xf numFmtId="0" fontId="5" fillId="6" borderId="0" applyNumberFormat="0" applyBorder="0" applyAlignment="0" applyProtection="0"/>
    <xf numFmtId="0" fontId="7" fillId="7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6" fillId="7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6" fillId="7" borderId="0" applyNumberFormat="0" applyBorder="0" applyAlignment="0" applyProtection="0"/>
    <xf numFmtId="0" fontId="5" fillId="6" borderId="0" applyNumberFormat="0" applyBorder="0" applyAlignment="0" applyProtection="0"/>
    <xf numFmtId="0" fontId="7" fillId="7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7" fillId="3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7" fillId="3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3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8" borderId="0" applyNumberFormat="0" applyBorder="0" applyAlignment="0" applyProtection="0"/>
    <xf numFmtId="0" fontId="7" fillId="3" borderId="0" applyNumberFormat="0" applyBorder="0" applyAlignment="0" applyProtection="0"/>
    <xf numFmtId="0" fontId="6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8" borderId="0" applyNumberFormat="0" applyBorder="0" applyAlignment="0" applyProtection="0"/>
    <xf numFmtId="0" fontId="7" fillId="3" borderId="0" applyNumberFormat="0" applyBorder="0" applyAlignment="0" applyProtection="0"/>
    <xf numFmtId="0" fontId="6" fillId="8" borderId="0" applyNumberFormat="0" applyBorder="0" applyAlignment="0" applyProtection="0"/>
    <xf numFmtId="0" fontId="7" fillId="3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7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7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7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7" fillId="11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10" borderId="0" applyNumberFormat="0" applyBorder="0" applyAlignment="0" applyProtection="0"/>
    <xf numFmtId="0" fontId="7" fillId="11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10" borderId="0" applyNumberFormat="0" applyBorder="0" applyAlignment="0" applyProtection="0"/>
    <xf numFmtId="0" fontId="7" fillId="11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7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7" fillId="14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5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5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7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7" fillId="11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1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8" borderId="0" applyNumberFormat="0" applyBorder="0" applyAlignment="0" applyProtection="0"/>
    <xf numFmtId="0" fontId="7" fillId="11" borderId="0" applyNumberFormat="0" applyBorder="0" applyAlignment="0" applyProtection="0"/>
    <xf numFmtId="0" fontId="6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8" borderId="0" applyNumberFormat="0" applyBorder="0" applyAlignment="0" applyProtection="0"/>
    <xf numFmtId="0" fontId="7" fillId="11" borderId="0" applyNumberFormat="0" applyBorder="0" applyAlignment="0" applyProtection="0"/>
    <xf numFmtId="0" fontId="6" fillId="8" borderId="0" applyNumberFormat="0" applyBorder="0" applyAlignment="0" applyProtection="0"/>
    <xf numFmtId="0" fontId="7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7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7" fillId="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7" fillId="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15" borderId="0" applyNumberFormat="0" applyBorder="0" applyAlignment="0" applyProtection="0"/>
    <xf numFmtId="0" fontId="7" fillId="5" borderId="0" applyNumberFormat="0" applyBorder="0" applyAlignment="0" applyProtection="0"/>
    <xf numFmtId="0" fontId="6" fillId="1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15" borderId="0" applyNumberFormat="0" applyBorder="0" applyAlignment="0" applyProtection="0"/>
    <xf numFmtId="0" fontId="7" fillId="5" borderId="0" applyNumberFormat="0" applyBorder="0" applyAlignment="0" applyProtection="0"/>
    <xf numFmtId="0" fontId="6" fillId="15" borderId="0" applyNumberFormat="0" applyBorder="0" applyAlignment="0" applyProtection="0"/>
    <xf numFmtId="0" fontId="7" fillId="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6" fillId="16" borderId="0" applyNumberFormat="0" applyBorder="0" applyAlignment="0" applyProtection="0"/>
    <xf numFmtId="0" fontId="9" fillId="17" borderId="0" applyNumberFormat="0" applyBorder="0" applyAlignment="0" applyProtection="0"/>
    <xf numFmtId="0" fontId="6" fillId="16" borderId="0" applyNumberFormat="0" applyBorder="0" applyAlignment="0" applyProtection="0"/>
    <xf numFmtId="0" fontId="9" fillId="17" borderId="0" applyNumberFormat="0" applyBorder="0" applyAlignment="0" applyProtection="0"/>
    <xf numFmtId="0" fontId="8" fillId="16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6" borderId="0" applyNumberFormat="0" applyBorder="0" applyAlignment="0" applyProtection="0"/>
    <xf numFmtId="0" fontId="8" fillId="16" borderId="0" applyNumberFormat="0" applyBorder="0" applyAlignment="0" applyProtection="0"/>
    <xf numFmtId="0" fontId="6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16" borderId="0" applyNumberFormat="0" applyBorder="0" applyAlignment="0" applyProtection="0"/>
    <xf numFmtId="0" fontId="6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6" fillId="12" borderId="0" applyNumberFormat="0" applyBorder="0" applyAlignment="0" applyProtection="0"/>
    <xf numFmtId="0" fontId="9" fillId="12" borderId="0" applyNumberFormat="0" applyBorder="0" applyAlignment="0" applyProtection="0"/>
    <xf numFmtId="0" fontId="6" fillId="12" borderId="0" applyNumberFormat="0" applyBorder="0" applyAlignment="0" applyProtection="0"/>
    <xf numFmtId="0" fontId="9" fillId="12" borderId="0" applyNumberFormat="0" applyBorder="0" applyAlignment="0" applyProtection="0"/>
    <xf numFmtId="0" fontId="8" fillId="12" borderId="0" applyNumberFormat="0" applyBorder="0" applyAlignment="0" applyProtection="0"/>
    <xf numFmtId="0" fontId="9" fillId="12" borderId="0" applyNumberFormat="0" applyBorder="0" applyAlignment="0" applyProtection="0"/>
    <xf numFmtId="0" fontId="6" fillId="12" borderId="0" applyNumberFormat="0" applyBorder="0" applyAlignment="0" applyProtection="0"/>
    <xf numFmtId="0" fontId="9" fillId="12" borderId="0" applyNumberFormat="0" applyBorder="0" applyAlignment="0" applyProtection="0"/>
    <xf numFmtId="0" fontId="6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6" fillId="12" borderId="0" applyNumberFormat="0" applyBorder="0" applyAlignment="0" applyProtection="0"/>
    <xf numFmtId="0" fontId="8" fillId="12" borderId="0" applyNumberFormat="0" applyBorder="0" applyAlignment="0" applyProtection="0"/>
    <xf numFmtId="0" fontId="6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6" fillId="12" borderId="0" applyNumberFormat="0" applyBorder="0" applyAlignment="0" applyProtection="0"/>
    <xf numFmtId="0" fontId="9" fillId="12" borderId="0" applyNumberFormat="0" applyBorder="0" applyAlignment="0" applyProtection="0"/>
    <xf numFmtId="0" fontId="6" fillId="12" borderId="0" applyNumberFormat="0" applyBorder="0" applyAlignment="0" applyProtection="0"/>
    <xf numFmtId="0" fontId="9" fillId="12" borderId="0" applyNumberFormat="0" applyBorder="0" applyAlignment="0" applyProtection="0"/>
    <xf numFmtId="0" fontId="6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6" fillId="12" borderId="0" applyNumberFormat="0" applyBorder="0" applyAlignment="0" applyProtection="0"/>
    <xf numFmtId="0" fontId="9" fillId="12" borderId="0" applyNumberFormat="0" applyBorder="0" applyAlignment="0" applyProtection="0"/>
    <xf numFmtId="0" fontId="6" fillId="12" borderId="0" applyNumberFormat="0" applyBorder="0" applyAlignment="0" applyProtection="0"/>
    <xf numFmtId="0" fontId="8" fillId="12" borderId="0" applyNumberFormat="0" applyBorder="0" applyAlignment="0" applyProtection="0"/>
    <xf numFmtId="0" fontId="6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6" fillId="13" borderId="0" applyNumberFormat="0" applyBorder="0" applyAlignment="0" applyProtection="0"/>
    <xf numFmtId="0" fontId="9" fillId="14" borderId="0" applyNumberFormat="0" applyBorder="0" applyAlignment="0" applyProtection="0"/>
    <xf numFmtId="0" fontId="6" fillId="13" borderId="0" applyNumberFormat="0" applyBorder="0" applyAlignment="0" applyProtection="0"/>
    <xf numFmtId="0" fontId="9" fillId="14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6" fillId="14" borderId="0" applyNumberFormat="0" applyBorder="0" applyAlignment="0" applyProtection="0"/>
    <xf numFmtId="0" fontId="9" fillId="14" borderId="0" applyNumberFormat="0" applyBorder="0" applyAlignment="0" applyProtection="0"/>
    <xf numFmtId="0" fontId="6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6" fillId="13" borderId="0" applyNumberFormat="0" applyBorder="0" applyAlignment="0" applyProtection="0"/>
    <xf numFmtId="0" fontId="8" fillId="13" borderId="0" applyNumberFormat="0" applyBorder="0" applyAlignment="0" applyProtection="0"/>
    <xf numFmtId="0" fontId="6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6" fillId="14" borderId="0" applyNumberFormat="0" applyBorder="0" applyAlignment="0" applyProtection="0"/>
    <xf numFmtId="0" fontId="9" fillId="14" borderId="0" applyNumberFormat="0" applyBorder="0" applyAlignment="0" applyProtection="0"/>
    <xf numFmtId="0" fontId="6" fillId="14" borderId="0" applyNumberFormat="0" applyBorder="0" applyAlignment="0" applyProtection="0"/>
    <xf numFmtId="0" fontId="9" fillId="14" borderId="0" applyNumberFormat="0" applyBorder="0" applyAlignment="0" applyProtection="0"/>
    <xf numFmtId="0" fontId="6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6" fillId="14" borderId="0" applyNumberFormat="0" applyBorder="0" applyAlignment="0" applyProtection="0"/>
    <xf numFmtId="0" fontId="9" fillId="14" borderId="0" applyNumberFormat="0" applyBorder="0" applyAlignment="0" applyProtection="0"/>
    <xf numFmtId="0" fontId="6" fillId="14" borderId="0" applyNumberFormat="0" applyBorder="0" applyAlignment="0" applyProtection="0"/>
    <xf numFmtId="0" fontId="8" fillId="13" borderId="0" applyNumberFormat="0" applyBorder="0" applyAlignment="0" applyProtection="0"/>
    <xf numFmtId="0" fontId="6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6" fillId="18" borderId="0" applyNumberFormat="0" applyBorder="0" applyAlignment="0" applyProtection="0"/>
    <xf numFmtId="0" fontId="9" fillId="11" borderId="0" applyNumberFormat="0" applyBorder="0" applyAlignment="0" applyProtection="0"/>
    <xf numFmtId="0" fontId="6" fillId="18" borderId="0" applyNumberFormat="0" applyBorder="0" applyAlignment="0" applyProtection="0"/>
    <xf numFmtId="0" fontId="9" fillId="11" borderId="0" applyNumberFormat="0" applyBorder="0" applyAlignment="0" applyProtection="0"/>
    <xf numFmtId="0" fontId="8" fillId="18" borderId="0" applyNumberFormat="0" applyBorder="0" applyAlignment="0" applyProtection="0"/>
    <xf numFmtId="0" fontId="9" fillId="11" borderId="0" applyNumberFormat="0" applyBorder="0" applyAlignment="0" applyProtection="0"/>
    <xf numFmtId="0" fontId="6" fillId="11" borderId="0" applyNumberFormat="0" applyBorder="0" applyAlignment="0" applyProtection="0"/>
    <xf numFmtId="0" fontId="9" fillId="11" borderId="0" applyNumberFormat="0" applyBorder="0" applyAlignment="0" applyProtection="0"/>
    <xf numFmtId="0" fontId="6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6" fillId="18" borderId="0" applyNumberFormat="0" applyBorder="0" applyAlignment="0" applyProtection="0"/>
    <xf numFmtId="0" fontId="8" fillId="18" borderId="0" applyNumberFormat="0" applyBorder="0" applyAlignment="0" applyProtection="0"/>
    <xf numFmtId="0" fontId="6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6" fillId="11" borderId="0" applyNumberFormat="0" applyBorder="0" applyAlignment="0" applyProtection="0"/>
    <xf numFmtId="0" fontId="9" fillId="11" borderId="0" applyNumberFormat="0" applyBorder="0" applyAlignment="0" applyProtection="0"/>
    <xf numFmtId="0" fontId="6" fillId="11" borderId="0" applyNumberFormat="0" applyBorder="0" applyAlignment="0" applyProtection="0"/>
    <xf numFmtId="0" fontId="9" fillId="11" borderId="0" applyNumberFormat="0" applyBorder="0" applyAlignment="0" applyProtection="0"/>
    <xf numFmtId="0" fontId="6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6" fillId="11" borderId="0" applyNumberFormat="0" applyBorder="0" applyAlignment="0" applyProtection="0"/>
    <xf numFmtId="0" fontId="9" fillId="11" borderId="0" applyNumberFormat="0" applyBorder="0" applyAlignment="0" applyProtection="0"/>
    <xf numFmtId="0" fontId="6" fillId="11" borderId="0" applyNumberFormat="0" applyBorder="0" applyAlignment="0" applyProtection="0"/>
    <xf numFmtId="0" fontId="8" fillId="18" borderId="0" applyNumberFormat="0" applyBorder="0" applyAlignment="0" applyProtection="0"/>
    <xf numFmtId="0" fontId="6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8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6" fillId="19" borderId="0" applyNumberFormat="0" applyBorder="0" applyAlignment="0" applyProtection="0"/>
    <xf numFmtId="0" fontId="9" fillId="5" borderId="0" applyNumberFormat="0" applyBorder="0" applyAlignment="0" applyProtection="0"/>
    <xf numFmtId="0" fontId="6" fillId="19" borderId="0" applyNumberFormat="0" applyBorder="0" applyAlignment="0" applyProtection="0"/>
    <xf numFmtId="0" fontId="9" fillId="5" borderId="0" applyNumberFormat="0" applyBorder="0" applyAlignment="0" applyProtection="0"/>
    <xf numFmtId="0" fontId="8" fillId="19" borderId="0" applyNumberFormat="0" applyBorder="0" applyAlignment="0" applyProtection="0"/>
    <xf numFmtId="0" fontId="9" fillId="5" borderId="0" applyNumberFormat="0" applyBorder="0" applyAlignment="0" applyProtection="0"/>
    <xf numFmtId="0" fontId="6" fillId="5" borderId="0" applyNumberFormat="0" applyBorder="0" applyAlignment="0" applyProtection="0"/>
    <xf numFmtId="0" fontId="9" fillId="5" borderId="0" applyNumberFormat="0" applyBorder="0" applyAlignment="0" applyProtection="0"/>
    <xf numFmtId="0" fontId="6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6" fillId="19" borderId="0" applyNumberFormat="0" applyBorder="0" applyAlignment="0" applyProtection="0"/>
    <xf numFmtId="0" fontId="8" fillId="19" borderId="0" applyNumberFormat="0" applyBorder="0" applyAlignment="0" applyProtection="0"/>
    <xf numFmtId="0" fontId="6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6" fillId="5" borderId="0" applyNumberFormat="0" applyBorder="0" applyAlignment="0" applyProtection="0"/>
    <xf numFmtId="0" fontId="9" fillId="5" borderId="0" applyNumberFormat="0" applyBorder="0" applyAlignment="0" applyProtection="0"/>
    <xf numFmtId="0" fontId="6" fillId="5" borderId="0" applyNumberFormat="0" applyBorder="0" applyAlignment="0" applyProtection="0"/>
    <xf numFmtId="0" fontId="9" fillId="5" borderId="0" applyNumberFormat="0" applyBorder="0" applyAlignment="0" applyProtection="0"/>
    <xf numFmtId="0" fontId="6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6" fillId="5" borderId="0" applyNumberFormat="0" applyBorder="0" applyAlignment="0" applyProtection="0"/>
    <xf numFmtId="0" fontId="9" fillId="5" borderId="0" applyNumberFormat="0" applyBorder="0" applyAlignment="0" applyProtection="0"/>
    <xf numFmtId="0" fontId="6" fillId="5" borderId="0" applyNumberFormat="0" applyBorder="0" applyAlignment="0" applyProtection="0"/>
    <xf numFmtId="0" fontId="8" fillId="19" borderId="0" applyNumberFormat="0" applyBorder="0" applyAlignment="0" applyProtection="0"/>
    <xf numFmtId="0" fontId="6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6" fillId="20" borderId="0" applyNumberFormat="0" applyBorder="0" applyAlignment="0" applyProtection="0"/>
    <xf numFmtId="0" fontId="9" fillId="17" borderId="0" applyNumberFormat="0" applyBorder="0" applyAlignment="0" applyProtection="0"/>
    <xf numFmtId="0" fontId="6" fillId="20" borderId="0" applyNumberFormat="0" applyBorder="0" applyAlignment="0" applyProtection="0"/>
    <xf numFmtId="0" fontId="9" fillId="17" borderId="0" applyNumberFormat="0" applyBorder="0" applyAlignment="0" applyProtection="0"/>
    <xf numFmtId="0" fontId="8" fillId="20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20" borderId="0" applyNumberFormat="0" applyBorder="0" applyAlignment="0" applyProtection="0"/>
    <xf numFmtId="0" fontId="8" fillId="20" borderId="0" applyNumberFormat="0" applyBorder="0" applyAlignment="0" applyProtection="0"/>
    <xf numFmtId="0" fontId="6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20" borderId="0" applyNumberFormat="0" applyBorder="0" applyAlignment="0" applyProtection="0"/>
    <xf numFmtId="0" fontId="6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6" fillId="21" borderId="0" applyNumberFormat="0" applyBorder="0" applyAlignment="0" applyProtection="0"/>
    <xf numFmtId="0" fontId="9" fillId="21" borderId="0" applyNumberFormat="0" applyBorder="0" applyAlignment="0" applyProtection="0"/>
    <xf numFmtId="0" fontId="6" fillId="21" borderId="0" applyNumberFormat="0" applyBorder="0" applyAlignment="0" applyProtection="0"/>
    <xf numFmtId="0" fontId="9" fillId="21" borderId="0" applyNumberFormat="0" applyBorder="0" applyAlignment="0" applyProtection="0"/>
    <xf numFmtId="0" fontId="8" fillId="21" borderId="0" applyNumberFormat="0" applyBorder="0" applyAlignment="0" applyProtection="0"/>
    <xf numFmtId="0" fontId="9" fillId="21" borderId="0" applyNumberFormat="0" applyBorder="0" applyAlignment="0" applyProtection="0"/>
    <xf numFmtId="0" fontId="6" fillId="21" borderId="0" applyNumberFormat="0" applyBorder="0" applyAlignment="0" applyProtection="0"/>
    <xf numFmtId="0" fontId="9" fillId="21" borderId="0" applyNumberFormat="0" applyBorder="0" applyAlignment="0" applyProtection="0"/>
    <xf numFmtId="0" fontId="6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6" fillId="21" borderId="0" applyNumberFormat="0" applyBorder="0" applyAlignment="0" applyProtection="0"/>
    <xf numFmtId="0" fontId="8" fillId="21" borderId="0" applyNumberFormat="0" applyBorder="0" applyAlignment="0" applyProtection="0"/>
    <xf numFmtId="0" fontId="6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6" fillId="21" borderId="0" applyNumberFormat="0" applyBorder="0" applyAlignment="0" applyProtection="0"/>
    <xf numFmtId="0" fontId="9" fillId="21" borderId="0" applyNumberFormat="0" applyBorder="0" applyAlignment="0" applyProtection="0"/>
    <xf numFmtId="0" fontId="6" fillId="21" borderId="0" applyNumberFormat="0" applyBorder="0" applyAlignment="0" applyProtection="0"/>
    <xf numFmtId="0" fontId="9" fillId="21" borderId="0" applyNumberFormat="0" applyBorder="0" applyAlignment="0" applyProtection="0"/>
    <xf numFmtId="0" fontId="6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6" fillId="21" borderId="0" applyNumberFormat="0" applyBorder="0" applyAlignment="0" applyProtection="0"/>
    <xf numFmtId="0" fontId="9" fillId="21" borderId="0" applyNumberFormat="0" applyBorder="0" applyAlignment="0" applyProtection="0"/>
    <xf numFmtId="0" fontId="6" fillId="21" borderId="0" applyNumberFormat="0" applyBorder="0" applyAlignment="0" applyProtection="0"/>
    <xf numFmtId="0" fontId="8" fillId="21" borderId="0" applyNumberFormat="0" applyBorder="0" applyAlignment="0" applyProtection="0"/>
    <xf numFmtId="0" fontId="6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6" fillId="22" borderId="0" applyNumberFormat="0" applyBorder="0" applyAlignment="0" applyProtection="0"/>
    <xf numFmtId="0" fontId="9" fillId="22" borderId="0" applyNumberFormat="0" applyBorder="0" applyAlignment="0" applyProtection="0"/>
    <xf numFmtId="0" fontId="6" fillId="22" borderId="0" applyNumberFormat="0" applyBorder="0" applyAlignment="0" applyProtection="0"/>
    <xf numFmtId="0" fontId="9" fillId="22" borderId="0" applyNumberFormat="0" applyBorder="0" applyAlignment="0" applyProtection="0"/>
    <xf numFmtId="0" fontId="8" fillId="22" borderId="0" applyNumberFormat="0" applyBorder="0" applyAlignment="0" applyProtection="0"/>
    <xf numFmtId="0" fontId="9" fillId="22" borderId="0" applyNumberFormat="0" applyBorder="0" applyAlignment="0" applyProtection="0"/>
    <xf numFmtId="0" fontId="6" fillId="22" borderId="0" applyNumberFormat="0" applyBorder="0" applyAlignment="0" applyProtection="0"/>
    <xf numFmtId="0" fontId="9" fillId="22" borderId="0" applyNumberFormat="0" applyBorder="0" applyAlignment="0" applyProtection="0"/>
    <xf numFmtId="0" fontId="6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6" fillId="22" borderId="0" applyNumberFormat="0" applyBorder="0" applyAlignment="0" applyProtection="0"/>
    <xf numFmtId="0" fontId="8" fillId="22" borderId="0" applyNumberFormat="0" applyBorder="0" applyAlignment="0" applyProtection="0"/>
    <xf numFmtId="0" fontId="6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6" fillId="22" borderId="0" applyNumberFormat="0" applyBorder="0" applyAlignment="0" applyProtection="0"/>
    <xf numFmtId="0" fontId="9" fillId="22" borderId="0" applyNumberFormat="0" applyBorder="0" applyAlignment="0" applyProtection="0"/>
    <xf numFmtId="0" fontId="6" fillId="22" borderId="0" applyNumberFormat="0" applyBorder="0" applyAlignment="0" applyProtection="0"/>
    <xf numFmtId="0" fontId="9" fillId="22" borderId="0" applyNumberFormat="0" applyBorder="0" applyAlignment="0" applyProtection="0"/>
    <xf numFmtId="0" fontId="6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6" fillId="22" borderId="0" applyNumberFormat="0" applyBorder="0" applyAlignment="0" applyProtection="0"/>
    <xf numFmtId="0" fontId="9" fillId="22" borderId="0" applyNumberFormat="0" applyBorder="0" applyAlignment="0" applyProtection="0"/>
    <xf numFmtId="0" fontId="6" fillId="22" borderId="0" applyNumberFormat="0" applyBorder="0" applyAlignment="0" applyProtection="0"/>
    <xf numFmtId="0" fontId="8" fillId="22" borderId="0" applyNumberFormat="0" applyBorder="0" applyAlignment="0" applyProtection="0"/>
    <xf numFmtId="0" fontId="6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6" fillId="18" borderId="0" applyNumberFormat="0" applyBorder="0" applyAlignment="0" applyProtection="0"/>
    <xf numFmtId="0" fontId="9" fillId="23" borderId="0" applyNumberFormat="0" applyBorder="0" applyAlignment="0" applyProtection="0"/>
    <xf numFmtId="0" fontId="6" fillId="18" borderId="0" applyNumberFormat="0" applyBorder="0" applyAlignment="0" applyProtection="0"/>
    <xf numFmtId="0" fontId="9" fillId="23" borderId="0" applyNumberFormat="0" applyBorder="0" applyAlignment="0" applyProtection="0"/>
    <xf numFmtId="0" fontId="8" fillId="18" borderId="0" applyNumberFormat="0" applyBorder="0" applyAlignment="0" applyProtection="0"/>
    <xf numFmtId="0" fontId="9" fillId="23" borderId="0" applyNumberFormat="0" applyBorder="0" applyAlignment="0" applyProtection="0"/>
    <xf numFmtId="0" fontId="6" fillId="23" borderId="0" applyNumberFormat="0" applyBorder="0" applyAlignment="0" applyProtection="0"/>
    <xf numFmtId="0" fontId="9" fillId="23" borderId="0" applyNumberFormat="0" applyBorder="0" applyAlignment="0" applyProtection="0"/>
    <xf numFmtId="0" fontId="6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6" fillId="18" borderId="0" applyNumberFormat="0" applyBorder="0" applyAlignment="0" applyProtection="0"/>
    <xf numFmtId="0" fontId="8" fillId="18" borderId="0" applyNumberFormat="0" applyBorder="0" applyAlignment="0" applyProtection="0"/>
    <xf numFmtId="0" fontId="6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6" fillId="23" borderId="0" applyNumberFormat="0" applyBorder="0" applyAlignment="0" applyProtection="0"/>
    <xf numFmtId="0" fontId="9" fillId="23" borderId="0" applyNumberFormat="0" applyBorder="0" applyAlignment="0" applyProtection="0"/>
    <xf numFmtId="0" fontId="6" fillId="23" borderId="0" applyNumberFormat="0" applyBorder="0" applyAlignment="0" applyProtection="0"/>
    <xf numFmtId="0" fontId="9" fillId="23" borderId="0" applyNumberFormat="0" applyBorder="0" applyAlignment="0" applyProtection="0"/>
    <xf numFmtId="0" fontId="6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6" fillId="23" borderId="0" applyNumberFormat="0" applyBorder="0" applyAlignment="0" applyProtection="0"/>
    <xf numFmtId="0" fontId="9" fillId="23" borderId="0" applyNumberFormat="0" applyBorder="0" applyAlignment="0" applyProtection="0"/>
    <xf numFmtId="0" fontId="6" fillId="23" borderId="0" applyNumberFormat="0" applyBorder="0" applyAlignment="0" applyProtection="0"/>
    <xf numFmtId="0" fontId="8" fillId="18" borderId="0" applyNumberFormat="0" applyBorder="0" applyAlignment="0" applyProtection="0"/>
    <xf numFmtId="0" fontId="6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8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6" fillId="24" borderId="0" applyNumberFormat="0" applyBorder="0" applyAlignment="0" applyProtection="0"/>
    <xf numFmtId="0" fontId="9" fillId="24" borderId="0" applyNumberFormat="0" applyBorder="0" applyAlignment="0" applyProtection="0"/>
    <xf numFmtId="0" fontId="6" fillId="24" borderId="0" applyNumberFormat="0" applyBorder="0" applyAlignment="0" applyProtection="0"/>
    <xf numFmtId="0" fontId="9" fillId="24" borderId="0" applyNumberFormat="0" applyBorder="0" applyAlignment="0" applyProtection="0"/>
    <xf numFmtId="0" fontId="8" fillId="24" borderId="0" applyNumberFormat="0" applyBorder="0" applyAlignment="0" applyProtection="0"/>
    <xf numFmtId="0" fontId="9" fillId="24" borderId="0" applyNumberFormat="0" applyBorder="0" applyAlignment="0" applyProtection="0"/>
    <xf numFmtId="0" fontId="6" fillId="24" borderId="0" applyNumberFormat="0" applyBorder="0" applyAlignment="0" applyProtection="0"/>
    <xf numFmtId="0" fontId="9" fillId="24" borderId="0" applyNumberFormat="0" applyBorder="0" applyAlignment="0" applyProtection="0"/>
    <xf numFmtId="0" fontId="6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6" fillId="24" borderId="0" applyNumberFormat="0" applyBorder="0" applyAlignment="0" applyProtection="0"/>
    <xf numFmtId="0" fontId="8" fillId="24" borderId="0" applyNumberFormat="0" applyBorder="0" applyAlignment="0" applyProtection="0"/>
    <xf numFmtId="0" fontId="6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6" fillId="24" borderId="0" applyNumberFormat="0" applyBorder="0" applyAlignment="0" applyProtection="0"/>
    <xf numFmtId="0" fontId="9" fillId="24" borderId="0" applyNumberFormat="0" applyBorder="0" applyAlignment="0" applyProtection="0"/>
    <xf numFmtId="0" fontId="6" fillId="24" borderId="0" applyNumberFormat="0" applyBorder="0" applyAlignment="0" applyProtection="0"/>
    <xf numFmtId="0" fontId="9" fillId="24" borderId="0" applyNumberFormat="0" applyBorder="0" applyAlignment="0" applyProtection="0"/>
    <xf numFmtId="0" fontId="6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6" fillId="24" borderId="0" applyNumberFormat="0" applyBorder="0" applyAlignment="0" applyProtection="0"/>
    <xf numFmtId="0" fontId="9" fillId="24" borderId="0" applyNumberFormat="0" applyBorder="0" applyAlignment="0" applyProtection="0"/>
    <xf numFmtId="0" fontId="6" fillId="24" borderId="0" applyNumberFormat="0" applyBorder="0" applyAlignment="0" applyProtection="0"/>
    <xf numFmtId="0" fontId="8" fillId="24" borderId="0" applyNumberFormat="0" applyBorder="0" applyAlignment="0" applyProtection="0"/>
    <xf numFmtId="0" fontId="6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6" fillId="4" borderId="0" applyNumberFormat="0" applyBorder="0" applyAlignment="0" applyProtection="0"/>
    <xf numFmtId="0" fontId="11" fillId="4" borderId="0" applyNumberFormat="0" applyBorder="0" applyAlignment="0" applyProtection="0"/>
    <xf numFmtId="0" fontId="6" fillId="4" borderId="0" applyNumberFormat="0" applyBorder="0" applyAlignment="0" applyProtection="0"/>
    <xf numFmtId="0" fontId="11" fillId="4" borderId="0" applyNumberFormat="0" applyBorder="0" applyAlignment="0" applyProtection="0"/>
    <xf numFmtId="0" fontId="10" fillId="4" borderId="0" applyNumberFormat="0" applyBorder="0" applyAlignment="0" applyProtection="0"/>
    <xf numFmtId="0" fontId="11" fillId="4" borderId="0" applyNumberFormat="0" applyBorder="0" applyAlignment="0" applyProtection="0"/>
    <xf numFmtId="0" fontId="6" fillId="4" borderId="0" applyNumberFormat="0" applyBorder="0" applyAlignment="0" applyProtection="0"/>
    <xf numFmtId="0" fontId="11" fillId="4" borderId="0" applyNumberFormat="0" applyBorder="0" applyAlignment="0" applyProtection="0"/>
    <xf numFmtId="0" fontId="6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6" fillId="4" borderId="0" applyNumberFormat="0" applyBorder="0" applyAlignment="0" applyProtection="0"/>
    <xf numFmtId="0" fontId="10" fillId="4" borderId="0" applyNumberFormat="0" applyBorder="0" applyAlignment="0" applyProtection="0"/>
    <xf numFmtId="0" fontId="6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6" fillId="4" borderId="0" applyNumberFormat="0" applyBorder="0" applyAlignment="0" applyProtection="0"/>
    <xf numFmtId="0" fontId="11" fillId="4" borderId="0" applyNumberFormat="0" applyBorder="0" applyAlignment="0" applyProtection="0"/>
    <xf numFmtId="0" fontId="6" fillId="4" borderId="0" applyNumberFormat="0" applyBorder="0" applyAlignment="0" applyProtection="0"/>
    <xf numFmtId="0" fontId="11" fillId="4" borderId="0" applyNumberFormat="0" applyBorder="0" applyAlignment="0" applyProtection="0"/>
    <xf numFmtId="0" fontId="6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6" fillId="4" borderId="0" applyNumberFormat="0" applyBorder="0" applyAlignment="0" applyProtection="0"/>
    <xf numFmtId="0" fontId="11" fillId="4" borderId="0" applyNumberFormat="0" applyBorder="0" applyAlignment="0" applyProtection="0"/>
    <xf numFmtId="0" fontId="6" fillId="4" borderId="0" applyNumberFormat="0" applyBorder="0" applyAlignment="0" applyProtection="0"/>
    <xf numFmtId="0" fontId="10" fillId="4" borderId="0" applyNumberFormat="0" applyBorder="0" applyAlignment="0" applyProtection="0"/>
    <xf numFmtId="0" fontId="6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168" fontId="4" fillId="0" borderId="0" applyFill="0" applyBorder="0" applyAlignment="0"/>
    <xf numFmtId="168" fontId="6" fillId="0" borderId="0" applyFill="0" applyBorder="0" applyAlignment="0"/>
    <xf numFmtId="169" fontId="12" fillId="0" borderId="0" applyFill="0" applyBorder="0" applyAlignment="0"/>
    <xf numFmtId="169" fontId="6" fillId="0" borderId="0" applyFill="0" applyBorder="0" applyAlignment="0"/>
    <xf numFmtId="170" fontId="12" fillId="0" borderId="0" applyFill="0" applyBorder="0" applyAlignment="0"/>
    <xf numFmtId="170" fontId="6" fillId="0" borderId="0" applyFill="0" applyBorder="0" applyAlignment="0"/>
    <xf numFmtId="171" fontId="12" fillId="0" borderId="0" applyFill="0" applyBorder="0" applyAlignment="0"/>
    <xf numFmtId="171" fontId="6" fillId="0" borderId="0" applyFill="0" applyBorder="0" applyAlignment="0"/>
    <xf numFmtId="172" fontId="12" fillId="0" borderId="0" applyFill="0" applyBorder="0" applyAlignment="0"/>
    <xf numFmtId="172" fontId="6" fillId="0" borderId="0" applyFill="0" applyBorder="0" applyAlignment="0"/>
    <xf numFmtId="44" fontId="12" fillId="0" borderId="0" applyFill="0" applyBorder="0" applyAlignment="0"/>
    <xf numFmtId="44" fontId="6" fillId="0" borderId="0" applyFill="0" applyBorder="0" applyAlignment="0"/>
    <xf numFmtId="173" fontId="12" fillId="0" borderId="0" applyFill="0" applyBorder="0" applyAlignment="0"/>
    <xf numFmtId="173" fontId="6" fillId="0" borderId="0" applyFill="0" applyBorder="0" applyAlignment="0"/>
    <xf numFmtId="169" fontId="12" fillId="0" borderId="0" applyFill="0" applyBorder="0" applyAlignment="0"/>
    <xf numFmtId="169" fontId="6" fillId="0" borderId="0" applyFill="0" applyBorder="0" applyAlignment="0"/>
    <xf numFmtId="0" fontId="13" fillId="11" borderId="4" applyNumberFormat="0" applyAlignment="0" applyProtection="0"/>
    <xf numFmtId="0" fontId="13" fillId="11" borderId="4" applyNumberFormat="0" applyAlignment="0" applyProtection="0"/>
    <xf numFmtId="0" fontId="6" fillId="11" borderId="4" applyNumberFormat="0" applyAlignment="0" applyProtection="0"/>
    <xf numFmtId="0" fontId="14" fillId="3" borderId="4" applyNumberFormat="0" applyAlignment="0" applyProtection="0"/>
    <xf numFmtId="0" fontId="6" fillId="11" borderId="4" applyNumberFormat="0" applyAlignment="0" applyProtection="0"/>
    <xf numFmtId="0" fontId="14" fillId="3" borderId="4" applyNumberFormat="0" applyAlignment="0" applyProtection="0"/>
    <xf numFmtId="0" fontId="13" fillId="11" borderId="4" applyNumberFormat="0" applyAlignment="0" applyProtection="0"/>
    <xf numFmtId="0" fontId="14" fillId="3" borderId="4" applyNumberFormat="0" applyAlignment="0" applyProtection="0"/>
    <xf numFmtId="0" fontId="6" fillId="3" borderId="4" applyNumberFormat="0" applyAlignment="0" applyProtection="0"/>
    <xf numFmtId="0" fontId="14" fillId="3" borderId="4" applyNumberFormat="0" applyAlignment="0" applyProtection="0"/>
    <xf numFmtId="0" fontId="6" fillId="3" borderId="4" applyNumberFormat="0" applyAlignment="0" applyProtection="0"/>
    <xf numFmtId="0" fontId="14" fillId="3" borderId="4" applyNumberFormat="0" applyAlignment="0" applyProtection="0"/>
    <xf numFmtId="0" fontId="14" fillId="3" borderId="4" applyNumberFormat="0" applyAlignment="0" applyProtection="0"/>
    <xf numFmtId="0" fontId="14" fillId="3" borderId="4" applyNumberFormat="0" applyAlignment="0" applyProtection="0"/>
    <xf numFmtId="0" fontId="14" fillId="3" borderId="4" applyNumberFormat="0" applyAlignment="0" applyProtection="0"/>
    <xf numFmtId="0" fontId="14" fillId="3" borderId="4" applyNumberFormat="0" applyAlignment="0" applyProtection="0"/>
    <xf numFmtId="0" fontId="6" fillId="11" borderId="4" applyNumberFormat="0" applyAlignment="0" applyProtection="0"/>
    <xf numFmtId="0" fontId="13" fillId="11" borderId="4" applyNumberFormat="0" applyAlignment="0" applyProtection="0"/>
    <xf numFmtId="0" fontId="6" fillId="11" borderId="4" applyNumberFormat="0" applyAlignment="0" applyProtection="0"/>
    <xf numFmtId="0" fontId="13" fillId="11" borderId="4" applyNumberFormat="0" applyAlignment="0" applyProtection="0"/>
    <xf numFmtId="0" fontId="13" fillId="11" borderId="4" applyNumberFormat="0" applyAlignment="0" applyProtection="0"/>
    <xf numFmtId="0" fontId="13" fillId="11" borderId="4" applyNumberFormat="0" applyAlignment="0" applyProtection="0"/>
    <xf numFmtId="0" fontId="13" fillId="11" borderId="4" applyNumberFormat="0" applyAlignment="0" applyProtection="0"/>
    <xf numFmtId="0" fontId="13" fillId="11" borderId="4" applyNumberFormat="0" applyAlignment="0" applyProtection="0"/>
    <xf numFmtId="0" fontId="6" fillId="3" borderId="4" applyNumberFormat="0" applyAlignment="0" applyProtection="0"/>
    <xf numFmtId="0" fontId="14" fillId="3" borderId="4" applyNumberFormat="0" applyAlignment="0" applyProtection="0"/>
    <xf numFmtId="0" fontId="6" fillId="3" borderId="4" applyNumberFormat="0" applyAlignment="0" applyProtection="0"/>
    <xf numFmtId="0" fontId="14" fillId="3" borderId="4" applyNumberFormat="0" applyAlignment="0" applyProtection="0"/>
    <xf numFmtId="0" fontId="6" fillId="3" borderId="4" applyNumberFormat="0" applyAlignment="0" applyProtection="0"/>
    <xf numFmtId="0" fontId="14" fillId="3" borderId="4" applyNumberFormat="0" applyAlignment="0" applyProtection="0"/>
    <xf numFmtId="0" fontId="14" fillId="3" borderId="4" applyNumberFormat="0" applyAlignment="0" applyProtection="0"/>
    <xf numFmtId="0" fontId="14" fillId="3" borderId="4" applyNumberFormat="0" applyAlignment="0" applyProtection="0"/>
    <xf numFmtId="0" fontId="14" fillId="3" borderId="4" applyNumberFormat="0" applyAlignment="0" applyProtection="0"/>
    <xf numFmtId="0" fontId="14" fillId="3" borderId="4" applyNumberFormat="0" applyAlignment="0" applyProtection="0"/>
    <xf numFmtId="0" fontId="14" fillId="3" borderId="4" applyNumberFormat="0" applyAlignment="0" applyProtection="0"/>
    <xf numFmtId="0" fontId="6" fillId="3" borderId="4" applyNumberFormat="0" applyAlignment="0" applyProtection="0"/>
    <xf numFmtId="0" fontId="14" fillId="3" borderId="4" applyNumberFormat="0" applyAlignment="0" applyProtection="0"/>
    <xf numFmtId="0" fontId="6" fillId="3" borderId="4" applyNumberFormat="0" applyAlignment="0" applyProtection="0"/>
    <xf numFmtId="0" fontId="13" fillId="11" borderId="4" applyNumberFormat="0" applyAlignment="0" applyProtection="0"/>
    <xf numFmtId="0" fontId="6" fillId="11" borderId="4" applyNumberFormat="0" applyAlignment="0" applyProtection="0"/>
    <xf numFmtId="0" fontId="13" fillId="11" borderId="4" applyNumberFormat="0" applyAlignment="0" applyProtection="0"/>
    <xf numFmtId="0" fontId="13" fillId="11" borderId="4" applyNumberFormat="0" applyAlignment="0" applyProtection="0"/>
    <xf numFmtId="0" fontId="13" fillId="11" borderId="4" applyNumberFormat="0" applyAlignment="0" applyProtection="0"/>
    <xf numFmtId="0" fontId="13" fillId="11" borderId="4" applyNumberFormat="0" applyAlignment="0" applyProtection="0"/>
    <xf numFmtId="174" fontId="4" fillId="0" borderId="0"/>
    <xf numFmtId="0" fontId="15" fillId="25" borderId="5" applyNumberFormat="0" applyAlignment="0" applyProtection="0"/>
    <xf numFmtId="0" fontId="15" fillId="25" borderId="5" applyNumberFormat="0" applyAlignment="0" applyProtection="0"/>
    <xf numFmtId="0" fontId="6" fillId="25" borderId="5" applyNumberFormat="0" applyAlignment="0" applyProtection="0"/>
    <xf numFmtId="0" fontId="16" fillId="25" borderId="5" applyNumberFormat="0" applyAlignment="0" applyProtection="0"/>
    <xf numFmtId="0" fontId="6" fillId="25" borderId="5" applyNumberFormat="0" applyAlignment="0" applyProtection="0"/>
    <xf numFmtId="0" fontId="16" fillId="25" borderId="5" applyNumberFormat="0" applyAlignment="0" applyProtection="0"/>
    <xf numFmtId="0" fontId="15" fillId="25" borderId="5" applyNumberFormat="0" applyAlignment="0" applyProtection="0"/>
    <xf numFmtId="0" fontId="16" fillId="25" borderId="5" applyNumberFormat="0" applyAlignment="0" applyProtection="0"/>
    <xf numFmtId="0" fontId="6" fillId="25" borderId="5" applyNumberFormat="0" applyAlignment="0" applyProtection="0"/>
    <xf numFmtId="0" fontId="16" fillId="25" borderId="5" applyNumberFormat="0" applyAlignment="0" applyProtection="0"/>
    <xf numFmtId="0" fontId="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6" fillId="25" borderId="5" applyNumberFormat="0" applyAlignment="0" applyProtection="0"/>
    <xf numFmtId="0" fontId="15" fillId="25" borderId="5" applyNumberFormat="0" applyAlignment="0" applyProtection="0"/>
    <xf numFmtId="0" fontId="6" fillId="25" borderId="5" applyNumberFormat="0" applyAlignment="0" applyProtection="0"/>
    <xf numFmtId="0" fontId="15" fillId="25" borderId="5" applyNumberFormat="0" applyAlignment="0" applyProtection="0"/>
    <xf numFmtId="0" fontId="15" fillId="25" borderId="5" applyNumberFormat="0" applyAlignment="0" applyProtection="0"/>
    <xf numFmtId="0" fontId="15" fillId="25" borderId="5" applyNumberFormat="0" applyAlignment="0" applyProtection="0"/>
    <xf numFmtId="0" fontId="15" fillId="25" borderId="5" applyNumberFormat="0" applyAlignment="0" applyProtection="0"/>
    <xf numFmtId="0" fontId="15" fillId="25" borderId="5" applyNumberFormat="0" applyAlignment="0" applyProtection="0"/>
    <xf numFmtId="0" fontId="6" fillId="25" borderId="5" applyNumberFormat="0" applyAlignment="0" applyProtection="0"/>
    <xf numFmtId="0" fontId="16" fillId="25" borderId="5" applyNumberFormat="0" applyAlignment="0" applyProtection="0"/>
    <xf numFmtId="0" fontId="6" fillId="25" borderId="5" applyNumberFormat="0" applyAlignment="0" applyProtection="0"/>
    <xf numFmtId="0" fontId="16" fillId="25" borderId="5" applyNumberFormat="0" applyAlignment="0" applyProtection="0"/>
    <xf numFmtId="0" fontId="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6" fillId="25" borderId="5" applyNumberFormat="0" applyAlignment="0" applyProtection="0"/>
    <xf numFmtId="0" fontId="16" fillId="25" borderId="5" applyNumberFormat="0" applyAlignment="0" applyProtection="0"/>
    <xf numFmtId="0" fontId="6" fillId="25" borderId="5" applyNumberFormat="0" applyAlignment="0" applyProtection="0"/>
    <xf numFmtId="0" fontId="15" fillId="25" borderId="5" applyNumberFormat="0" applyAlignment="0" applyProtection="0"/>
    <xf numFmtId="0" fontId="6" fillId="25" borderId="5" applyNumberFormat="0" applyAlignment="0" applyProtection="0"/>
    <xf numFmtId="0" fontId="15" fillId="25" borderId="5" applyNumberFormat="0" applyAlignment="0" applyProtection="0"/>
    <xf numFmtId="0" fontId="15" fillId="25" borderId="5" applyNumberFormat="0" applyAlignment="0" applyProtection="0"/>
    <xf numFmtId="0" fontId="15" fillId="25" borderId="5" applyNumberFormat="0" applyAlignment="0" applyProtection="0"/>
    <xf numFmtId="0" fontId="15" fillId="25" borderId="5" applyNumberFormat="0" applyAlignment="0" applyProtection="0"/>
    <xf numFmtId="0" fontId="17" fillId="26" borderId="0">
      <alignment horizontal="left"/>
    </xf>
    <xf numFmtId="0" fontId="6" fillId="26" borderId="0">
      <alignment horizontal="left"/>
    </xf>
    <xf numFmtId="0" fontId="16" fillId="26" borderId="0">
      <alignment horizontal="right"/>
    </xf>
    <xf numFmtId="0" fontId="6" fillId="26" borderId="0">
      <alignment horizontal="right"/>
    </xf>
    <xf numFmtId="0" fontId="18" fillId="3" borderId="0">
      <alignment horizontal="center"/>
    </xf>
    <xf numFmtId="0" fontId="6" fillId="3" borderId="0">
      <alignment horizontal="center"/>
    </xf>
    <xf numFmtId="0" fontId="16" fillId="26" borderId="0">
      <alignment horizontal="right"/>
    </xf>
    <xf numFmtId="0" fontId="6" fillId="26" borderId="0">
      <alignment horizontal="right"/>
    </xf>
    <xf numFmtId="0" fontId="19" fillId="3" borderId="0">
      <alignment horizontal="left"/>
    </xf>
    <xf numFmtId="0" fontId="6" fillId="3" borderId="0">
      <alignment horizontal="left"/>
    </xf>
    <xf numFmtId="44" fontId="12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4" fillId="0" borderId="0"/>
    <xf numFmtId="0" fontId="6" fillId="0" borderId="0"/>
    <xf numFmtId="43" fontId="4" fillId="0" borderId="0" applyFont="0" applyFill="0" applyBorder="0" applyAlignment="0" applyProtection="0"/>
    <xf numFmtId="0" fontId="6" fillId="0" borderId="0"/>
    <xf numFmtId="43" fontId="4" fillId="0" borderId="0" applyFont="0" applyFill="0" applyBorder="0" applyAlignment="0" applyProtection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>
      <alignment vertical="top"/>
    </xf>
    <xf numFmtId="43" fontId="21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>
      <alignment vertical="top"/>
    </xf>
    <xf numFmtId="43" fontId="21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1" fillId="0" borderId="0" applyFont="0" applyFill="0" applyBorder="0" applyAlignment="0" applyProtection="0"/>
    <xf numFmtId="44" fontId="21" fillId="0" borderId="0"/>
    <xf numFmtId="44" fontId="4" fillId="0" borderId="0" applyFont="0" applyFill="0" applyBorder="0" applyAlignment="0" applyProtection="0"/>
    <xf numFmtId="44" fontId="21" fillId="0" borderId="0"/>
    <xf numFmtId="44" fontId="6" fillId="0" borderId="0"/>
    <xf numFmtId="44" fontId="6" fillId="0" borderId="0"/>
    <xf numFmtId="44" fontId="6" fillId="0" borderId="0"/>
    <xf numFmtId="44" fontId="6" fillId="0" borderId="0" applyFont="0" applyFill="0" applyBorder="0" applyAlignment="0" applyProtection="0"/>
    <xf numFmtId="44" fontId="21" fillId="0" borderId="0"/>
    <xf numFmtId="44" fontId="21" fillId="0" borderId="0"/>
    <xf numFmtId="44" fontId="6" fillId="0" borderId="0"/>
    <xf numFmtId="44" fontId="6" fillId="0" borderId="0" applyFont="0" applyFill="0" applyBorder="0" applyAlignment="0" applyProtection="0"/>
    <xf numFmtId="44" fontId="21" fillId="0" borderId="0"/>
    <xf numFmtId="44" fontId="6" fillId="0" borderId="0" applyFont="0" applyFill="0" applyBorder="0" applyAlignment="0" applyProtection="0"/>
    <xf numFmtId="44" fontId="6" fillId="0" borderId="0"/>
    <xf numFmtId="44" fontId="21" fillId="0" borderId="0"/>
    <xf numFmtId="44" fontId="6" fillId="0" borderId="0"/>
    <xf numFmtId="44" fontId="21" fillId="0" borderId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/>
    <xf numFmtId="44" fontId="6" fillId="0" borderId="0"/>
    <xf numFmtId="44" fontId="6" fillId="0" borderId="0" applyFont="0" applyFill="0" applyBorder="0" applyAlignment="0" applyProtection="0"/>
    <xf numFmtId="44" fontId="21" fillId="0" borderId="0"/>
    <xf numFmtId="44" fontId="21" fillId="0" borderId="0"/>
    <xf numFmtId="44" fontId="6" fillId="0" borderId="0"/>
    <xf numFmtId="44" fontId="21" fillId="0" borderId="0"/>
    <xf numFmtId="44" fontId="4" fillId="0" borderId="0" applyFont="0" applyFill="0" applyBorder="0" applyAlignment="0" applyProtection="0"/>
    <xf numFmtId="44" fontId="6" fillId="0" borderId="0"/>
    <xf numFmtId="44" fontId="4" fillId="0" borderId="0" applyFont="0" applyFill="0" applyBorder="0" applyAlignment="0" applyProtection="0"/>
    <xf numFmtId="44" fontId="6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21" fillId="0" borderId="0"/>
    <xf numFmtId="44" fontId="21" fillId="0" borderId="0"/>
    <xf numFmtId="44" fontId="21" fillId="0" borderId="0"/>
    <xf numFmtId="44" fontId="21" fillId="0" borderId="0"/>
    <xf numFmtId="44" fontId="21" fillId="0" borderId="0"/>
    <xf numFmtId="44" fontId="21" fillId="0" borderId="0"/>
    <xf numFmtId="44" fontId="21" fillId="0" borderId="0"/>
    <xf numFmtId="44" fontId="21" fillId="0" borderId="0"/>
    <xf numFmtId="44" fontId="21" fillId="0" borderId="0"/>
    <xf numFmtId="44" fontId="21" fillId="0" borderId="0"/>
    <xf numFmtId="44" fontId="21" fillId="0" borderId="0"/>
    <xf numFmtId="44" fontId="22" fillId="0" borderId="0" applyFont="0" applyFill="0" applyBorder="0" applyAlignment="0" applyProtection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1" fillId="0" borderId="0" applyFont="0" applyFill="0" applyBorder="0" applyAlignment="0" applyProtection="0"/>
    <xf numFmtId="44" fontId="21" fillId="0" borderId="0"/>
    <xf numFmtId="44" fontId="6" fillId="0" borderId="0"/>
    <xf numFmtId="44" fontId="21" fillId="0" borderId="0"/>
    <xf numFmtId="44" fontId="21" fillId="0" borderId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4" fontId="21" fillId="0" borderId="0" applyFill="0" applyBorder="0" applyAlignment="0"/>
    <xf numFmtId="14" fontId="6" fillId="0" borderId="0" applyFill="0" applyBorder="0" applyAlignment="0"/>
    <xf numFmtId="14" fontId="21" fillId="0" borderId="0" applyFill="0" applyBorder="0" applyAlignment="0"/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6" fillId="0" borderId="0" applyNumberFormat="0" applyFont="0" applyBorder="0" applyAlignment="0">
      <alignment horizontal="centerContinuous"/>
    </xf>
    <xf numFmtId="0" fontId="6" fillId="0" borderId="0" applyNumberFormat="0" applyFont="0" applyBorder="0" applyAlignment="0">
      <alignment horizontal="centerContinuous"/>
    </xf>
    <xf numFmtId="44" fontId="12" fillId="0" borderId="0" applyFill="0" applyBorder="0" applyAlignment="0"/>
    <xf numFmtId="44" fontId="6" fillId="0" borderId="0" applyFill="0" applyBorder="0" applyAlignment="0"/>
    <xf numFmtId="169" fontId="12" fillId="0" borderId="0" applyFill="0" applyBorder="0" applyAlignment="0"/>
    <xf numFmtId="169" fontId="6" fillId="0" borderId="0" applyFill="0" applyBorder="0" applyAlignment="0"/>
    <xf numFmtId="44" fontId="12" fillId="0" borderId="0" applyFill="0" applyBorder="0" applyAlignment="0"/>
    <xf numFmtId="44" fontId="6" fillId="0" borderId="0" applyFill="0" applyBorder="0" applyAlignment="0"/>
    <xf numFmtId="173" fontId="12" fillId="0" borderId="0" applyFill="0" applyBorder="0" applyAlignment="0"/>
    <xf numFmtId="173" fontId="6" fillId="0" borderId="0" applyFill="0" applyBorder="0" applyAlignment="0"/>
    <xf numFmtId="169" fontId="12" fillId="0" borderId="0" applyFill="0" applyBorder="0" applyAlignment="0"/>
    <xf numFmtId="169" fontId="6" fillId="0" borderId="0" applyFill="0" applyBorder="0" applyAlignment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75" fontId="26" fillId="0" borderId="0"/>
    <xf numFmtId="175" fontId="6" fillId="0" borderId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6" fillId="6" borderId="0" applyNumberFormat="0" applyBorder="0" applyAlignment="0" applyProtection="0"/>
    <xf numFmtId="0" fontId="28" fillId="6" borderId="0" applyNumberFormat="0" applyBorder="0" applyAlignment="0" applyProtection="0"/>
    <xf numFmtId="0" fontId="6" fillId="6" borderId="0" applyNumberFormat="0" applyBorder="0" applyAlignment="0" applyProtection="0"/>
    <xf numFmtId="0" fontId="28" fillId="6" borderId="0" applyNumberFormat="0" applyBorder="0" applyAlignment="0" applyProtection="0"/>
    <xf numFmtId="0" fontId="27" fillId="6" borderId="0" applyNumberFormat="0" applyBorder="0" applyAlignment="0" applyProtection="0"/>
    <xf numFmtId="0" fontId="28" fillId="6" borderId="0" applyNumberFormat="0" applyBorder="0" applyAlignment="0" applyProtection="0"/>
    <xf numFmtId="0" fontId="6" fillId="6" borderId="0" applyNumberFormat="0" applyBorder="0" applyAlignment="0" applyProtection="0"/>
    <xf numFmtId="0" fontId="28" fillId="6" borderId="0" applyNumberFormat="0" applyBorder="0" applyAlignment="0" applyProtection="0"/>
    <xf numFmtId="0" fontId="6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6" fillId="6" borderId="0" applyNumberFormat="0" applyBorder="0" applyAlignment="0" applyProtection="0"/>
    <xf numFmtId="0" fontId="27" fillId="6" borderId="0" applyNumberFormat="0" applyBorder="0" applyAlignment="0" applyProtection="0"/>
    <xf numFmtId="0" fontId="6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6" fillId="6" borderId="0" applyNumberFormat="0" applyBorder="0" applyAlignment="0" applyProtection="0"/>
    <xf numFmtId="0" fontId="28" fillId="6" borderId="0" applyNumberFormat="0" applyBorder="0" applyAlignment="0" applyProtection="0"/>
    <xf numFmtId="0" fontId="6" fillId="6" borderId="0" applyNumberFormat="0" applyBorder="0" applyAlignment="0" applyProtection="0"/>
    <xf numFmtId="0" fontId="28" fillId="6" borderId="0" applyNumberFormat="0" applyBorder="0" applyAlignment="0" applyProtection="0"/>
    <xf numFmtId="0" fontId="6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6" fillId="6" borderId="0" applyNumberFormat="0" applyBorder="0" applyAlignment="0" applyProtection="0"/>
    <xf numFmtId="0" fontId="28" fillId="6" borderId="0" applyNumberFormat="0" applyBorder="0" applyAlignment="0" applyProtection="0"/>
    <xf numFmtId="0" fontId="6" fillId="6" borderId="0" applyNumberFormat="0" applyBorder="0" applyAlignment="0" applyProtection="0"/>
    <xf numFmtId="0" fontId="27" fillId="6" borderId="0" applyNumberFormat="0" applyBorder="0" applyAlignment="0" applyProtection="0"/>
    <xf numFmtId="0" fontId="6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9" fillId="0" borderId="6" applyNumberFormat="0" applyAlignment="0" applyProtection="0">
      <alignment horizontal="left" vertical="center"/>
    </xf>
    <xf numFmtId="0" fontId="6" fillId="0" borderId="6" applyNumberFormat="0" applyAlignment="0" applyProtection="0">
      <alignment horizontal="left" vertical="center"/>
    </xf>
    <xf numFmtId="0" fontId="29" fillId="0" borderId="2">
      <alignment horizontal="left" vertical="center"/>
    </xf>
    <xf numFmtId="0" fontId="6" fillId="0" borderId="2">
      <alignment horizontal="left" vertical="center"/>
    </xf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6" fillId="0" borderId="7" applyNumberFormat="0" applyFill="0" applyAlignment="0" applyProtection="0"/>
    <xf numFmtId="0" fontId="31" fillId="0" borderId="8" applyNumberFormat="0" applyFill="0" applyAlignment="0" applyProtection="0"/>
    <xf numFmtId="0" fontId="6" fillId="0" borderId="7" applyNumberFormat="0" applyFill="0" applyAlignment="0" applyProtection="0"/>
    <xf numFmtId="0" fontId="31" fillId="0" borderId="8" applyNumberFormat="0" applyFill="0" applyAlignment="0" applyProtection="0"/>
    <xf numFmtId="0" fontId="30" fillId="0" borderId="7" applyNumberFormat="0" applyFill="0" applyAlignment="0" applyProtection="0"/>
    <xf numFmtId="0" fontId="31" fillId="0" borderId="8" applyNumberFormat="0" applyFill="0" applyAlignment="0" applyProtection="0"/>
    <xf numFmtId="0" fontId="6" fillId="0" borderId="8" applyNumberFormat="0" applyFill="0" applyAlignment="0" applyProtection="0"/>
    <xf numFmtId="0" fontId="31" fillId="0" borderId="8" applyNumberFormat="0" applyFill="0" applyAlignment="0" applyProtection="0"/>
    <xf numFmtId="0" fontId="6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6" fillId="0" borderId="7" applyNumberFormat="0" applyFill="0" applyAlignment="0" applyProtection="0"/>
    <xf numFmtId="0" fontId="30" fillId="0" borderId="7" applyNumberFormat="0" applyFill="0" applyAlignment="0" applyProtection="0"/>
    <xf numFmtId="0" fontId="6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6" fillId="0" borderId="8" applyNumberFormat="0" applyFill="0" applyAlignment="0" applyProtection="0"/>
    <xf numFmtId="0" fontId="31" fillId="0" borderId="8" applyNumberFormat="0" applyFill="0" applyAlignment="0" applyProtection="0"/>
    <xf numFmtId="0" fontId="6" fillId="0" borderId="8" applyNumberFormat="0" applyFill="0" applyAlignment="0" applyProtection="0"/>
    <xf numFmtId="0" fontId="31" fillId="0" borderId="8" applyNumberFormat="0" applyFill="0" applyAlignment="0" applyProtection="0"/>
    <xf numFmtId="0" fontId="6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6" fillId="0" borderId="8" applyNumberFormat="0" applyFill="0" applyAlignment="0" applyProtection="0"/>
    <xf numFmtId="0" fontId="31" fillId="0" borderId="8" applyNumberFormat="0" applyFill="0" applyAlignment="0" applyProtection="0"/>
    <xf numFmtId="0" fontId="6" fillId="0" borderId="8" applyNumberFormat="0" applyFill="0" applyAlignment="0" applyProtection="0"/>
    <xf numFmtId="0" fontId="30" fillId="0" borderId="7" applyNumberFormat="0" applyFill="0" applyAlignment="0" applyProtection="0"/>
    <xf numFmtId="0" fontId="6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6" fillId="0" borderId="9" applyNumberFormat="0" applyFill="0" applyAlignment="0" applyProtection="0"/>
    <xf numFmtId="0" fontId="33" fillId="0" borderId="9" applyNumberFormat="0" applyFill="0" applyAlignment="0" applyProtection="0"/>
    <xf numFmtId="0" fontId="6" fillId="0" borderId="9" applyNumberFormat="0" applyFill="0" applyAlignment="0" applyProtection="0"/>
    <xf numFmtId="0" fontId="33" fillId="0" borderId="9" applyNumberFormat="0" applyFill="0" applyAlignment="0" applyProtection="0"/>
    <xf numFmtId="0" fontId="32" fillId="0" borderId="9" applyNumberFormat="0" applyFill="0" applyAlignment="0" applyProtection="0"/>
    <xf numFmtId="0" fontId="33" fillId="0" borderId="9" applyNumberFormat="0" applyFill="0" applyAlignment="0" applyProtection="0"/>
    <xf numFmtId="0" fontId="6" fillId="0" borderId="9" applyNumberFormat="0" applyFill="0" applyAlignment="0" applyProtection="0"/>
    <xf numFmtId="0" fontId="33" fillId="0" borderId="9" applyNumberFormat="0" applyFill="0" applyAlignment="0" applyProtection="0"/>
    <xf numFmtId="0" fontId="6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6" fillId="0" borderId="9" applyNumberFormat="0" applyFill="0" applyAlignment="0" applyProtection="0"/>
    <xf numFmtId="0" fontId="32" fillId="0" borderId="9" applyNumberFormat="0" applyFill="0" applyAlignment="0" applyProtection="0"/>
    <xf numFmtId="0" fontId="6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6" fillId="0" borderId="9" applyNumberFormat="0" applyFill="0" applyAlignment="0" applyProtection="0"/>
    <xf numFmtId="0" fontId="33" fillId="0" borderId="9" applyNumberFormat="0" applyFill="0" applyAlignment="0" applyProtection="0"/>
    <xf numFmtId="0" fontId="6" fillId="0" borderId="9" applyNumberFormat="0" applyFill="0" applyAlignment="0" applyProtection="0"/>
    <xf numFmtId="0" fontId="33" fillId="0" borderId="9" applyNumberFormat="0" applyFill="0" applyAlignment="0" applyProtection="0"/>
    <xf numFmtId="0" fontId="6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6" fillId="0" borderId="9" applyNumberFormat="0" applyFill="0" applyAlignment="0" applyProtection="0"/>
    <xf numFmtId="0" fontId="33" fillId="0" borderId="9" applyNumberFormat="0" applyFill="0" applyAlignment="0" applyProtection="0"/>
    <xf numFmtId="0" fontId="6" fillId="0" borderId="9" applyNumberFormat="0" applyFill="0" applyAlignment="0" applyProtection="0"/>
    <xf numFmtId="0" fontId="32" fillId="0" borderId="9" applyNumberFormat="0" applyFill="0" applyAlignment="0" applyProtection="0"/>
    <xf numFmtId="0" fontId="6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6" fillId="0" borderId="10" applyNumberFormat="0" applyFill="0" applyAlignment="0" applyProtection="0"/>
    <xf numFmtId="0" fontId="35" fillId="0" borderId="11" applyNumberFormat="0" applyFill="0" applyAlignment="0" applyProtection="0"/>
    <xf numFmtId="0" fontId="6" fillId="0" borderId="10" applyNumberFormat="0" applyFill="0" applyAlignment="0" applyProtection="0"/>
    <xf numFmtId="0" fontId="35" fillId="0" borderId="11" applyNumberFormat="0" applyFill="0" applyAlignment="0" applyProtection="0"/>
    <xf numFmtId="0" fontId="34" fillId="0" borderId="10" applyNumberFormat="0" applyFill="0" applyAlignment="0" applyProtection="0"/>
    <xf numFmtId="0" fontId="35" fillId="0" borderId="11" applyNumberFormat="0" applyFill="0" applyAlignment="0" applyProtection="0"/>
    <xf numFmtId="0" fontId="6" fillId="0" borderId="11" applyNumberFormat="0" applyFill="0" applyAlignment="0" applyProtection="0"/>
    <xf numFmtId="0" fontId="35" fillId="0" borderId="11" applyNumberFormat="0" applyFill="0" applyAlignment="0" applyProtection="0"/>
    <xf numFmtId="0" fontId="6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6" fillId="0" borderId="10" applyNumberFormat="0" applyFill="0" applyAlignment="0" applyProtection="0"/>
    <xf numFmtId="0" fontId="34" fillId="0" borderId="10" applyNumberFormat="0" applyFill="0" applyAlignment="0" applyProtection="0"/>
    <xf numFmtId="0" fontId="6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6" fillId="0" borderId="11" applyNumberFormat="0" applyFill="0" applyAlignment="0" applyProtection="0"/>
    <xf numFmtId="0" fontId="35" fillId="0" borderId="11" applyNumberFormat="0" applyFill="0" applyAlignment="0" applyProtection="0"/>
    <xf numFmtId="0" fontId="6" fillId="0" borderId="11" applyNumberFormat="0" applyFill="0" applyAlignment="0" applyProtection="0"/>
    <xf numFmtId="0" fontId="35" fillId="0" borderId="11" applyNumberFormat="0" applyFill="0" applyAlignment="0" applyProtection="0"/>
    <xf numFmtId="0" fontId="6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6" fillId="0" borderId="11" applyNumberFormat="0" applyFill="0" applyAlignment="0" applyProtection="0"/>
    <xf numFmtId="0" fontId="35" fillId="0" borderId="11" applyNumberFormat="0" applyFill="0" applyAlignment="0" applyProtection="0"/>
    <xf numFmtId="0" fontId="6" fillId="0" borderId="11" applyNumberFormat="0" applyFill="0" applyAlignment="0" applyProtection="0"/>
    <xf numFmtId="0" fontId="34" fillId="0" borderId="10" applyNumberFormat="0" applyFill="0" applyAlignment="0" applyProtection="0"/>
    <xf numFmtId="0" fontId="6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6" fillId="5" borderId="4" applyNumberFormat="0" applyAlignment="0" applyProtection="0"/>
    <xf numFmtId="0" fontId="36" fillId="5" borderId="4" applyNumberFormat="0" applyAlignment="0" applyProtection="0"/>
    <xf numFmtId="0" fontId="6" fillId="5" borderId="4" applyNumberFormat="0" applyAlignment="0" applyProtection="0"/>
    <xf numFmtId="0" fontId="37" fillId="5" borderId="4" applyNumberFormat="0" applyAlignment="0" applyProtection="0"/>
    <xf numFmtId="0" fontId="6" fillId="5" borderId="4" applyNumberFormat="0" applyAlignment="0" applyProtection="0"/>
    <xf numFmtId="0" fontId="37" fillId="5" borderId="4" applyNumberFormat="0" applyAlignment="0" applyProtection="0"/>
    <xf numFmtId="0" fontId="36" fillId="5" borderId="4" applyNumberFormat="0" applyAlignment="0" applyProtection="0"/>
    <xf numFmtId="0" fontId="37" fillId="5" borderId="4" applyNumberFormat="0" applyAlignment="0" applyProtection="0"/>
    <xf numFmtId="0" fontId="6" fillId="5" borderId="4" applyNumberFormat="0" applyAlignment="0" applyProtection="0"/>
    <xf numFmtId="0" fontId="37" fillId="5" borderId="4" applyNumberFormat="0" applyAlignment="0" applyProtection="0"/>
    <xf numFmtId="0" fontId="6" fillId="5" borderId="4" applyNumberFormat="0" applyAlignment="0" applyProtection="0"/>
    <xf numFmtId="0" fontId="37" fillId="5" borderId="4" applyNumberFormat="0" applyAlignment="0" applyProtection="0"/>
    <xf numFmtId="0" fontId="37" fillId="5" borderId="4" applyNumberFormat="0" applyAlignment="0" applyProtection="0"/>
    <xf numFmtId="0" fontId="37" fillId="5" borderId="4" applyNumberFormat="0" applyAlignment="0" applyProtection="0"/>
    <xf numFmtId="0" fontId="37" fillId="5" borderId="4" applyNumberFormat="0" applyAlignment="0" applyProtection="0"/>
    <xf numFmtId="0" fontId="37" fillId="5" borderId="4" applyNumberFormat="0" applyAlignment="0" applyProtection="0"/>
    <xf numFmtId="0" fontId="6" fillId="5" borderId="4" applyNumberFormat="0" applyAlignment="0" applyProtection="0"/>
    <xf numFmtId="0" fontId="36" fillId="5" borderId="4" applyNumberFormat="0" applyAlignment="0" applyProtection="0"/>
    <xf numFmtId="0" fontId="6" fillId="5" borderId="4" applyNumberFormat="0" applyAlignment="0" applyProtection="0"/>
    <xf numFmtId="0" fontId="36" fillId="5" borderId="4" applyNumberFormat="0" applyAlignment="0" applyProtection="0"/>
    <xf numFmtId="0" fontId="36" fillId="5" borderId="4" applyNumberFormat="0" applyAlignment="0" applyProtection="0"/>
    <xf numFmtId="0" fontId="36" fillId="5" borderId="4" applyNumberFormat="0" applyAlignment="0" applyProtection="0"/>
    <xf numFmtId="0" fontId="36" fillId="5" borderId="4" applyNumberFormat="0" applyAlignment="0" applyProtection="0"/>
    <xf numFmtId="0" fontId="36" fillId="5" borderId="4" applyNumberFormat="0" applyAlignment="0" applyProtection="0"/>
    <xf numFmtId="0" fontId="6" fillId="5" borderId="4" applyNumberFormat="0" applyAlignment="0" applyProtection="0"/>
    <xf numFmtId="0" fontId="37" fillId="5" borderId="4" applyNumberFormat="0" applyAlignment="0" applyProtection="0"/>
    <xf numFmtId="0" fontId="6" fillId="5" borderId="4" applyNumberFormat="0" applyAlignment="0" applyProtection="0"/>
    <xf numFmtId="0" fontId="37" fillId="5" borderId="4" applyNumberFormat="0" applyAlignment="0" applyProtection="0"/>
    <xf numFmtId="0" fontId="6" fillId="5" borderId="4" applyNumberFormat="0" applyAlignment="0" applyProtection="0"/>
    <xf numFmtId="0" fontId="37" fillId="5" borderId="4" applyNumberFormat="0" applyAlignment="0" applyProtection="0"/>
    <xf numFmtId="0" fontId="37" fillId="5" borderId="4" applyNumberFormat="0" applyAlignment="0" applyProtection="0"/>
    <xf numFmtId="0" fontId="37" fillId="5" borderId="4" applyNumberFormat="0" applyAlignment="0" applyProtection="0"/>
    <xf numFmtId="0" fontId="37" fillId="5" borderId="4" applyNumberFormat="0" applyAlignment="0" applyProtection="0"/>
    <xf numFmtId="0" fontId="37" fillId="5" borderId="4" applyNumberFormat="0" applyAlignment="0" applyProtection="0"/>
    <xf numFmtId="0" fontId="37" fillId="5" borderId="4" applyNumberFormat="0" applyAlignment="0" applyProtection="0"/>
    <xf numFmtId="0" fontId="6" fillId="5" borderId="4" applyNumberFormat="0" applyAlignment="0" applyProtection="0"/>
    <xf numFmtId="0" fontId="37" fillId="5" borderId="4" applyNumberFormat="0" applyAlignment="0" applyProtection="0"/>
    <xf numFmtId="0" fontId="6" fillId="5" borderId="4" applyNumberFormat="0" applyAlignment="0" applyProtection="0"/>
    <xf numFmtId="0" fontId="36" fillId="5" borderId="4" applyNumberFormat="0" applyAlignment="0" applyProtection="0"/>
    <xf numFmtId="0" fontId="6" fillId="5" borderId="4" applyNumberFormat="0" applyAlignment="0" applyProtection="0"/>
    <xf numFmtId="0" fontId="36" fillId="5" borderId="4" applyNumberFormat="0" applyAlignment="0" applyProtection="0"/>
    <xf numFmtId="0" fontId="36" fillId="5" borderId="4" applyNumberFormat="0" applyAlignment="0" applyProtection="0"/>
    <xf numFmtId="0" fontId="36" fillId="5" borderId="4" applyNumberFormat="0" applyAlignment="0" applyProtection="0"/>
    <xf numFmtId="0" fontId="36" fillId="5" borderId="4" applyNumberFormat="0" applyAlignment="0" applyProtection="0"/>
    <xf numFmtId="0" fontId="17" fillId="26" borderId="0">
      <alignment horizontal="left"/>
    </xf>
    <xf numFmtId="0" fontId="6" fillId="26" borderId="0">
      <alignment horizontal="left"/>
    </xf>
    <xf numFmtId="0" fontId="38" fillId="3" borderId="0">
      <alignment horizontal="left"/>
    </xf>
    <xf numFmtId="0" fontId="6" fillId="3" borderId="0">
      <alignment horizontal="left"/>
    </xf>
    <xf numFmtId="44" fontId="12" fillId="0" borderId="0" applyFill="0" applyBorder="0" applyAlignment="0"/>
    <xf numFmtId="44" fontId="6" fillId="0" borderId="0" applyFill="0" applyBorder="0" applyAlignment="0"/>
    <xf numFmtId="169" fontId="12" fillId="0" borderId="0" applyFill="0" applyBorder="0" applyAlignment="0"/>
    <xf numFmtId="169" fontId="6" fillId="0" borderId="0" applyFill="0" applyBorder="0" applyAlignment="0"/>
    <xf numFmtId="44" fontId="12" fillId="0" borderId="0" applyFill="0" applyBorder="0" applyAlignment="0"/>
    <xf numFmtId="44" fontId="6" fillId="0" borderId="0" applyFill="0" applyBorder="0" applyAlignment="0"/>
    <xf numFmtId="173" fontId="12" fillId="0" borderId="0" applyFill="0" applyBorder="0" applyAlignment="0"/>
    <xf numFmtId="173" fontId="6" fillId="0" borderId="0" applyFill="0" applyBorder="0" applyAlignment="0"/>
    <xf numFmtId="169" fontId="12" fillId="0" borderId="0" applyFill="0" applyBorder="0" applyAlignment="0"/>
    <xf numFmtId="169" fontId="6" fillId="0" borderId="0" applyFill="0" applyBorder="0" applyAlignment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6" fillId="0" borderId="12" applyNumberFormat="0" applyFill="0" applyAlignment="0" applyProtection="0"/>
    <xf numFmtId="0" fontId="40" fillId="0" borderId="12" applyNumberFormat="0" applyFill="0" applyAlignment="0" applyProtection="0"/>
    <xf numFmtId="0" fontId="6" fillId="0" borderId="12" applyNumberFormat="0" applyFill="0" applyAlignment="0" applyProtection="0"/>
    <xf numFmtId="0" fontId="40" fillId="0" borderId="12" applyNumberFormat="0" applyFill="0" applyAlignment="0" applyProtection="0"/>
    <xf numFmtId="0" fontId="39" fillId="0" borderId="12" applyNumberFormat="0" applyFill="0" applyAlignment="0" applyProtection="0"/>
    <xf numFmtId="0" fontId="40" fillId="0" borderId="12" applyNumberFormat="0" applyFill="0" applyAlignment="0" applyProtection="0"/>
    <xf numFmtId="0" fontId="6" fillId="0" borderId="12" applyNumberFormat="0" applyFill="0" applyAlignment="0" applyProtection="0"/>
    <xf numFmtId="0" fontId="40" fillId="0" borderId="12" applyNumberFormat="0" applyFill="0" applyAlignment="0" applyProtection="0"/>
    <xf numFmtId="0" fontId="6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6" fillId="0" borderId="12" applyNumberFormat="0" applyFill="0" applyAlignment="0" applyProtection="0"/>
    <xf numFmtId="0" fontId="39" fillId="0" borderId="12" applyNumberFormat="0" applyFill="0" applyAlignment="0" applyProtection="0"/>
    <xf numFmtId="0" fontId="6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6" fillId="0" borderId="12" applyNumberFormat="0" applyFill="0" applyAlignment="0" applyProtection="0"/>
    <xf numFmtId="0" fontId="40" fillId="0" borderId="12" applyNumberFormat="0" applyFill="0" applyAlignment="0" applyProtection="0"/>
    <xf numFmtId="0" fontId="6" fillId="0" borderId="12" applyNumberFormat="0" applyFill="0" applyAlignment="0" applyProtection="0"/>
    <xf numFmtId="0" fontId="40" fillId="0" borderId="12" applyNumberFormat="0" applyFill="0" applyAlignment="0" applyProtection="0"/>
    <xf numFmtId="0" fontId="6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6" fillId="0" borderId="12" applyNumberFormat="0" applyFill="0" applyAlignment="0" applyProtection="0"/>
    <xf numFmtId="0" fontId="40" fillId="0" borderId="12" applyNumberFormat="0" applyFill="0" applyAlignment="0" applyProtection="0"/>
    <xf numFmtId="0" fontId="6" fillId="0" borderId="12" applyNumberFormat="0" applyFill="0" applyAlignment="0" applyProtection="0"/>
    <xf numFmtId="0" fontId="39" fillId="0" borderId="12" applyNumberFormat="0" applyFill="0" applyAlignment="0" applyProtection="0"/>
    <xf numFmtId="0" fontId="6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6" fillId="14" borderId="0" applyNumberFormat="0" applyBorder="0" applyAlignment="0" applyProtection="0"/>
    <xf numFmtId="0" fontId="42" fillId="14" borderId="0" applyNumberFormat="0" applyBorder="0" applyAlignment="0" applyProtection="0"/>
    <xf numFmtId="0" fontId="6" fillId="14" borderId="0" applyNumberFormat="0" applyBorder="0" applyAlignment="0" applyProtection="0"/>
    <xf numFmtId="0" fontId="42" fillId="14" borderId="0" applyNumberFormat="0" applyBorder="0" applyAlignment="0" applyProtection="0"/>
    <xf numFmtId="0" fontId="41" fillId="14" borderId="0" applyNumberFormat="0" applyBorder="0" applyAlignment="0" applyProtection="0"/>
    <xf numFmtId="0" fontId="42" fillId="14" borderId="0" applyNumberFormat="0" applyBorder="0" applyAlignment="0" applyProtection="0"/>
    <xf numFmtId="0" fontId="6" fillId="14" borderId="0" applyNumberFormat="0" applyBorder="0" applyAlignment="0" applyProtection="0"/>
    <xf numFmtId="0" fontId="42" fillId="14" borderId="0" applyNumberFormat="0" applyBorder="0" applyAlignment="0" applyProtection="0"/>
    <xf numFmtId="0" fontId="6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6" fillId="14" borderId="0" applyNumberFormat="0" applyBorder="0" applyAlignment="0" applyProtection="0"/>
    <xf numFmtId="0" fontId="41" fillId="14" borderId="0" applyNumberFormat="0" applyBorder="0" applyAlignment="0" applyProtection="0"/>
    <xf numFmtId="0" fontId="6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6" fillId="14" borderId="0" applyNumberFormat="0" applyBorder="0" applyAlignment="0" applyProtection="0"/>
    <xf numFmtId="0" fontId="42" fillId="14" borderId="0" applyNumberFormat="0" applyBorder="0" applyAlignment="0" applyProtection="0"/>
    <xf numFmtId="0" fontId="6" fillId="14" borderId="0" applyNumberFormat="0" applyBorder="0" applyAlignment="0" applyProtection="0"/>
    <xf numFmtId="0" fontId="42" fillId="14" borderId="0" applyNumberFormat="0" applyBorder="0" applyAlignment="0" applyProtection="0"/>
    <xf numFmtId="0" fontId="6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6" fillId="14" borderId="0" applyNumberFormat="0" applyBorder="0" applyAlignment="0" applyProtection="0"/>
    <xf numFmtId="0" fontId="42" fillId="14" borderId="0" applyNumberFormat="0" applyBorder="0" applyAlignment="0" applyProtection="0"/>
    <xf numFmtId="0" fontId="6" fillId="14" borderId="0" applyNumberFormat="0" applyBorder="0" applyAlignment="0" applyProtection="0"/>
    <xf numFmtId="0" fontId="41" fillId="14" borderId="0" applyNumberFormat="0" applyBorder="0" applyAlignment="0" applyProtection="0"/>
    <xf numFmtId="0" fontId="6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39" fontId="43" fillId="0" borderId="0"/>
    <xf numFmtId="176" fontId="44" fillId="0" borderId="0"/>
    <xf numFmtId="176" fontId="44" fillId="0" borderId="0"/>
    <xf numFmtId="177" fontId="6" fillId="0" borderId="0"/>
    <xf numFmtId="176" fontId="44" fillId="0" borderId="0"/>
    <xf numFmtId="176" fontId="6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7" fontId="6" fillId="0" borderId="0"/>
    <xf numFmtId="177" fontId="6" fillId="0" borderId="0"/>
    <xf numFmtId="177" fontId="6" fillId="0" borderId="0"/>
    <xf numFmtId="176" fontId="6" fillId="0" borderId="0"/>
    <xf numFmtId="176" fontId="44" fillId="0" borderId="0"/>
    <xf numFmtId="177" fontId="6" fillId="0" borderId="0"/>
    <xf numFmtId="176" fontId="44" fillId="0" borderId="0"/>
    <xf numFmtId="177" fontId="6" fillId="0" borderId="0"/>
    <xf numFmtId="176" fontId="44" fillId="0" borderId="0"/>
    <xf numFmtId="177" fontId="6" fillId="0" borderId="0"/>
    <xf numFmtId="176" fontId="44" fillId="0" borderId="0"/>
    <xf numFmtId="177" fontId="6" fillId="0" borderId="0"/>
    <xf numFmtId="176" fontId="44" fillId="0" borderId="0"/>
    <xf numFmtId="177" fontId="6" fillId="0" borderId="0"/>
    <xf numFmtId="176" fontId="44" fillId="0" borderId="0"/>
    <xf numFmtId="177" fontId="6" fillId="0" borderId="0"/>
    <xf numFmtId="176" fontId="44" fillId="0" borderId="0"/>
    <xf numFmtId="177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4" fillId="0" borderId="0"/>
    <xf numFmtId="0" fontId="6" fillId="0" borderId="0"/>
    <xf numFmtId="0" fontId="6" fillId="0" borderId="0"/>
    <xf numFmtId="0" fontId="2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>
      <alignment vertical="top"/>
    </xf>
    <xf numFmtId="0" fontId="4" fillId="0" borderId="0"/>
    <xf numFmtId="0" fontId="6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6" fillId="0" borderId="0">
      <alignment vertical="top"/>
    </xf>
    <xf numFmtId="0" fontId="21" fillId="0" borderId="0">
      <alignment vertical="top"/>
    </xf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" fillId="0" borderId="0"/>
    <xf numFmtId="0" fontId="47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7" fillId="0" borderId="0"/>
    <xf numFmtId="0" fontId="6" fillId="0" borderId="0"/>
    <xf numFmtId="0" fontId="4" fillId="0" borderId="0"/>
    <xf numFmtId="0" fontId="6" fillId="0" borderId="0"/>
    <xf numFmtId="0" fontId="47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21" fillId="0" borderId="0">
      <alignment vertical="top"/>
    </xf>
    <xf numFmtId="0" fontId="6" fillId="0" borderId="0"/>
    <xf numFmtId="0" fontId="21" fillId="0" borderId="0"/>
    <xf numFmtId="0" fontId="1" fillId="0" borderId="0"/>
    <xf numFmtId="0" fontId="1" fillId="0" borderId="0"/>
    <xf numFmtId="0" fontId="4" fillId="0" borderId="0"/>
    <xf numFmtId="0" fontId="21" fillId="0" borderId="0">
      <alignment vertical="top"/>
    </xf>
    <xf numFmtId="0" fontId="6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6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6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6" fillId="0" borderId="0"/>
    <xf numFmtId="0" fontId="21" fillId="0" borderId="0">
      <alignment vertical="top"/>
    </xf>
    <xf numFmtId="0" fontId="6" fillId="0" borderId="0">
      <alignment vertical="top"/>
    </xf>
    <xf numFmtId="0" fontId="6" fillId="0" borderId="0"/>
    <xf numFmtId="0" fontId="21" fillId="0" borderId="0">
      <alignment vertical="top"/>
    </xf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1" fillId="0" borderId="0"/>
    <xf numFmtId="0" fontId="21" fillId="0" borderId="0">
      <alignment vertical="top"/>
    </xf>
    <xf numFmtId="0" fontId="6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6" fillId="0" borderId="0">
      <alignment vertical="top"/>
    </xf>
    <xf numFmtId="0" fontId="21" fillId="0" borderId="0">
      <alignment vertical="top"/>
    </xf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21" fillId="0" borderId="0">
      <alignment vertical="top"/>
    </xf>
    <xf numFmtId="0" fontId="6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6" fillId="0" borderId="0">
      <alignment vertical="top"/>
    </xf>
    <xf numFmtId="0" fontId="21" fillId="0" borderId="0">
      <alignment vertical="top"/>
    </xf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7" fillId="0" borderId="0"/>
    <xf numFmtId="0" fontId="6" fillId="0" borderId="0"/>
    <xf numFmtId="0" fontId="4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" fillId="0" borderId="0"/>
    <xf numFmtId="0" fontId="6" fillId="0" borderId="0"/>
    <xf numFmtId="0" fontId="47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47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1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6" fillId="0" borderId="0"/>
    <xf numFmtId="0" fontId="47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6" fillId="0" borderId="0"/>
    <xf numFmtId="0" fontId="1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1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1" fillId="0" borderId="0"/>
    <xf numFmtId="0" fontId="4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22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5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4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13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" fillId="0" borderId="0"/>
    <xf numFmtId="0" fontId="4" fillId="0" borderId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7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7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7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7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7" fillId="7" borderId="14" applyNumberFormat="0" applyFont="0" applyAlignment="0" applyProtection="0"/>
    <xf numFmtId="0" fontId="7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7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7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7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7" fillId="7" borderId="14" applyNumberFormat="0" applyFont="0" applyAlignment="0" applyProtection="0"/>
    <xf numFmtId="0" fontId="7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7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7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7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51" fillId="11" borderId="15" applyNumberFormat="0" applyAlignment="0" applyProtection="0"/>
    <xf numFmtId="0" fontId="51" fillId="11" borderId="15" applyNumberFormat="0" applyAlignment="0" applyProtection="0"/>
    <xf numFmtId="0" fontId="6" fillId="11" borderId="15" applyNumberFormat="0" applyAlignment="0" applyProtection="0"/>
    <xf numFmtId="0" fontId="52" fillId="3" borderId="15" applyNumberFormat="0" applyAlignment="0" applyProtection="0"/>
    <xf numFmtId="0" fontId="6" fillId="11" borderId="15" applyNumberFormat="0" applyAlignment="0" applyProtection="0"/>
    <xf numFmtId="0" fontId="52" fillId="3" borderId="15" applyNumberFormat="0" applyAlignment="0" applyProtection="0"/>
    <xf numFmtId="0" fontId="51" fillId="11" borderId="15" applyNumberFormat="0" applyAlignment="0" applyProtection="0"/>
    <xf numFmtId="0" fontId="52" fillId="3" borderId="15" applyNumberFormat="0" applyAlignment="0" applyProtection="0"/>
    <xf numFmtId="0" fontId="6" fillId="3" borderId="15" applyNumberFormat="0" applyAlignment="0" applyProtection="0"/>
    <xf numFmtId="0" fontId="52" fillId="3" borderId="15" applyNumberFormat="0" applyAlignment="0" applyProtection="0"/>
    <xf numFmtId="0" fontId="6" fillId="3" borderId="15" applyNumberFormat="0" applyAlignment="0" applyProtection="0"/>
    <xf numFmtId="0" fontId="52" fillId="3" borderId="15" applyNumberFormat="0" applyAlignment="0" applyProtection="0"/>
    <xf numFmtId="0" fontId="52" fillId="3" borderId="15" applyNumberFormat="0" applyAlignment="0" applyProtection="0"/>
    <xf numFmtId="0" fontId="52" fillId="3" borderId="15" applyNumberFormat="0" applyAlignment="0" applyProtection="0"/>
    <xf numFmtId="0" fontId="52" fillId="3" borderId="15" applyNumberFormat="0" applyAlignment="0" applyProtection="0"/>
    <xf numFmtId="0" fontId="52" fillId="3" borderId="15" applyNumberFormat="0" applyAlignment="0" applyProtection="0"/>
    <xf numFmtId="0" fontId="6" fillId="11" borderId="15" applyNumberFormat="0" applyAlignment="0" applyProtection="0"/>
    <xf numFmtId="0" fontId="51" fillId="11" borderId="15" applyNumberFormat="0" applyAlignment="0" applyProtection="0"/>
    <xf numFmtId="0" fontId="6" fillId="11" borderId="15" applyNumberFormat="0" applyAlignment="0" applyProtection="0"/>
    <xf numFmtId="0" fontId="51" fillId="11" borderId="15" applyNumberFormat="0" applyAlignment="0" applyProtection="0"/>
    <xf numFmtId="0" fontId="51" fillId="11" borderId="15" applyNumberFormat="0" applyAlignment="0" applyProtection="0"/>
    <xf numFmtId="0" fontId="51" fillId="11" borderId="15" applyNumberFormat="0" applyAlignment="0" applyProtection="0"/>
    <xf numFmtId="0" fontId="51" fillId="11" borderId="15" applyNumberFormat="0" applyAlignment="0" applyProtection="0"/>
    <xf numFmtId="0" fontId="51" fillId="11" borderId="15" applyNumberFormat="0" applyAlignment="0" applyProtection="0"/>
    <xf numFmtId="0" fontId="6" fillId="3" borderId="15" applyNumberFormat="0" applyAlignment="0" applyProtection="0"/>
    <xf numFmtId="0" fontId="52" fillId="3" borderId="15" applyNumberFormat="0" applyAlignment="0" applyProtection="0"/>
    <xf numFmtId="0" fontId="6" fillId="3" borderId="15" applyNumberFormat="0" applyAlignment="0" applyProtection="0"/>
    <xf numFmtId="0" fontId="52" fillId="3" borderId="15" applyNumberFormat="0" applyAlignment="0" applyProtection="0"/>
    <xf numFmtId="0" fontId="6" fillId="3" borderId="15" applyNumberFormat="0" applyAlignment="0" applyProtection="0"/>
    <xf numFmtId="0" fontId="52" fillId="3" borderId="15" applyNumberFormat="0" applyAlignment="0" applyProtection="0"/>
    <xf numFmtId="0" fontId="52" fillId="3" borderId="15" applyNumberFormat="0" applyAlignment="0" applyProtection="0"/>
    <xf numFmtId="0" fontId="52" fillId="3" borderId="15" applyNumberFormat="0" applyAlignment="0" applyProtection="0"/>
    <xf numFmtId="0" fontId="52" fillId="3" borderId="15" applyNumberFormat="0" applyAlignment="0" applyProtection="0"/>
    <xf numFmtId="0" fontId="52" fillId="3" borderId="15" applyNumberFormat="0" applyAlignment="0" applyProtection="0"/>
    <xf numFmtId="0" fontId="52" fillId="3" borderId="15" applyNumberFormat="0" applyAlignment="0" applyProtection="0"/>
    <xf numFmtId="0" fontId="6" fillId="3" borderId="15" applyNumberFormat="0" applyAlignment="0" applyProtection="0"/>
    <xf numFmtId="0" fontId="52" fillId="3" borderId="15" applyNumberFormat="0" applyAlignment="0" applyProtection="0"/>
    <xf numFmtId="0" fontId="6" fillId="3" borderId="15" applyNumberFormat="0" applyAlignment="0" applyProtection="0"/>
    <xf numFmtId="0" fontId="51" fillId="11" borderId="15" applyNumberFormat="0" applyAlignment="0" applyProtection="0"/>
    <xf numFmtId="0" fontId="6" fillId="11" borderId="15" applyNumberFormat="0" applyAlignment="0" applyProtection="0"/>
    <xf numFmtId="0" fontId="51" fillId="11" borderId="15" applyNumberFormat="0" applyAlignment="0" applyProtection="0"/>
    <xf numFmtId="0" fontId="51" fillId="11" borderId="15" applyNumberFormat="0" applyAlignment="0" applyProtection="0"/>
    <xf numFmtId="0" fontId="51" fillId="11" borderId="15" applyNumberFormat="0" applyAlignment="0" applyProtection="0"/>
    <xf numFmtId="0" fontId="51" fillId="11" borderId="15" applyNumberFormat="0" applyAlignment="0" applyProtection="0"/>
    <xf numFmtId="40" fontId="53" fillId="27" borderId="0">
      <alignment horizontal="right"/>
    </xf>
    <xf numFmtId="40" fontId="53" fillId="27" borderId="0">
      <alignment horizontal="right"/>
    </xf>
    <xf numFmtId="178" fontId="6" fillId="3" borderId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178" fontId="6" fillId="3" borderId="0">
      <alignment horizontal="right"/>
    </xf>
    <xf numFmtId="178" fontId="6" fillId="3" borderId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40" fontId="6" fillId="27" borderId="0">
      <alignment horizontal="right"/>
    </xf>
    <xf numFmtId="178" fontId="21" fillId="3" borderId="0">
      <alignment horizontal="right"/>
    </xf>
    <xf numFmtId="178" fontId="21" fillId="3" borderId="0">
      <alignment horizontal="right"/>
    </xf>
    <xf numFmtId="178" fontId="21" fillId="3" borderId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40" fontId="6" fillId="27" borderId="0">
      <alignment horizontal="right"/>
    </xf>
    <xf numFmtId="178" fontId="21" fillId="3" borderId="0">
      <alignment horizontal="right"/>
    </xf>
    <xf numFmtId="178" fontId="21" fillId="3" borderId="0">
      <alignment horizontal="right"/>
    </xf>
    <xf numFmtId="178" fontId="21" fillId="3" borderId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178" fontId="6" fillId="3" borderId="0">
      <alignment horizontal="right"/>
    </xf>
    <xf numFmtId="178" fontId="21" fillId="3" borderId="0">
      <alignment horizontal="right"/>
    </xf>
    <xf numFmtId="178" fontId="21" fillId="3" borderId="0">
      <alignment horizontal="right"/>
    </xf>
    <xf numFmtId="178" fontId="21" fillId="3" borderId="0">
      <alignment horizontal="right"/>
    </xf>
    <xf numFmtId="178" fontId="21" fillId="3" borderId="0">
      <alignment horizontal="right"/>
    </xf>
    <xf numFmtId="178" fontId="6" fillId="3" borderId="0">
      <alignment horizontal="right"/>
    </xf>
    <xf numFmtId="40" fontId="21" fillId="27" borderId="0">
      <alignment horizontal="right"/>
    </xf>
    <xf numFmtId="37" fontId="21" fillId="27" borderId="0" applyBorder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40" fontId="53" fillId="27" borderId="0">
      <alignment horizontal="right"/>
    </xf>
    <xf numFmtId="40" fontId="6" fillId="27" borderId="0">
      <alignment horizontal="right"/>
    </xf>
    <xf numFmtId="40" fontId="6" fillId="27" borderId="0">
      <alignment horizontal="right"/>
    </xf>
    <xf numFmtId="40" fontId="6" fillId="27" borderId="0">
      <alignment horizontal="right"/>
    </xf>
    <xf numFmtId="178" fontId="6" fillId="3" borderId="0">
      <alignment horizontal="right"/>
    </xf>
    <xf numFmtId="178" fontId="6" fillId="3" borderId="0">
      <alignment horizontal="right"/>
    </xf>
    <xf numFmtId="178" fontId="6" fillId="3" borderId="0">
      <alignment horizontal="right"/>
    </xf>
    <xf numFmtId="178" fontId="6" fillId="3" borderId="0">
      <alignment horizontal="right"/>
    </xf>
    <xf numFmtId="40" fontId="53" fillId="27" borderId="0">
      <alignment horizontal="right"/>
    </xf>
    <xf numFmtId="40" fontId="6" fillId="27" borderId="0">
      <alignment horizontal="right"/>
    </xf>
    <xf numFmtId="40" fontId="53" fillId="27" borderId="0">
      <alignment horizontal="right"/>
    </xf>
    <xf numFmtId="40" fontId="6" fillId="27" borderId="0">
      <alignment horizontal="right"/>
    </xf>
    <xf numFmtId="40" fontId="53" fillId="27" borderId="0">
      <alignment horizontal="right"/>
    </xf>
    <xf numFmtId="40" fontId="6" fillId="27" borderId="0">
      <alignment horizontal="right"/>
    </xf>
    <xf numFmtId="178" fontId="21" fillId="3" borderId="0">
      <alignment horizontal="right"/>
    </xf>
    <xf numFmtId="178" fontId="6" fillId="3" borderId="0">
      <alignment horizontal="right"/>
    </xf>
    <xf numFmtId="178" fontId="6" fillId="3" borderId="0">
      <alignment horizontal="right"/>
    </xf>
    <xf numFmtId="40" fontId="6" fillId="27" borderId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178" fontId="6" fillId="3" borderId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178" fontId="21" fillId="3" borderId="0">
      <alignment horizontal="right"/>
    </xf>
    <xf numFmtId="178" fontId="6" fillId="3" borderId="0">
      <alignment horizontal="right"/>
    </xf>
    <xf numFmtId="178" fontId="6" fillId="3" borderId="0">
      <alignment horizontal="right"/>
    </xf>
    <xf numFmtId="178" fontId="6" fillId="3" borderId="0">
      <alignment horizontal="right"/>
    </xf>
    <xf numFmtId="40" fontId="6" fillId="27" borderId="0">
      <alignment horizontal="right"/>
    </xf>
    <xf numFmtId="40" fontId="6" fillId="27" borderId="0">
      <alignment horizontal="right"/>
    </xf>
    <xf numFmtId="40" fontId="6" fillId="27" borderId="0">
      <alignment horizontal="right"/>
    </xf>
    <xf numFmtId="40" fontId="6" fillId="27" borderId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178" fontId="6" fillId="3" borderId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178" fontId="6" fillId="3" borderId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178" fontId="6" fillId="3" borderId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178" fontId="6" fillId="3" borderId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178" fontId="6" fillId="3" borderId="0">
      <alignment horizontal="right"/>
    </xf>
    <xf numFmtId="178" fontId="21" fillId="3" borderId="0">
      <alignment horizontal="right"/>
    </xf>
    <xf numFmtId="178" fontId="21" fillId="3" borderId="0">
      <alignment horizontal="right"/>
    </xf>
    <xf numFmtId="0" fontId="54" fillId="27" borderId="0">
      <alignment horizontal="right"/>
    </xf>
    <xf numFmtId="0" fontId="54" fillId="27" borderId="0">
      <alignment horizontal="right"/>
    </xf>
    <xf numFmtId="0" fontId="6" fillId="28" borderId="0">
      <alignment horizontal="center"/>
    </xf>
    <xf numFmtId="0" fontId="54" fillId="27" borderId="0">
      <alignment horizontal="right"/>
    </xf>
    <xf numFmtId="0" fontId="6" fillId="27" borderId="0">
      <alignment horizontal="right"/>
    </xf>
    <xf numFmtId="0" fontId="54" fillId="27" borderId="0">
      <alignment horizontal="right"/>
    </xf>
    <xf numFmtId="0" fontId="6" fillId="27" borderId="0">
      <alignment horizontal="right"/>
    </xf>
    <xf numFmtId="0" fontId="54" fillId="27" borderId="0">
      <alignment horizontal="right"/>
    </xf>
    <xf numFmtId="0" fontId="6" fillId="28" borderId="0">
      <alignment horizontal="center"/>
    </xf>
    <xf numFmtId="0" fontId="54" fillId="27" borderId="0">
      <alignment horizontal="right"/>
    </xf>
    <xf numFmtId="0" fontId="55" fillId="28" borderId="0">
      <alignment horizontal="center"/>
    </xf>
    <xf numFmtId="0" fontId="6" fillId="28" borderId="0">
      <alignment horizontal="center"/>
    </xf>
    <xf numFmtId="0" fontId="55" fillId="29" borderId="0">
      <alignment horizontal="center"/>
    </xf>
    <xf numFmtId="0" fontId="54" fillId="27" borderId="0">
      <alignment horizontal="right"/>
    </xf>
    <xf numFmtId="0" fontId="54" fillId="27" borderId="0">
      <alignment horizontal="right"/>
    </xf>
    <xf numFmtId="0" fontId="6" fillId="27" borderId="0">
      <alignment horizontal="right"/>
    </xf>
    <xf numFmtId="0" fontId="6" fillId="27" borderId="0">
      <alignment horizontal="right"/>
    </xf>
    <xf numFmtId="0" fontId="6" fillId="27" borderId="0">
      <alignment horizontal="right"/>
    </xf>
    <xf numFmtId="0" fontId="6" fillId="28" borderId="0">
      <alignment horizontal="center"/>
    </xf>
    <xf numFmtId="0" fontId="6" fillId="28" borderId="0">
      <alignment horizontal="center"/>
    </xf>
    <xf numFmtId="0" fontId="6" fillId="28" borderId="0">
      <alignment horizontal="center"/>
    </xf>
    <xf numFmtId="0" fontId="6" fillId="28" borderId="0">
      <alignment horizontal="center"/>
    </xf>
    <xf numFmtId="0" fontId="54" fillId="27" borderId="0">
      <alignment horizontal="right"/>
    </xf>
    <xf numFmtId="0" fontId="6" fillId="27" borderId="0">
      <alignment horizontal="right"/>
    </xf>
    <xf numFmtId="0" fontId="54" fillId="27" borderId="0">
      <alignment horizontal="right"/>
    </xf>
    <xf numFmtId="0" fontId="6" fillId="27" borderId="0">
      <alignment horizontal="right"/>
    </xf>
    <xf numFmtId="0" fontId="54" fillId="27" borderId="0">
      <alignment horizontal="right"/>
    </xf>
    <xf numFmtId="0" fontId="6" fillId="27" borderId="0">
      <alignment horizontal="right"/>
    </xf>
    <xf numFmtId="0" fontId="6" fillId="28" borderId="0">
      <alignment horizontal="center"/>
    </xf>
    <xf numFmtId="0" fontId="6" fillId="28" borderId="0">
      <alignment horizontal="center"/>
    </xf>
    <xf numFmtId="0" fontId="6" fillId="27" borderId="0">
      <alignment horizontal="right"/>
    </xf>
    <xf numFmtId="0" fontId="54" fillId="27" borderId="0">
      <alignment horizontal="right"/>
    </xf>
    <xf numFmtId="0" fontId="6" fillId="28" borderId="0">
      <alignment horizontal="center"/>
    </xf>
    <xf numFmtId="0" fontId="6" fillId="28" borderId="0">
      <alignment horizontal="center"/>
    </xf>
    <xf numFmtId="0" fontId="6" fillId="28" borderId="0">
      <alignment horizontal="center"/>
    </xf>
    <xf numFmtId="0" fontId="6" fillId="27" borderId="0">
      <alignment horizontal="right"/>
    </xf>
    <xf numFmtId="0" fontId="6" fillId="27" borderId="0">
      <alignment horizontal="right"/>
    </xf>
    <xf numFmtId="0" fontId="6" fillId="27" borderId="0">
      <alignment horizontal="right"/>
    </xf>
    <xf numFmtId="0" fontId="6" fillId="27" borderId="0">
      <alignment horizontal="right"/>
    </xf>
    <xf numFmtId="0" fontId="54" fillId="27" borderId="0">
      <alignment horizontal="right"/>
    </xf>
    <xf numFmtId="0" fontId="6" fillId="28" borderId="0">
      <alignment horizontal="center"/>
    </xf>
    <xf numFmtId="0" fontId="54" fillId="27" borderId="0">
      <alignment horizontal="right"/>
    </xf>
    <xf numFmtId="0" fontId="6" fillId="28" borderId="0">
      <alignment horizontal="center"/>
    </xf>
    <xf numFmtId="0" fontId="54" fillId="27" borderId="0">
      <alignment horizontal="right"/>
    </xf>
    <xf numFmtId="0" fontId="6" fillId="28" borderId="0">
      <alignment horizontal="center"/>
    </xf>
    <xf numFmtId="0" fontId="54" fillId="27" borderId="0">
      <alignment horizontal="right"/>
    </xf>
    <xf numFmtId="0" fontId="6" fillId="28" borderId="0">
      <alignment horizontal="center"/>
    </xf>
    <xf numFmtId="0" fontId="54" fillId="27" borderId="0">
      <alignment horizontal="right"/>
    </xf>
    <xf numFmtId="0" fontId="6" fillId="28" borderId="0">
      <alignment horizontal="center"/>
    </xf>
    <xf numFmtId="0" fontId="54" fillId="27" borderId="0">
      <alignment horizontal="right"/>
    </xf>
    <xf numFmtId="0" fontId="6" fillId="28" borderId="0">
      <alignment horizontal="center"/>
    </xf>
    <xf numFmtId="0" fontId="55" fillId="28" borderId="0">
      <alignment horizontal="center"/>
    </xf>
    <xf numFmtId="0" fontId="56" fillId="27" borderId="3"/>
    <xf numFmtId="0" fontId="56" fillId="27" borderId="3"/>
    <xf numFmtId="0" fontId="6" fillId="30" borderId="3"/>
    <xf numFmtId="0" fontId="56" fillId="27" borderId="3"/>
    <xf numFmtId="0" fontId="6" fillId="27" borderId="3"/>
    <xf numFmtId="0" fontId="56" fillId="27" borderId="3"/>
    <xf numFmtId="0" fontId="6" fillId="27" borderId="3"/>
    <xf numFmtId="0" fontId="56" fillId="27" borderId="3"/>
    <xf numFmtId="0" fontId="6" fillId="30" borderId="3"/>
    <xf numFmtId="0" fontId="56" fillId="27" borderId="3"/>
    <xf numFmtId="0" fontId="17" fillId="30" borderId="3"/>
    <xf numFmtId="0" fontId="6" fillId="30" borderId="3"/>
    <xf numFmtId="0" fontId="17" fillId="30" borderId="3"/>
    <xf numFmtId="0" fontId="56" fillId="27" borderId="3"/>
    <xf numFmtId="0" fontId="56" fillId="27" borderId="3"/>
    <xf numFmtId="0" fontId="6" fillId="27" borderId="3"/>
    <xf numFmtId="0" fontId="6" fillId="27" borderId="3"/>
    <xf numFmtId="0" fontId="6" fillId="27" borderId="3"/>
    <xf numFmtId="0" fontId="6" fillId="30" borderId="3"/>
    <xf numFmtId="0" fontId="6" fillId="30" borderId="3"/>
    <xf numFmtId="0" fontId="6" fillId="30" borderId="3"/>
    <xf numFmtId="0" fontId="6" fillId="30" borderId="3"/>
    <xf numFmtId="0" fontId="56" fillId="27" borderId="3"/>
    <xf numFmtId="0" fontId="6" fillId="27" borderId="3"/>
    <xf numFmtId="0" fontId="56" fillId="27" borderId="3"/>
    <xf numFmtId="0" fontId="6" fillId="27" borderId="3"/>
    <xf numFmtId="0" fontId="56" fillId="27" borderId="3"/>
    <xf numFmtId="0" fontId="6" fillId="27" borderId="3"/>
    <xf numFmtId="0" fontId="6" fillId="30" borderId="3"/>
    <xf numFmtId="0" fontId="6" fillId="30" borderId="3"/>
    <xf numFmtId="0" fontId="6" fillId="27" borderId="3"/>
    <xf numFmtId="0" fontId="56" fillId="27" borderId="3"/>
    <xf numFmtId="0" fontId="56" fillId="27" borderId="3"/>
    <xf numFmtId="0" fontId="6" fillId="27" borderId="3"/>
    <xf numFmtId="0" fontId="6" fillId="27" borderId="3"/>
    <xf numFmtId="0" fontId="6" fillId="27" borderId="3"/>
    <xf numFmtId="0" fontId="6" fillId="30" borderId="3"/>
    <xf numFmtId="0" fontId="6" fillId="30" borderId="3"/>
    <xf numFmtId="0" fontId="6" fillId="30" borderId="3"/>
    <xf numFmtId="0" fontId="6" fillId="30" borderId="3"/>
    <xf numFmtId="0" fontId="56" fillId="27" borderId="3"/>
    <xf numFmtId="0" fontId="6" fillId="27" borderId="3"/>
    <xf numFmtId="0" fontId="56" fillId="27" borderId="3"/>
    <xf numFmtId="0" fontId="6" fillId="27" borderId="3"/>
    <xf numFmtId="0" fontId="56" fillId="27" borderId="3"/>
    <xf numFmtId="0" fontId="6" fillId="27" borderId="3"/>
    <xf numFmtId="0" fontId="56" fillId="27" borderId="3"/>
    <xf numFmtId="0" fontId="6" fillId="27" borderId="3"/>
    <xf numFmtId="0" fontId="6" fillId="30" borderId="3"/>
    <xf numFmtId="0" fontId="6" fillId="30" borderId="3"/>
    <xf numFmtId="0" fontId="6" fillId="27" borderId="3"/>
    <xf numFmtId="0" fontId="56" fillId="27" borderId="3"/>
    <xf numFmtId="0" fontId="6" fillId="30" borderId="3"/>
    <xf numFmtId="0" fontId="56" fillId="27" borderId="3"/>
    <xf numFmtId="0" fontId="6" fillId="30" borderId="3"/>
    <xf numFmtId="0" fontId="56" fillId="27" borderId="3"/>
    <xf numFmtId="0" fontId="6" fillId="30" borderId="3"/>
    <xf numFmtId="0" fontId="56" fillId="27" borderId="3"/>
    <xf numFmtId="0" fontId="6" fillId="30" borderId="3"/>
    <xf numFmtId="0" fontId="56" fillId="27" borderId="3"/>
    <xf numFmtId="0" fontId="6" fillId="30" borderId="3"/>
    <xf numFmtId="0" fontId="56" fillId="27" borderId="3"/>
    <xf numFmtId="0" fontId="6" fillId="30" borderId="3"/>
    <xf numFmtId="0" fontId="17" fillId="31" borderId="3"/>
    <xf numFmtId="0" fontId="56" fillId="0" borderId="0" applyBorder="0">
      <alignment horizontal="centerContinuous"/>
    </xf>
    <xf numFmtId="0" fontId="56" fillId="0" borderId="0" applyBorder="0">
      <alignment horizontal="centerContinuous"/>
    </xf>
    <xf numFmtId="0" fontId="6" fillId="3" borderId="0" applyBorder="0">
      <alignment horizontal="centerContinuous"/>
    </xf>
    <xf numFmtId="0" fontId="56" fillId="0" borderId="0" applyBorder="0">
      <alignment horizontal="centerContinuous"/>
    </xf>
    <xf numFmtId="0" fontId="6" fillId="0" borderId="0" applyBorder="0">
      <alignment horizontal="centerContinuous"/>
    </xf>
    <xf numFmtId="0" fontId="56" fillId="0" borderId="0" applyBorder="0">
      <alignment horizontal="centerContinuous"/>
    </xf>
    <xf numFmtId="0" fontId="6" fillId="0" borderId="0" applyBorder="0">
      <alignment horizontal="centerContinuous"/>
    </xf>
    <xf numFmtId="0" fontId="56" fillId="0" borderId="0" applyBorder="0">
      <alignment horizontal="centerContinuous"/>
    </xf>
    <xf numFmtId="0" fontId="6" fillId="3" borderId="0" applyBorder="0">
      <alignment horizontal="centerContinuous"/>
    </xf>
    <xf numFmtId="0" fontId="56" fillId="0" borderId="0" applyBorder="0">
      <alignment horizontal="centerContinuous"/>
    </xf>
    <xf numFmtId="0" fontId="57" fillId="3" borderId="0" applyBorder="0">
      <alignment horizontal="centerContinuous"/>
    </xf>
    <xf numFmtId="0" fontId="6" fillId="3" borderId="0" applyBorder="0">
      <alignment horizontal="centerContinuous"/>
    </xf>
    <xf numFmtId="0" fontId="58" fillId="0" borderId="0" applyBorder="0">
      <alignment horizontal="centerContinuous"/>
    </xf>
    <xf numFmtId="179" fontId="57" fillId="27" borderId="0" applyBorder="0">
      <alignment horizontal="centerContinuous"/>
    </xf>
    <xf numFmtId="0" fontId="56" fillId="0" borderId="0" applyBorder="0">
      <alignment horizontal="centerContinuous"/>
    </xf>
    <xf numFmtId="0" fontId="6" fillId="0" borderId="0" applyBorder="0">
      <alignment horizontal="centerContinuous"/>
    </xf>
    <xf numFmtId="0" fontId="6" fillId="0" borderId="0" applyBorder="0">
      <alignment horizontal="centerContinuous"/>
    </xf>
    <xf numFmtId="0" fontId="6" fillId="0" borderId="0" applyBorder="0">
      <alignment horizontal="centerContinuous"/>
    </xf>
    <xf numFmtId="0" fontId="6" fillId="3" borderId="0" applyBorder="0">
      <alignment horizontal="centerContinuous"/>
    </xf>
    <xf numFmtId="0" fontId="6" fillId="3" borderId="0" applyBorder="0">
      <alignment horizontal="centerContinuous"/>
    </xf>
    <xf numFmtId="0" fontId="6" fillId="3" borderId="0" applyBorder="0">
      <alignment horizontal="centerContinuous"/>
    </xf>
    <xf numFmtId="0" fontId="6" fillId="3" borderId="0" applyBorder="0">
      <alignment horizontal="centerContinuous"/>
    </xf>
    <xf numFmtId="0" fontId="56" fillId="0" borderId="0" applyBorder="0">
      <alignment horizontal="centerContinuous"/>
    </xf>
    <xf numFmtId="0" fontId="6" fillId="0" borderId="0" applyBorder="0">
      <alignment horizontal="centerContinuous"/>
    </xf>
    <xf numFmtId="0" fontId="56" fillId="0" borderId="0" applyBorder="0">
      <alignment horizontal="centerContinuous"/>
    </xf>
    <xf numFmtId="0" fontId="6" fillId="0" borderId="0" applyBorder="0">
      <alignment horizontal="centerContinuous"/>
    </xf>
    <xf numFmtId="0" fontId="56" fillId="0" borderId="0" applyBorder="0">
      <alignment horizontal="centerContinuous"/>
    </xf>
    <xf numFmtId="0" fontId="6" fillId="0" borderId="0" applyBorder="0">
      <alignment horizontal="centerContinuous"/>
    </xf>
    <xf numFmtId="0" fontId="6" fillId="3" borderId="0" applyBorder="0">
      <alignment horizontal="centerContinuous"/>
    </xf>
    <xf numFmtId="0" fontId="6" fillId="3" borderId="0" applyBorder="0">
      <alignment horizontal="centerContinuous"/>
    </xf>
    <xf numFmtId="0" fontId="6" fillId="0" borderId="0" applyBorder="0">
      <alignment horizontal="centerContinuous"/>
    </xf>
    <xf numFmtId="0" fontId="56" fillId="0" borderId="0" applyBorder="0">
      <alignment horizontal="centerContinuous"/>
    </xf>
    <xf numFmtId="0" fontId="6" fillId="3" borderId="0" applyBorder="0">
      <alignment horizontal="centerContinuous"/>
    </xf>
    <xf numFmtId="0" fontId="6" fillId="3" borderId="0" applyBorder="0">
      <alignment horizontal="centerContinuous"/>
    </xf>
    <xf numFmtId="0" fontId="6" fillId="3" borderId="0" applyBorder="0">
      <alignment horizontal="centerContinuous"/>
    </xf>
    <xf numFmtId="0" fontId="6" fillId="0" borderId="0" applyBorder="0">
      <alignment horizontal="centerContinuous"/>
    </xf>
    <xf numFmtId="0" fontId="6" fillId="0" borderId="0" applyBorder="0">
      <alignment horizontal="centerContinuous"/>
    </xf>
    <xf numFmtId="0" fontId="6" fillId="0" borderId="0" applyBorder="0">
      <alignment horizontal="centerContinuous"/>
    </xf>
    <xf numFmtId="0" fontId="6" fillId="0" borderId="0" applyBorder="0">
      <alignment horizontal="centerContinuous"/>
    </xf>
    <xf numFmtId="0" fontId="56" fillId="0" borderId="0" applyBorder="0">
      <alignment horizontal="centerContinuous"/>
    </xf>
    <xf numFmtId="0" fontId="6" fillId="3" borderId="0" applyBorder="0">
      <alignment horizontal="centerContinuous"/>
    </xf>
    <xf numFmtId="0" fontId="56" fillId="0" borderId="0" applyBorder="0">
      <alignment horizontal="centerContinuous"/>
    </xf>
    <xf numFmtId="0" fontId="6" fillId="3" borderId="0" applyBorder="0">
      <alignment horizontal="centerContinuous"/>
    </xf>
    <xf numFmtId="0" fontId="56" fillId="0" borderId="0" applyBorder="0">
      <alignment horizontal="centerContinuous"/>
    </xf>
    <xf numFmtId="0" fontId="6" fillId="3" borderId="0" applyBorder="0">
      <alignment horizontal="centerContinuous"/>
    </xf>
    <xf numFmtId="0" fontId="56" fillId="0" borderId="0" applyBorder="0">
      <alignment horizontal="centerContinuous"/>
    </xf>
    <xf numFmtId="0" fontId="6" fillId="3" borderId="0" applyBorder="0">
      <alignment horizontal="centerContinuous"/>
    </xf>
    <xf numFmtId="0" fontId="56" fillId="0" borderId="0" applyBorder="0">
      <alignment horizontal="centerContinuous"/>
    </xf>
    <xf numFmtId="0" fontId="6" fillId="3" borderId="0" applyBorder="0">
      <alignment horizontal="centerContinuous"/>
    </xf>
    <xf numFmtId="0" fontId="56" fillId="0" borderId="0" applyBorder="0">
      <alignment horizontal="centerContinuous"/>
    </xf>
    <xf numFmtId="0" fontId="6" fillId="3" borderId="0" applyBorder="0">
      <alignment horizontal="centerContinuous"/>
    </xf>
    <xf numFmtId="0" fontId="58" fillId="0" borderId="0" applyBorder="0">
      <alignment horizontal="centerContinuous"/>
    </xf>
    <xf numFmtId="0" fontId="59" fillId="0" borderId="0" applyBorder="0">
      <alignment horizontal="centerContinuous"/>
    </xf>
    <xf numFmtId="0" fontId="59" fillId="0" borderId="0" applyBorder="0">
      <alignment horizontal="centerContinuous"/>
    </xf>
    <xf numFmtId="0" fontId="6" fillId="30" borderId="0" applyBorder="0">
      <alignment horizontal="centerContinuous"/>
    </xf>
    <xf numFmtId="0" fontId="59" fillId="0" borderId="0" applyBorder="0">
      <alignment horizontal="centerContinuous"/>
    </xf>
    <xf numFmtId="0" fontId="6" fillId="0" borderId="0" applyBorder="0">
      <alignment horizontal="centerContinuous"/>
    </xf>
    <xf numFmtId="0" fontId="59" fillId="0" borderId="0" applyBorder="0">
      <alignment horizontal="centerContinuous"/>
    </xf>
    <xf numFmtId="0" fontId="6" fillId="0" borderId="0" applyBorder="0">
      <alignment horizontal="centerContinuous"/>
    </xf>
    <xf numFmtId="0" fontId="59" fillId="0" borderId="0" applyBorder="0">
      <alignment horizontal="centerContinuous"/>
    </xf>
    <xf numFmtId="0" fontId="6" fillId="30" borderId="0" applyBorder="0">
      <alignment horizontal="centerContinuous"/>
    </xf>
    <xf numFmtId="0" fontId="59" fillId="0" borderId="0" applyBorder="0">
      <alignment horizontal="centerContinuous"/>
    </xf>
    <xf numFmtId="0" fontId="60" fillId="30" borderId="0" applyBorder="0">
      <alignment horizontal="centerContinuous"/>
    </xf>
    <xf numFmtId="0" fontId="6" fillId="30" borderId="0" applyBorder="0">
      <alignment horizontal="centerContinuous"/>
    </xf>
    <xf numFmtId="0" fontId="61" fillId="0" borderId="0" applyBorder="0">
      <alignment horizontal="centerContinuous"/>
    </xf>
    <xf numFmtId="0" fontId="59" fillId="0" borderId="0" applyBorder="0">
      <alignment horizontal="centerContinuous"/>
    </xf>
    <xf numFmtId="0" fontId="59" fillId="0" borderId="0" applyBorder="0">
      <alignment horizontal="centerContinuous"/>
    </xf>
    <xf numFmtId="0" fontId="6" fillId="0" borderId="0" applyBorder="0">
      <alignment horizontal="centerContinuous"/>
    </xf>
    <xf numFmtId="0" fontId="6" fillId="0" borderId="0" applyBorder="0">
      <alignment horizontal="centerContinuous"/>
    </xf>
    <xf numFmtId="0" fontId="6" fillId="0" borderId="0" applyBorder="0">
      <alignment horizontal="centerContinuous"/>
    </xf>
    <xf numFmtId="0" fontId="6" fillId="30" borderId="0" applyBorder="0">
      <alignment horizontal="centerContinuous"/>
    </xf>
    <xf numFmtId="0" fontId="6" fillId="30" borderId="0" applyBorder="0">
      <alignment horizontal="centerContinuous"/>
    </xf>
    <xf numFmtId="0" fontId="6" fillId="30" borderId="0" applyBorder="0">
      <alignment horizontal="centerContinuous"/>
    </xf>
    <xf numFmtId="0" fontId="6" fillId="30" borderId="0" applyBorder="0">
      <alignment horizontal="centerContinuous"/>
    </xf>
    <xf numFmtId="0" fontId="59" fillId="0" borderId="0" applyBorder="0">
      <alignment horizontal="centerContinuous"/>
    </xf>
    <xf numFmtId="0" fontId="6" fillId="0" borderId="0" applyBorder="0">
      <alignment horizontal="centerContinuous"/>
    </xf>
    <xf numFmtId="0" fontId="59" fillId="0" borderId="0" applyBorder="0">
      <alignment horizontal="centerContinuous"/>
    </xf>
    <xf numFmtId="0" fontId="6" fillId="0" borderId="0" applyBorder="0">
      <alignment horizontal="centerContinuous"/>
    </xf>
    <xf numFmtId="0" fontId="59" fillId="0" borderId="0" applyBorder="0">
      <alignment horizontal="centerContinuous"/>
    </xf>
    <xf numFmtId="0" fontId="6" fillId="0" borderId="0" applyBorder="0">
      <alignment horizontal="centerContinuous"/>
    </xf>
    <xf numFmtId="0" fontId="6" fillId="30" borderId="0" applyBorder="0">
      <alignment horizontal="centerContinuous"/>
    </xf>
    <xf numFmtId="0" fontId="6" fillId="30" borderId="0" applyBorder="0">
      <alignment horizontal="centerContinuous"/>
    </xf>
    <xf numFmtId="0" fontId="6" fillId="0" borderId="0" applyBorder="0">
      <alignment horizontal="centerContinuous"/>
    </xf>
    <xf numFmtId="0" fontId="59" fillId="0" borderId="0" applyBorder="0">
      <alignment horizontal="centerContinuous"/>
    </xf>
    <xf numFmtId="0" fontId="59" fillId="0" borderId="0" applyBorder="0">
      <alignment horizontal="centerContinuous"/>
    </xf>
    <xf numFmtId="0" fontId="6" fillId="0" borderId="0" applyBorder="0">
      <alignment horizontal="centerContinuous"/>
    </xf>
    <xf numFmtId="0" fontId="6" fillId="0" borderId="0" applyBorder="0">
      <alignment horizontal="centerContinuous"/>
    </xf>
    <xf numFmtId="0" fontId="6" fillId="0" borderId="0" applyBorder="0">
      <alignment horizontal="centerContinuous"/>
    </xf>
    <xf numFmtId="0" fontId="6" fillId="30" borderId="0" applyBorder="0">
      <alignment horizontal="centerContinuous"/>
    </xf>
    <xf numFmtId="0" fontId="6" fillId="30" borderId="0" applyBorder="0">
      <alignment horizontal="centerContinuous"/>
    </xf>
    <xf numFmtId="0" fontId="6" fillId="30" borderId="0" applyBorder="0">
      <alignment horizontal="centerContinuous"/>
    </xf>
    <xf numFmtId="0" fontId="6" fillId="30" borderId="0" applyBorder="0">
      <alignment horizontal="centerContinuous"/>
    </xf>
    <xf numFmtId="0" fontId="59" fillId="0" borderId="0" applyBorder="0">
      <alignment horizontal="centerContinuous"/>
    </xf>
    <xf numFmtId="0" fontId="6" fillId="0" borderId="0" applyBorder="0">
      <alignment horizontal="centerContinuous"/>
    </xf>
    <xf numFmtId="0" fontId="59" fillId="0" borderId="0" applyBorder="0">
      <alignment horizontal="centerContinuous"/>
    </xf>
    <xf numFmtId="0" fontId="6" fillId="0" borderId="0" applyBorder="0">
      <alignment horizontal="centerContinuous"/>
    </xf>
    <xf numFmtId="0" fontId="59" fillId="0" borderId="0" applyBorder="0">
      <alignment horizontal="centerContinuous"/>
    </xf>
    <xf numFmtId="0" fontId="6" fillId="0" borderId="0" applyBorder="0">
      <alignment horizontal="centerContinuous"/>
    </xf>
    <xf numFmtId="0" fontId="59" fillId="0" borderId="0" applyBorder="0">
      <alignment horizontal="centerContinuous"/>
    </xf>
    <xf numFmtId="0" fontId="6" fillId="0" borderId="0" applyBorder="0">
      <alignment horizontal="centerContinuous"/>
    </xf>
    <xf numFmtId="0" fontId="6" fillId="30" borderId="0" applyBorder="0">
      <alignment horizontal="centerContinuous"/>
    </xf>
    <xf numFmtId="0" fontId="6" fillId="30" borderId="0" applyBorder="0">
      <alignment horizontal="centerContinuous"/>
    </xf>
    <xf numFmtId="0" fontId="6" fillId="0" borderId="0" applyBorder="0">
      <alignment horizontal="centerContinuous"/>
    </xf>
    <xf numFmtId="0" fontId="59" fillId="0" borderId="0" applyBorder="0">
      <alignment horizontal="centerContinuous"/>
    </xf>
    <xf numFmtId="0" fontId="6" fillId="30" borderId="0" applyBorder="0">
      <alignment horizontal="centerContinuous"/>
    </xf>
    <xf numFmtId="0" fontId="59" fillId="0" borderId="0" applyBorder="0">
      <alignment horizontal="centerContinuous"/>
    </xf>
    <xf numFmtId="0" fontId="6" fillId="30" borderId="0" applyBorder="0">
      <alignment horizontal="centerContinuous"/>
    </xf>
    <xf numFmtId="0" fontId="59" fillId="0" borderId="0" applyBorder="0">
      <alignment horizontal="centerContinuous"/>
    </xf>
    <xf numFmtId="0" fontId="6" fillId="30" borderId="0" applyBorder="0">
      <alignment horizontal="centerContinuous"/>
    </xf>
    <xf numFmtId="0" fontId="59" fillId="0" borderId="0" applyBorder="0">
      <alignment horizontal="centerContinuous"/>
    </xf>
    <xf numFmtId="0" fontId="6" fillId="30" borderId="0" applyBorder="0">
      <alignment horizontal="centerContinuous"/>
    </xf>
    <xf numFmtId="0" fontId="59" fillId="0" borderId="0" applyBorder="0">
      <alignment horizontal="centerContinuous"/>
    </xf>
    <xf numFmtId="0" fontId="6" fillId="30" borderId="0" applyBorder="0">
      <alignment horizontal="centerContinuous"/>
    </xf>
    <xf numFmtId="0" fontId="59" fillId="0" borderId="0" applyBorder="0">
      <alignment horizontal="centerContinuous"/>
    </xf>
    <xf numFmtId="0" fontId="6" fillId="30" borderId="0" applyBorder="0">
      <alignment horizontal="centerContinuous"/>
    </xf>
    <xf numFmtId="0" fontId="61" fillId="0" borderId="0" applyBorder="0">
      <alignment horizontal="centerContinuous"/>
    </xf>
    <xf numFmtId="172" fontId="12" fillId="0" borderId="0" applyFont="0" applyFill="0" applyBorder="0" applyAlignment="0" applyProtection="0"/>
    <xf numFmtId="172" fontId="6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/>
    <xf numFmtId="44" fontId="12" fillId="0" borderId="0" applyFill="0" applyBorder="0" applyAlignment="0"/>
    <xf numFmtId="44" fontId="6" fillId="0" borderId="0" applyFill="0" applyBorder="0" applyAlignment="0"/>
    <xf numFmtId="169" fontId="12" fillId="0" borderId="0" applyFill="0" applyBorder="0" applyAlignment="0"/>
    <xf numFmtId="169" fontId="6" fillId="0" borderId="0" applyFill="0" applyBorder="0" applyAlignment="0"/>
    <xf numFmtId="44" fontId="12" fillId="0" borderId="0" applyFill="0" applyBorder="0" applyAlignment="0"/>
    <xf numFmtId="44" fontId="6" fillId="0" borderId="0" applyFill="0" applyBorder="0" applyAlignment="0"/>
    <xf numFmtId="173" fontId="12" fillId="0" borderId="0" applyFill="0" applyBorder="0" applyAlignment="0"/>
    <xf numFmtId="173" fontId="6" fillId="0" borderId="0" applyFill="0" applyBorder="0" applyAlignment="0"/>
    <xf numFmtId="169" fontId="12" fillId="0" borderId="0" applyFill="0" applyBorder="0" applyAlignment="0"/>
    <xf numFmtId="169" fontId="6" fillId="0" borderId="0" applyFill="0" applyBorder="0" applyAlignment="0"/>
    <xf numFmtId="0" fontId="38" fillId="14" borderId="0">
      <alignment horizontal="center"/>
    </xf>
    <xf numFmtId="0" fontId="6" fillId="14" borderId="0">
      <alignment horizontal="center"/>
    </xf>
    <xf numFmtId="49" fontId="63" fillId="3" borderId="0">
      <alignment horizontal="center"/>
    </xf>
    <xf numFmtId="49" fontId="63" fillId="3" borderId="0">
      <alignment horizontal="center"/>
    </xf>
    <xf numFmtId="49" fontId="6" fillId="3" borderId="0">
      <alignment horizontal="center"/>
    </xf>
    <xf numFmtId="49" fontId="63" fillId="3" borderId="0">
      <alignment horizontal="center"/>
    </xf>
    <xf numFmtId="0" fontId="16" fillId="26" borderId="0">
      <alignment horizontal="center"/>
    </xf>
    <xf numFmtId="0" fontId="6" fillId="26" borderId="0">
      <alignment horizontal="center"/>
    </xf>
    <xf numFmtId="0" fontId="16" fillId="26" borderId="0">
      <alignment horizontal="centerContinuous"/>
    </xf>
    <xf numFmtId="0" fontId="6" fillId="26" borderId="0">
      <alignment horizontal="centerContinuous"/>
    </xf>
    <xf numFmtId="0" fontId="7" fillId="3" borderId="0">
      <alignment horizontal="left"/>
    </xf>
    <xf numFmtId="0" fontId="6" fillId="3" borderId="0">
      <alignment horizontal="left"/>
    </xf>
    <xf numFmtId="49" fontId="7" fillId="3" borderId="0">
      <alignment horizontal="center"/>
    </xf>
    <xf numFmtId="49" fontId="6" fillId="3" borderId="0">
      <alignment horizontal="center"/>
    </xf>
    <xf numFmtId="0" fontId="17" fillId="26" borderId="0">
      <alignment horizontal="left"/>
    </xf>
    <xf numFmtId="0" fontId="6" fillId="26" borderId="0">
      <alignment horizontal="left"/>
    </xf>
    <xf numFmtId="49" fontId="7" fillId="3" borderId="0">
      <alignment horizontal="left"/>
    </xf>
    <xf numFmtId="49" fontId="6" fillId="3" borderId="0">
      <alignment horizontal="left"/>
    </xf>
    <xf numFmtId="0" fontId="17" fillId="26" borderId="0">
      <alignment horizontal="centerContinuous"/>
    </xf>
    <xf numFmtId="0" fontId="6" fillId="26" borderId="0">
      <alignment horizontal="centerContinuous"/>
    </xf>
    <xf numFmtId="0" fontId="17" fillId="26" borderId="0">
      <alignment horizontal="right"/>
    </xf>
    <xf numFmtId="0" fontId="6" fillId="26" borderId="0">
      <alignment horizontal="right"/>
    </xf>
    <xf numFmtId="49" fontId="38" fillId="3" borderId="0">
      <alignment horizontal="left"/>
    </xf>
    <xf numFmtId="49" fontId="6" fillId="3" borderId="0">
      <alignment horizontal="left"/>
    </xf>
    <xf numFmtId="0" fontId="16" fillId="26" borderId="0">
      <alignment horizontal="right"/>
    </xf>
    <xf numFmtId="0" fontId="6" fillId="26" borderId="0">
      <alignment horizontal="right"/>
    </xf>
    <xf numFmtId="0" fontId="7" fillId="5" borderId="0">
      <alignment horizontal="center"/>
    </xf>
    <xf numFmtId="0" fontId="6" fillId="5" borderId="0">
      <alignment horizontal="center"/>
    </xf>
    <xf numFmtId="0" fontId="64" fillId="5" borderId="0">
      <alignment horizontal="center"/>
    </xf>
    <xf numFmtId="0" fontId="6" fillId="5" borderId="0">
      <alignment horizontal="center"/>
    </xf>
    <xf numFmtId="181" fontId="65" fillId="0" borderId="1"/>
    <xf numFmtId="181" fontId="65" fillId="0" borderId="1"/>
    <xf numFmtId="181" fontId="65" fillId="0" borderId="1"/>
    <xf numFmtId="181" fontId="65" fillId="0" borderId="1"/>
    <xf numFmtId="181" fontId="65" fillId="0" borderId="1"/>
    <xf numFmtId="181" fontId="65" fillId="0" borderId="1"/>
    <xf numFmtId="181" fontId="65" fillId="0" borderId="1"/>
    <xf numFmtId="181" fontId="65" fillId="0" borderId="1"/>
    <xf numFmtId="181" fontId="65" fillId="0" borderId="1"/>
    <xf numFmtId="181" fontId="65" fillId="0" borderId="1"/>
    <xf numFmtId="181" fontId="65" fillId="0" borderId="1"/>
    <xf numFmtId="181" fontId="65" fillId="0" borderId="1"/>
    <xf numFmtId="181" fontId="65" fillId="0" borderId="1"/>
    <xf numFmtId="181" fontId="65" fillId="0" borderId="1"/>
    <xf numFmtId="181" fontId="65" fillId="0" borderId="1"/>
    <xf numFmtId="181" fontId="6" fillId="0" borderId="1"/>
    <xf numFmtId="181" fontId="6" fillId="0" borderId="1"/>
    <xf numFmtId="181" fontId="65" fillId="0" borderId="1"/>
    <xf numFmtId="49" fontId="21" fillId="0" borderId="0" applyFill="0" applyBorder="0" applyAlignment="0"/>
    <xf numFmtId="49" fontId="6" fillId="0" borderId="0" applyFill="0" applyBorder="0" applyAlignment="0"/>
    <xf numFmtId="49" fontId="21" fillId="0" borderId="0" applyFill="0" applyBorder="0" applyAlignment="0"/>
    <xf numFmtId="182" fontId="12" fillId="0" borderId="0" applyFill="0" applyBorder="0" applyAlignment="0"/>
    <xf numFmtId="182" fontId="6" fillId="0" borderId="0" applyFill="0" applyBorder="0" applyAlignment="0"/>
    <xf numFmtId="183" fontId="12" fillId="0" borderId="0" applyFill="0" applyBorder="0" applyAlignment="0"/>
    <xf numFmtId="183" fontId="6" fillId="0" borderId="0" applyFill="0" applyBorder="0" applyAlignment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8" fillId="0" borderId="16" applyNumberFormat="0" applyFill="0" applyAlignment="0" applyProtection="0"/>
    <xf numFmtId="0" fontId="68" fillId="0" borderId="16" applyNumberFormat="0" applyFill="0" applyAlignment="0" applyProtection="0"/>
    <xf numFmtId="0" fontId="6" fillId="0" borderId="16" applyNumberFormat="0" applyFill="0" applyAlignment="0" applyProtection="0"/>
    <xf numFmtId="0" fontId="18" fillId="0" borderId="17" applyNumberFormat="0" applyFill="0" applyAlignment="0" applyProtection="0"/>
    <xf numFmtId="0" fontId="6" fillId="0" borderId="16" applyNumberFormat="0" applyFill="0" applyAlignment="0" applyProtection="0"/>
    <xf numFmtId="0" fontId="18" fillId="0" borderId="17" applyNumberFormat="0" applyFill="0" applyAlignment="0" applyProtection="0"/>
    <xf numFmtId="0" fontId="68" fillId="0" borderId="16" applyNumberFormat="0" applyFill="0" applyAlignment="0" applyProtection="0"/>
    <xf numFmtId="0" fontId="18" fillId="0" borderId="17" applyNumberFormat="0" applyFill="0" applyAlignment="0" applyProtection="0"/>
    <xf numFmtId="0" fontId="6" fillId="0" borderId="17" applyNumberFormat="0" applyFill="0" applyAlignment="0" applyProtection="0"/>
    <xf numFmtId="0" fontId="18" fillId="0" borderId="17" applyNumberFormat="0" applyFill="0" applyAlignment="0" applyProtection="0"/>
    <xf numFmtId="0" fontId="6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6" fillId="0" borderId="16" applyNumberFormat="0" applyFill="0" applyAlignment="0" applyProtection="0"/>
    <xf numFmtId="0" fontId="68" fillId="0" borderId="16" applyNumberFormat="0" applyFill="0" applyAlignment="0" applyProtection="0"/>
    <xf numFmtId="0" fontId="6" fillId="0" borderId="16" applyNumberFormat="0" applyFill="0" applyAlignment="0" applyProtection="0"/>
    <xf numFmtId="0" fontId="68" fillId="0" borderId="16" applyNumberFormat="0" applyFill="0" applyAlignment="0" applyProtection="0"/>
    <xf numFmtId="0" fontId="68" fillId="0" borderId="16" applyNumberFormat="0" applyFill="0" applyAlignment="0" applyProtection="0"/>
    <xf numFmtId="0" fontId="68" fillId="0" borderId="16" applyNumberFormat="0" applyFill="0" applyAlignment="0" applyProtection="0"/>
    <xf numFmtId="0" fontId="68" fillId="0" borderId="16" applyNumberFormat="0" applyFill="0" applyAlignment="0" applyProtection="0"/>
    <xf numFmtId="0" fontId="68" fillId="0" borderId="16" applyNumberFormat="0" applyFill="0" applyAlignment="0" applyProtection="0"/>
    <xf numFmtId="0" fontId="6" fillId="0" borderId="17" applyNumberFormat="0" applyFill="0" applyAlignment="0" applyProtection="0"/>
    <xf numFmtId="0" fontId="18" fillId="0" borderId="17" applyNumberFormat="0" applyFill="0" applyAlignment="0" applyProtection="0"/>
    <xf numFmtId="0" fontId="6" fillId="0" borderId="17" applyNumberFormat="0" applyFill="0" applyAlignment="0" applyProtection="0"/>
    <xf numFmtId="0" fontId="18" fillId="0" borderId="17" applyNumberFormat="0" applyFill="0" applyAlignment="0" applyProtection="0"/>
    <xf numFmtId="0" fontId="6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6" fillId="0" borderId="17" applyNumberFormat="0" applyFill="0" applyAlignment="0" applyProtection="0"/>
    <xf numFmtId="0" fontId="18" fillId="0" borderId="17" applyNumberFormat="0" applyFill="0" applyAlignment="0" applyProtection="0"/>
    <xf numFmtId="0" fontId="6" fillId="0" borderId="17" applyNumberFormat="0" applyFill="0" applyAlignment="0" applyProtection="0"/>
    <xf numFmtId="0" fontId="68" fillId="0" borderId="16" applyNumberFormat="0" applyFill="0" applyAlignment="0" applyProtection="0"/>
    <xf numFmtId="0" fontId="6" fillId="0" borderId="16" applyNumberFormat="0" applyFill="0" applyAlignment="0" applyProtection="0"/>
    <xf numFmtId="0" fontId="68" fillId="0" borderId="16" applyNumberFormat="0" applyFill="0" applyAlignment="0" applyProtection="0"/>
    <xf numFmtId="0" fontId="68" fillId="0" borderId="16" applyNumberFormat="0" applyFill="0" applyAlignment="0" applyProtection="0"/>
    <xf numFmtId="0" fontId="68" fillId="0" borderId="16" applyNumberFormat="0" applyFill="0" applyAlignment="0" applyProtection="0"/>
    <xf numFmtId="0" fontId="68" fillId="0" borderId="16" applyNumberFormat="0" applyFill="0" applyAlignment="0" applyProtection="0"/>
    <xf numFmtId="0" fontId="69" fillId="3" borderId="0">
      <alignment horizontal="center"/>
    </xf>
    <xf numFmtId="0" fontId="6" fillId="3" borderId="0">
      <alignment horizontal="center"/>
    </xf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2" fillId="0" borderId="0"/>
    <xf numFmtId="8" fontId="65" fillId="0" borderId="0" applyFont="0" applyFill="0" applyBorder="0" applyAlignment="0" applyProtection="0"/>
    <xf numFmtId="37" fontId="109" fillId="0" borderId="0"/>
    <xf numFmtId="0" fontId="4" fillId="0" borderId="0"/>
    <xf numFmtId="43" fontId="4" fillId="0" borderId="0" applyFont="0" applyFill="0" applyBorder="0" applyAlignment="0" applyProtection="0"/>
    <xf numFmtId="0" fontId="92" fillId="0" borderId="0"/>
    <xf numFmtId="4" fontId="65" fillId="0" borderId="0" applyFont="0" applyFill="0" applyBorder="0" applyAlignment="0" applyProtection="0"/>
    <xf numFmtId="0" fontId="21" fillId="0" borderId="0"/>
    <xf numFmtId="9" fontId="65" fillId="0" borderId="0" applyFont="0" applyFill="0" applyBorder="0" applyAlignment="0" applyProtection="0"/>
  </cellStyleXfs>
  <cellXfs count="824">
    <xf numFmtId="0" fontId="0" fillId="0" borderId="0" xfId="0"/>
    <xf numFmtId="3" fontId="72" fillId="0" borderId="0" xfId="8514" applyNumberFormat="1" applyFont="1" applyAlignment="1">
      <alignment horizontal="right"/>
    </xf>
    <xf numFmtId="0" fontId="75" fillId="0" borderId="0" xfId="0" applyFont="1"/>
    <xf numFmtId="5" fontId="75" fillId="0" borderId="0" xfId="0" applyNumberFormat="1" applyFont="1"/>
    <xf numFmtId="0" fontId="77" fillId="0" borderId="0" xfId="0" applyFont="1"/>
    <xf numFmtId="0" fontId="78" fillId="0" borderId="0" xfId="0" applyFont="1" applyAlignment="1">
      <alignment horizontal="center"/>
    </xf>
    <xf numFmtId="186" fontId="77" fillId="0" borderId="0" xfId="15609" applyNumberFormat="1" applyFont="1" applyFill="1"/>
    <xf numFmtId="0" fontId="80" fillId="0" borderId="0" xfId="0" applyFont="1" applyAlignment="1">
      <alignment horizontal="center" wrapText="1"/>
    </xf>
    <xf numFmtId="0" fontId="77" fillId="0" borderId="0" xfId="0" applyFont="1" applyAlignment="1">
      <alignment wrapText="1"/>
    </xf>
    <xf numFmtId="5" fontId="77" fillId="0" borderId="0" xfId="0" applyNumberFormat="1" applyFont="1"/>
    <xf numFmtId="167" fontId="77" fillId="0" borderId="0" xfId="1" applyNumberFormat="1" applyFont="1" applyFill="1"/>
    <xf numFmtId="185" fontId="77" fillId="0" borderId="0" xfId="0" applyNumberFormat="1" applyFont="1"/>
    <xf numFmtId="167" fontId="77" fillId="0" borderId="0" xfId="0" applyNumberFormat="1" applyFont="1"/>
    <xf numFmtId="38" fontId="77" fillId="0" borderId="0" xfId="0" applyNumberFormat="1" applyFont="1"/>
    <xf numFmtId="187" fontId="77" fillId="0" borderId="0" xfId="0" applyNumberFormat="1" applyFont="1"/>
    <xf numFmtId="0" fontId="80" fillId="0" borderId="0" xfId="0" applyFont="1"/>
    <xf numFmtId="167" fontId="72" fillId="0" borderId="0" xfId="1" applyNumberFormat="1" applyFont="1" applyFill="1"/>
    <xf numFmtId="167" fontId="77" fillId="33" borderId="0" xfId="0" applyNumberFormat="1" applyFont="1" applyFill="1"/>
    <xf numFmtId="38" fontId="72" fillId="0" borderId="0" xfId="0" applyNumberFormat="1" applyFont="1"/>
    <xf numFmtId="0" fontId="77" fillId="0" borderId="0" xfId="0" applyFont="1" applyAlignment="1">
      <alignment horizontal="left" wrapText="1" indent="1"/>
    </xf>
    <xf numFmtId="0" fontId="77" fillId="0" borderId="0" xfId="0" applyFont="1" applyAlignment="1">
      <alignment horizontal="left"/>
    </xf>
    <xf numFmtId="3" fontId="77" fillId="0" borderId="0" xfId="0" applyNumberFormat="1" applyFont="1"/>
    <xf numFmtId="6" fontId="77" fillId="0" borderId="0" xfId="0" applyNumberFormat="1" applyFont="1"/>
    <xf numFmtId="7" fontId="77" fillId="0" borderId="0" xfId="0" applyNumberFormat="1" applyFont="1"/>
    <xf numFmtId="0" fontId="77" fillId="0" borderId="0" xfId="0" applyFont="1" applyAlignment="1">
      <alignment horizontal="center"/>
    </xf>
    <xf numFmtId="181" fontId="77" fillId="0" borderId="0" xfId="15609" applyNumberFormat="1" applyFont="1" applyAlignment="1">
      <alignment horizontal="center"/>
    </xf>
    <xf numFmtId="181" fontId="77" fillId="0" borderId="0" xfId="15609" applyNumberFormat="1" applyFont="1" applyFill="1" applyAlignment="1">
      <alignment horizontal="center"/>
    </xf>
    <xf numFmtId="9" fontId="77" fillId="0" borderId="0" xfId="15609" applyFont="1"/>
    <xf numFmtId="9" fontId="77" fillId="0" borderId="0" xfId="0" applyNumberFormat="1" applyFont="1"/>
    <xf numFmtId="37" fontId="77" fillId="0" borderId="0" xfId="0" applyNumberFormat="1" applyFont="1"/>
    <xf numFmtId="0" fontId="77" fillId="0" borderId="0" xfId="0" applyFont="1" applyAlignment="1">
      <alignment horizontal="right"/>
    </xf>
    <xf numFmtId="181" fontId="77" fillId="0" borderId="0" xfId="15609" applyNumberFormat="1" applyFont="1"/>
    <xf numFmtId="39" fontId="0" fillId="0" borderId="0" xfId="0" applyNumberFormat="1" applyAlignment="1">
      <alignment horizontal="right"/>
    </xf>
    <xf numFmtId="39" fontId="77" fillId="0" borderId="0" xfId="0" applyNumberFormat="1" applyFont="1" applyAlignment="1">
      <alignment horizontal="right"/>
    </xf>
    <xf numFmtId="38" fontId="77" fillId="0" borderId="2" xfId="0" applyNumberFormat="1" applyFont="1" applyBorder="1" applyAlignment="1">
      <alignment horizontal="right"/>
    </xf>
    <xf numFmtId="0" fontId="77" fillId="0" borderId="2" xfId="0" applyFont="1" applyBorder="1" applyAlignment="1">
      <alignment horizontal="center"/>
    </xf>
    <xf numFmtId="0" fontId="77" fillId="0" borderId="0" xfId="0" applyFont="1" applyAlignment="1">
      <alignment horizontal="center" wrapText="1"/>
    </xf>
    <xf numFmtId="38" fontId="77" fillId="0" borderId="0" xfId="0" applyNumberFormat="1" applyFont="1" applyAlignment="1">
      <alignment horizontal="right"/>
    </xf>
    <xf numFmtId="185" fontId="77" fillId="0" borderId="0" xfId="0" applyNumberFormat="1" applyFont="1" applyAlignment="1">
      <alignment horizontal="right"/>
    </xf>
    <xf numFmtId="0" fontId="80" fillId="0" borderId="0" xfId="0" applyFont="1" applyAlignment="1">
      <alignment horizontal="right" wrapText="1"/>
    </xf>
    <xf numFmtId="5" fontId="80" fillId="0" borderId="18" xfId="0" applyNumberFormat="1" applyFont="1" applyBorder="1" applyAlignment="1">
      <alignment horizontal="right"/>
    </xf>
    <xf numFmtId="181" fontId="80" fillId="0" borderId="18" xfId="15609" applyNumberFormat="1" applyFont="1" applyBorder="1" applyAlignment="1">
      <alignment horizontal="center"/>
    </xf>
    <xf numFmtId="0" fontId="81" fillId="0" borderId="0" xfId="0" applyFont="1" applyAlignment="1">
      <alignment horizontal="center" wrapText="1"/>
    </xf>
    <xf numFmtId="38" fontId="72" fillId="0" borderId="0" xfId="0" applyNumberFormat="1" applyFont="1" applyAlignment="1">
      <alignment horizontal="right"/>
    </xf>
    <xf numFmtId="187" fontId="0" fillId="0" borderId="0" xfId="0" applyNumberFormat="1" applyAlignment="1">
      <alignment horizontal="right"/>
    </xf>
    <xf numFmtId="5" fontId="72" fillId="0" borderId="0" xfId="0" applyNumberFormat="1" applyFont="1" applyAlignment="1">
      <alignment horizontal="right"/>
    </xf>
    <xf numFmtId="167" fontId="77" fillId="0" borderId="0" xfId="1" applyNumberFormat="1" applyFont="1" applyAlignment="1">
      <alignment horizontal="right"/>
    </xf>
    <xf numFmtId="0" fontId="79" fillId="0" borderId="0" xfId="0" applyFont="1" applyAlignment="1">
      <alignment horizontal="center" wrapText="1"/>
    </xf>
    <xf numFmtId="0" fontId="80" fillId="0" borderId="22" xfId="0" applyFont="1" applyBorder="1" applyAlignment="1">
      <alignment horizontal="center" wrapText="1"/>
    </xf>
    <xf numFmtId="167" fontId="77" fillId="0" borderId="0" xfId="1" applyNumberFormat="1" applyFont="1"/>
    <xf numFmtId="37" fontId="77" fillId="0" borderId="0" xfId="1" applyNumberFormat="1" applyFont="1"/>
    <xf numFmtId="37" fontId="80" fillId="0" borderId="0" xfId="0" applyNumberFormat="1" applyFont="1"/>
    <xf numFmtId="37" fontId="0" fillId="0" borderId="0" xfId="0" applyNumberFormat="1"/>
    <xf numFmtId="37" fontId="72" fillId="0" borderId="0" xfId="0" applyNumberFormat="1" applyFont="1"/>
    <xf numFmtId="0" fontId="80" fillId="0" borderId="22" xfId="0" applyFont="1" applyBorder="1" applyAlignment="1">
      <alignment horizontal="center" vertical="center" wrapText="1"/>
    </xf>
    <xf numFmtId="37" fontId="77" fillId="0" borderId="0" xfId="15609" applyNumberFormat="1" applyFont="1" applyAlignment="1">
      <alignment horizontal="center"/>
    </xf>
    <xf numFmtId="0" fontId="82" fillId="0" borderId="0" xfId="0" applyFont="1" applyAlignment="1">
      <alignment horizontal="center" vertical="center"/>
    </xf>
    <xf numFmtId="0" fontId="82" fillId="0" borderId="0" xfId="0" applyFont="1" applyAlignment="1">
      <alignment vertical="center"/>
    </xf>
    <xf numFmtId="0" fontId="85" fillId="0" borderId="0" xfId="0" applyFont="1" applyAlignment="1">
      <alignment vertical="center"/>
    </xf>
    <xf numFmtId="165" fontId="82" fillId="0" borderId="0" xfId="0" applyNumberFormat="1" applyFont="1" applyAlignment="1">
      <alignment horizontal="center" vertical="center"/>
    </xf>
    <xf numFmtId="9" fontId="82" fillId="0" borderId="0" xfId="15609" applyFont="1" applyFill="1" applyBorder="1" applyAlignment="1">
      <alignment horizontal="center" vertical="center"/>
    </xf>
    <xf numFmtId="166" fontId="82" fillId="0" borderId="0" xfId="0" applyNumberFormat="1" applyFont="1" applyAlignment="1">
      <alignment horizontal="center" vertical="center"/>
    </xf>
    <xf numFmtId="0" fontId="85" fillId="0" borderId="0" xfId="0" applyFont="1" applyAlignment="1">
      <alignment horizontal="center" vertical="center"/>
    </xf>
    <xf numFmtId="0" fontId="75" fillId="0" borderId="0" xfId="0" applyFont="1" applyAlignment="1">
      <alignment horizontal="center"/>
    </xf>
    <xf numFmtId="37" fontId="75" fillId="0" borderId="0" xfId="0" applyNumberFormat="1" applyFont="1"/>
    <xf numFmtId="165" fontId="75" fillId="0" borderId="0" xfId="0" applyNumberFormat="1" applyFont="1"/>
    <xf numFmtId="0" fontId="85" fillId="0" borderId="0" xfId="0" applyFont="1"/>
    <xf numFmtId="5" fontId="76" fillId="0" borderId="0" xfId="0" applyNumberFormat="1" applyFont="1"/>
    <xf numFmtId="164" fontId="75" fillId="0" borderId="0" xfId="0" applyNumberFormat="1" applyFont="1"/>
    <xf numFmtId="0" fontId="75" fillId="0" borderId="1" xfId="0" applyFont="1" applyBorder="1"/>
    <xf numFmtId="0" fontId="75" fillId="33" borderId="0" xfId="0" applyFont="1" applyFill="1"/>
    <xf numFmtId="184" fontId="75" fillId="0" borderId="0" xfId="0" applyNumberFormat="1" applyFont="1"/>
    <xf numFmtId="37" fontId="75" fillId="0" borderId="1" xfId="0" applyNumberFormat="1" applyFont="1" applyBorder="1"/>
    <xf numFmtId="38" fontId="80" fillId="0" borderId="0" xfId="0" applyNumberFormat="1" applyFont="1"/>
    <xf numFmtId="167" fontId="80" fillId="0" borderId="0" xfId="1" applyNumberFormat="1" applyFont="1" applyFill="1"/>
    <xf numFmtId="6" fontId="77" fillId="0" borderId="2" xfId="0" applyNumberFormat="1" applyFont="1" applyBorder="1" applyAlignment="1">
      <alignment horizontal="right"/>
    </xf>
    <xf numFmtId="181" fontId="77" fillId="33" borderId="0" xfId="15609" applyNumberFormat="1" applyFont="1" applyFill="1" applyAlignment="1">
      <alignment horizontal="center"/>
    </xf>
    <xf numFmtId="43" fontId="77" fillId="0" borderId="0" xfId="1" applyFont="1" applyFill="1" applyAlignment="1">
      <alignment horizontal="center"/>
    </xf>
    <xf numFmtId="0" fontId="76" fillId="0" borderId="0" xfId="0" applyFont="1" applyAlignment="1">
      <alignment horizontal="center" wrapText="1"/>
    </xf>
    <xf numFmtId="44" fontId="88" fillId="0" borderId="0" xfId="15610" applyFont="1" applyAlignment="1">
      <alignment horizontal="center" wrapText="1"/>
    </xf>
    <xf numFmtId="10" fontId="75" fillId="0" borderId="0" xfId="15609" applyNumberFormat="1" applyFont="1" applyAlignment="1">
      <alignment horizontal="center"/>
    </xf>
    <xf numFmtId="0" fontId="77" fillId="34" borderId="0" xfId="0" applyFont="1" applyFill="1" applyAlignment="1">
      <alignment horizontal="center"/>
    </xf>
    <xf numFmtId="0" fontId="80" fillId="34" borderId="0" xfId="0" applyFont="1" applyFill="1" applyAlignment="1">
      <alignment horizontal="center"/>
    </xf>
    <xf numFmtId="3" fontId="72" fillId="34" borderId="0" xfId="8514" applyNumberFormat="1" applyFont="1" applyFill="1" applyAlignment="1">
      <alignment horizontal="center"/>
    </xf>
    <xf numFmtId="167" fontId="80" fillId="0" borderId="0" xfId="1" applyNumberFormat="1" applyFont="1" applyFill="1" applyBorder="1"/>
    <xf numFmtId="5" fontId="77" fillId="0" borderId="2" xfId="0" applyNumberFormat="1" applyFont="1" applyBorder="1"/>
    <xf numFmtId="0" fontId="82" fillId="0" borderId="0" xfId="0" quotePrefix="1" applyFont="1" applyAlignment="1">
      <alignment horizontal="left"/>
    </xf>
    <xf numFmtId="8" fontId="77" fillId="0" borderId="0" xfId="0" applyNumberFormat="1" applyFont="1"/>
    <xf numFmtId="181" fontId="80" fillId="0" borderId="0" xfId="15609" applyNumberFormat="1" applyFont="1" applyBorder="1" applyAlignment="1">
      <alignment horizontal="center"/>
    </xf>
    <xf numFmtId="0" fontId="79" fillId="0" borderId="0" xfId="0" applyFont="1" applyAlignment="1">
      <alignment horizontal="center" vertical="center" wrapText="1"/>
    </xf>
    <xf numFmtId="0" fontId="77" fillId="0" borderId="0" xfId="0" applyFont="1" applyAlignment="1">
      <alignment horizontal="center" vertical="center"/>
    </xf>
    <xf numFmtId="0" fontId="80" fillId="0" borderId="0" xfId="0" applyFont="1" applyAlignment="1">
      <alignment horizontal="center" vertical="center" wrapText="1"/>
    </xf>
    <xf numFmtId="0" fontId="77" fillId="0" borderId="0" xfId="0" applyFont="1" applyAlignment="1">
      <alignment horizontal="center" vertical="center" wrapText="1"/>
    </xf>
    <xf numFmtId="38" fontId="89" fillId="0" borderId="0" xfId="0" applyNumberFormat="1" applyFont="1" applyAlignment="1">
      <alignment horizontal="right"/>
    </xf>
    <xf numFmtId="0" fontId="89" fillId="0" borderId="0" xfId="0" applyFont="1" applyAlignment="1">
      <alignment horizontal="center" wrapText="1"/>
    </xf>
    <xf numFmtId="0" fontId="77" fillId="0" borderId="0" xfId="0" applyFont="1" applyAlignment="1">
      <alignment horizontal="left" indent="5"/>
    </xf>
    <xf numFmtId="0" fontId="82" fillId="0" borderId="0" xfId="0" applyFont="1" applyAlignment="1">
      <alignment horizontal="center" vertical="center" wrapText="1"/>
    </xf>
    <xf numFmtId="0" fontId="83" fillId="0" borderId="0" xfId="0" applyFont="1" applyAlignment="1">
      <alignment horizontal="center" vertical="center" wrapText="1"/>
    </xf>
    <xf numFmtId="0" fontId="84" fillId="0" borderId="1" xfId="0" applyFont="1" applyBorder="1" applyAlignment="1">
      <alignment horizontal="center" vertical="center" wrapText="1"/>
    </xf>
    <xf numFmtId="0" fontId="77" fillId="0" borderId="0" xfId="0" quotePrefix="1" applyFont="1" applyAlignment="1">
      <alignment horizontal="center" wrapText="1"/>
    </xf>
    <xf numFmtId="14" fontId="82" fillId="0" borderId="0" xfId="0" applyNumberFormat="1" applyFont="1" applyAlignment="1">
      <alignment vertical="center"/>
    </xf>
    <xf numFmtId="0" fontId="75" fillId="0" borderId="0" xfId="0" quotePrefix="1" applyFont="1" applyAlignment="1">
      <alignment horizontal="center" wrapText="1"/>
    </xf>
    <xf numFmtId="188" fontId="82" fillId="0" borderId="0" xfId="0" applyNumberFormat="1" applyFont="1" applyAlignment="1">
      <alignment horizontal="center" vertical="center"/>
    </xf>
    <xf numFmtId="164" fontId="82" fillId="0" borderId="0" xfId="0" applyNumberFormat="1" applyFont="1" applyAlignment="1">
      <alignment horizontal="center" vertical="center"/>
    </xf>
    <xf numFmtId="0" fontId="75" fillId="0" borderId="0" xfId="0" quotePrefix="1" applyFont="1"/>
    <xf numFmtId="0" fontId="77" fillId="0" borderId="30" xfId="0" applyFont="1" applyBorder="1" applyAlignment="1">
      <alignment wrapText="1"/>
    </xf>
    <xf numFmtId="0" fontId="77" fillId="0" borderId="30" xfId="0" applyFont="1" applyBorder="1" applyAlignment="1">
      <alignment horizontal="center" wrapText="1"/>
    </xf>
    <xf numFmtId="0" fontId="77" fillId="0" borderId="31" xfId="0" applyFont="1" applyBorder="1" applyAlignment="1">
      <alignment horizontal="center" wrapText="1"/>
    </xf>
    <xf numFmtId="0" fontId="77" fillId="0" borderId="31" xfId="0" applyFont="1" applyBorder="1"/>
    <xf numFmtId="0" fontId="80" fillId="0" borderId="30" xfId="0" applyFont="1" applyBorder="1"/>
    <xf numFmtId="0" fontId="80" fillId="0" borderId="31" xfId="0" applyFont="1" applyBorder="1"/>
    <xf numFmtId="167" fontId="77" fillId="0" borderId="30" xfId="1" applyNumberFormat="1" applyFont="1" applyFill="1" applyBorder="1"/>
    <xf numFmtId="167" fontId="77" fillId="0" borderId="0" xfId="1" applyNumberFormat="1" applyFont="1" applyFill="1" applyBorder="1"/>
    <xf numFmtId="167" fontId="77" fillId="0" borderId="31" xfId="1" applyNumberFormat="1" applyFont="1" applyFill="1" applyBorder="1"/>
    <xf numFmtId="167" fontId="80" fillId="0" borderId="30" xfId="1" applyNumberFormat="1" applyFont="1" applyFill="1" applyBorder="1"/>
    <xf numFmtId="167" fontId="80" fillId="0" borderId="31" xfId="1" applyNumberFormat="1" applyFont="1" applyFill="1" applyBorder="1"/>
    <xf numFmtId="167" fontId="77" fillId="36" borderId="0" xfId="1" applyNumberFormat="1" applyFont="1" applyFill="1" applyBorder="1"/>
    <xf numFmtId="167" fontId="77" fillId="36" borderId="31" xfId="1" applyNumberFormat="1" applyFont="1" applyFill="1" applyBorder="1"/>
    <xf numFmtId="167" fontId="72" fillId="0" borderId="30" xfId="1" quotePrefix="1" applyNumberFormat="1" applyFont="1" applyFill="1" applyBorder="1"/>
    <xf numFmtId="167" fontId="72" fillId="0" borderId="0" xfId="1" quotePrefix="1" applyNumberFormat="1" applyFont="1" applyFill="1" applyBorder="1"/>
    <xf numFmtId="167" fontId="72" fillId="0" borderId="31" xfId="1" applyNumberFormat="1" applyFont="1" applyFill="1" applyBorder="1"/>
    <xf numFmtId="167" fontId="72" fillId="0" borderId="32" xfId="1" applyNumberFormat="1" applyFont="1" applyFill="1" applyBorder="1"/>
    <xf numFmtId="167" fontId="72" fillId="0" borderId="33" xfId="1" applyNumberFormat="1" applyFont="1" applyFill="1" applyBorder="1"/>
    <xf numFmtId="167" fontId="72" fillId="0" borderId="34" xfId="1" applyNumberFormat="1" applyFont="1" applyFill="1" applyBorder="1"/>
    <xf numFmtId="186" fontId="77" fillId="0" borderId="0" xfId="15609" applyNumberFormat="1" applyFont="1" applyFill="1" applyBorder="1"/>
    <xf numFmtId="43" fontId="80" fillId="0" borderId="30" xfId="1" applyFont="1" applyFill="1" applyBorder="1"/>
    <xf numFmtId="0" fontId="77" fillId="0" borderId="30" xfId="0" applyFont="1" applyBorder="1"/>
    <xf numFmtId="5" fontId="77" fillId="0" borderId="31" xfId="0" applyNumberFormat="1" applyFont="1" applyBorder="1"/>
    <xf numFmtId="5" fontId="80" fillId="0" borderId="31" xfId="0" applyNumberFormat="1" applyFont="1" applyBorder="1"/>
    <xf numFmtId="0" fontId="72" fillId="0" borderId="0" xfId="6879" applyFont="1" applyAlignment="1">
      <alignment horizontal="center"/>
    </xf>
    <xf numFmtId="0" fontId="82" fillId="0" borderId="0" xfId="0" applyFont="1" applyAlignment="1">
      <alignment horizontal="left" vertical="center"/>
    </xf>
    <xf numFmtId="167" fontId="72" fillId="36" borderId="34" xfId="1" applyNumberFormat="1" applyFont="1" applyFill="1" applyBorder="1"/>
    <xf numFmtId="167" fontId="0" fillId="0" borderId="0" xfId="0" applyNumberFormat="1"/>
    <xf numFmtId="167" fontId="72" fillId="36" borderId="33" xfId="1" applyNumberFormat="1" applyFont="1" applyFill="1" applyBorder="1"/>
    <xf numFmtId="165" fontId="82" fillId="0" borderId="0" xfId="0" applyNumberFormat="1" applyFont="1" applyAlignment="1">
      <alignment horizontal="center" vertical="center" wrapText="1"/>
    </xf>
    <xf numFmtId="7" fontId="91" fillId="0" borderId="24" xfId="0" applyNumberFormat="1" applyFont="1" applyBorder="1"/>
    <xf numFmtId="8" fontId="0" fillId="0" borderId="24" xfId="0" applyNumberFormat="1" applyBorder="1"/>
    <xf numFmtId="0" fontId="0" fillId="0" borderId="24" xfId="0" applyBorder="1" applyAlignment="1">
      <alignment wrapText="1"/>
    </xf>
    <xf numFmtId="0" fontId="0" fillId="0" borderId="0" xfId="0" applyAlignment="1">
      <alignment wrapText="1"/>
    </xf>
    <xf numFmtId="0" fontId="0" fillId="0" borderId="24" xfId="0" applyBorder="1"/>
    <xf numFmtId="0" fontId="90" fillId="37" borderId="24" xfId="0" applyFont="1" applyFill="1" applyBorder="1"/>
    <xf numFmtId="4" fontId="0" fillId="0" borderId="35" xfId="0" applyNumberFormat="1" applyBorder="1" applyAlignment="1">
      <alignment horizontal="right"/>
    </xf>
    <xf numFmtId="0" fontId="0" fillId="0" borderId="0" xfId="0" applyAlignment="1">
      <alignment horizontal="left"/>
    </xf>
    <xf numFmtId="0" fontId="0" fillId="0" borderId="35" xfId="0" applyBorder="1" applyAlignment="1">
      <alignment horizontal="right"/>
    </xf>
    <xf numFmtId="192" fontId="0" fillId="0" borderId="0" xfId="0" applyNumberFormat="1" applyAlignment="1">
      <alignment horizontal="right"/>
    </xf>
    <xf numFmtId="0" fontId="82" fillId="0" borderId="0" xfId="0" applyFont="1" applyAlignment="1">
      <alignment vertical="center" wrapText="1"/>
    </xf>
    <xf numFmtId="167" fontId="82" fillId="0" borderId="0" xfId="1" applyNumberFormat="1" applyFont="1" applyFill="1" applyBorder="1" applyAlignment="1">
      <alignment horizontal="center" vertical="center"/>
    </xf>
    <xf numFmtId="0" fontId="72" fillId="0" borderId="0" xfId="0" applyFont="1"/>
    <xf numFmtId="167" fontId="77" fillId="0" borderId="31" xfId="0" applyNumberFormat="1" applyFont="1" applyBorder="1"/>
    <xf numFmtId="164" fontId="82" fillId="0" borderId="0" xfId="0" applyNumberFormat="1" applyFont="1" applyAlignment="1">
      <alignment horizontal="center" vertical="center" wrapText="1"/>
    </xf>
    <xf numFmtId="164" fontId="82" fillId="0" borderId="0" xfId="1" applyNumberFormat="1" applyFont="1" applyFill="1" applyBorder="1" applyAlignment="1">
      <alignment horizontal="center" vertical="center"/>
    </xf>
    <xf numFmtId="14" fontId="75" fillId="0" borderId="0" xfId="0" applyNumberFormat="1" applyFont="1"/>
    <xf numFmtId="0" fontId="0" fillId="0" borderId="0" xfId="0" applyAlignment="1">
      <alignment horizontal="right"/>
    </xf>
    <xf numFmtId="14" fontId="0" fillId="0" borderId="0" xfId="0" applyNumberFormat="1"/>
    <xf numFmtId="181" fontId="77" fillId="0" borderId="0" xfId="15609" applyNumberFormat="1" applyFont="1" applyFill="1"/>
    <xf numFmtId="44" fontId="0" fillId="0" borderId="24" xfId="0" applyNumberFormat="1" applyBorder="1"/>
    <xf numFmtId="193" fontId="77" fillId="0" borderId="0" xfId="15610" applyNumberFormat="1" applyFont="1"/>
    <xf numFmtId="193" fontId="80" fillId="0" borderId="0" xfId="15610" applyNumberFormat="1" applyFont="1" applyBorder="1"/>
    <xf numFmtId="193" fontId="77" fillId="0" borderId="0" xfId="15610" applyNumberFormat="1" applyFont="1" applyFill="1"/>
    <xf numFmtId="193" fontId="72" fillId="0" borderId="0" xfId="15610" applyNumberFormat="1" applyFont="1"/>
    <xf numFmtId="193" fontId="0" fillId="0" borderId="0" xfId="15610" applyNumberFormat="1" applyFont="1"/>
    <xf numFmtId="9" fontId="82" fillId="0" borderId="0" xfId="15609" applyFont="1" applyFill="1" applyBorder="1" applyAlignment="1">
      <alignment vertical="center"/>
    </xf>
    <xf numFmtId="44" fontId="0" fillId="0" borderId="0" xfId="0" applyNumberFormat="1"/>
    <xf numFmtId="9" fontId="0" fillId="0" borderId="0" xfId="15609" applyFont="1"/>
    <xf numFmtId="189" fontId="77" fillId="0" borderId="0" xfId="1" applyNumberFormat="1" applyFont="1"/>
    <xf numFmtId="0" fontId="0" fillId="0" borderId="35" xfId="0" applyBorder="1" applyAlignment="1">
      <alignment horizontal="left"/>
    </xf>
    <xf numFmtId="14" fontId="0" fillId="0" borderId="35" xfId="0" applyNumberFormat="1" applyBorder="1" applyAlignment="1">
      <alignment horizontal="left"/>
    </xf>
    <xf numFmtId="49" fontId="0" fillId="0" borderId="35" xfId="0" applyNumberFormat="1" applyBorder="1" applyAlignment="1">
      <alignment horizontal="left"/>
    </xf>
    <xf numFmtId="2" fontId="0" fillId="0" borderId="35" xfId="0" applyNumberFormat="1" applyBorder="1" applyAlignment="1">
      <alignment horizontal="right"/>
    </xf>
    <xf numFmtId="9" fontId="0" fillId="0" borderId="35" xfId="15609" applyFont="1" applyFill="1" applyBorder="1" applyAlignment="1">
      <alignment horizontal="right"/>
    </xf>
    <xf numFmtId="3" fontId="0" fillId="0" borderId="35" xfId="0" applyNumberFormat="1" applyBorder="1" applyAlignment="1">
      <alignment horizontal="right"/>
    </xf>
    <xf numFmtId="192" fontId="0" fillId="0" borderId="35" xfId="0" applyNumberFormat="1" applyBorder="1" applyAlignment="1">
      <alignment horizontal="right"/>
    </xf>
    <xf numFmtId="191" fontId="0" fillId="0" borderId="35" xfId="0" applyNumberFormat="1" applyBorder="1" applyAlignment="1">
      <alignment horizontal="right"/>
    </xf>
    <xf numFmtId="1" fontId="0" fillId="0" borderId="35" xfId="0" applyNumberFormat="1" applyBorder="1" applyAlignment="1">
      <alignment horizontal="right"/>
    </xf>
    <xf numFmtId="181" fontId="0" fillId="0" borderId="35" xfId="15609" applyNumberFormat="1" applyFont="1" applyFill="1" applyBorder="1" applyAlignment="1">
      <alignment horizontal="right"/>
    </xf>
    <xf numFmtId="0" fontId="0" fillId="0" borderId="35" xfId="0" applyBorder="1"/>
    <xf numFmtId="0" fontId="0" fillId="33" borderId="0" xfId="0" applyFill="1"/>
    <xf numFmtId="49" fontId="0" fillId="0" borderId="0" xfId="0" applyNumberFormat="1"/>
    <xf numFmtId="49" fontId="75" fillId="35" borderId="0" xfId="0" applyNumberFormat="1" applyFont="1" applyFill="1" applyAlignment="1">
      <alignment horizontal="left" wrapText="1"/>
    </xf>
    <xf numFmtId="49" fontId="82" fillId="35" borderId="0" xfId="0" applyNumberFormat="1" applyFont="1" applyFill="1" applyAlignment="1">
      <alignment vertical="center"/>
    </xf>
    <xf numFmtId="49" fontId="77" fillId="0" borderId="0" xfId="0" applyNumberFormat="1" applyFont="1"/>
    <xf numFmtId="49" fontId="77" fillId="0" borderId="0" xfId="0" applyNumberFormat="1" applyFont="1" applyAlignment="1">
      <alignment horizontal="left" wrapText="1"/>
    </xf>
    <xf numFmtId="49" fontId="77" fillId="0" borderId="0" xfId="0" applyNumberFormat="1" applyFont="1" applyAlignment="1">
      <alignment horizontal="left"/>
    </xf>
    <xf numFmtId="4" fontId="0" fillId="0" borderId="0" xfId="0" applyNumberFormat="1" applyAlignment="1">
      <alignment horizontal="left"/>
    </xf>
    <xf numFmtId="0" fontId="72" fillId="0" borderId="0" xfId="0" applyFont="1" applyAlignment="1">
      <alignment vertical="center"/>
    </xf>
    <xf numFmtId="49" fontId="75" fillId="0" borderId="0" xfId="0" applyNumberFormat="1" applyFont="1" applyAlignment="1">
      <alignment horizontal="left" wrapText="1"/>
    </xf>
    <xf numFmtId="49" fontId="82" fillId="0" borderId="0" xfId="0" applyNumberFormat="1" applyFont="1" applyAlignment="1">
      <alignment vertical="center"/>
    </xf>
    <xf numFmtId="164" fontId="0" fillId="0" borderId="0" xfId="0" applyNumberFormat="1"/>
    <xf numFmtId="0" fontId="79" fillId="0" borderId="19" xfId="0" applyFont="1" applyBorder="1" applyAlignment="1">
      <alignment horizontal="center" vertical="center" wrapText="1"/>
    </xf>
    <xf numFmtId="0" fontId="80" fillId="0" borderId="19" xfId="0" applyFont="1" applyBorder="1" applyAlignment="1">
      <alignment horizontal="center" vertical="center" wrapText="1"/>
    </xf>
    <xf numFmtId="167" fontId="0" fillId="38" borderId="0" xfId="1" applyNumberFormat="1" applyFont="1" applyFill="1"/>
    <xf numFmtId="0" fontId="77" fillId="0" borderId="28" xfId="0" applyFont="1" applyBorder="1" applyAlignment="1">
      <alignment wrapText="1"/>
    </xf>
    <xf numFmtId="0" fontId="77" fillId="0" borderId="23" xfId="0" applyFont="1" applyBorder="1" applyAlignment="1">
      <alignment wrapText="1"/>
    </xf>
    <xf numFmtId="0" fontId="77" fillId="0" borderId="29" xfId="0" applyFont="1" applyBorder="1" applyAlignment="1">
      <alignment wrapText="1"/>
    </xf>
    <xf numFmtId="184" fontId="82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9" fontId="0" fillId="0" borderId="0" xfId="15609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167" fontId="77" fillId="0" borderId="30" xfId="0" applyNumberFormat="1" applyFont="1" applyBorder="1"/>
    <xf numFmtId="193" fontId="0" fillId="0" borderId="0" xfId="0" applyNumberFormat="1"/>
    <xf numFmtId="43" fontId="77" fillId="0" borderId="30" xfId="0" applyNumberFormat="1" applyFont="1" applyBorder="1"/>
    <xf numFmtId="192" fontId="77" fillId="0" borderId="0" xfId="0" quotePrefix="1" applyNumberFormat="1" applyFont="1"/>
    <xf numFmtId="44" fontId="77" fillId="0" borderId="0" xfId="15610" quotePrefix="1" applyFont="1" applyFill="1"/>
    <xf numFmtId="2" fontId="77" fillId="0" borderId="0" xfId="0" applyNumberFormat="1" applyFont="1"/>
    <xf numFmtId="192" fontId="77" fillId="0" borderId="0" xfId="0" applyNumberFormat="1" applyFont="1"/>
    <xf numFmtId="14" fontId="77" fillId="0" borderId="0" xfId="0" applyNumberFormat="1" applyFont="1"/>
    <xf numFmtId="193" fontId="93" fillId="39" borderId="24" xfId="15610" applyNumberFormat="1" applyFont="1" applyFill="1" applyBorder="1"/>
    <xf numFmtId="194" fontId="80" fillId="0" borderId="24" xfId="15609" applyNumberFormat="1" applyFont="1" applyBorder="1" applyAlignment="1">
      <alignment horizontal="center"/>
    </xf>
    <xf numFmtId="193" fontId="80" fillId="37" borderId="24" xfId="0" applyNumberFormat="1" applyFont="1" applyFill="1" applyBorder="1"/>
    <xf numFmtId="0" fontId="80" fillId="0" borderId="0" xfId="0" applyFont="1" applyAlignment="1">
      <alignment horizontal="right"/>
    </xf>
    <xf numFmtId="193" fontId="77" fillId="0" borderId="0" xfId="0" applyNumberFormat="1" applyFont="1"/>
    <xf numFmtId="3" fontId="93" fillId="0" borderId="0" xfId="0" applyNumberFormat="1" applyFont="1"/>
    <xf numFmtId="10" fontId="93" fillId="0" borderId="0" xfId="0" applyNumberFormat="1" applyFont="1"/>
    <xf numFmtId="193" fontId="77" fillId="0" borderId="0" xfId="0" applyNumberFormat="1" applyFont="1" applyAlignment="1">
      <alignment horizontal="right"/>
    </xf>
    <xf numFmtId="193" fontId="72" fillId="0" borderId="0" xfId="15609" applyNumberFormat="1" applyFont="1" applyBorder="1" applyAlignment="1">
      <alignment horizontal="center"/>
    </xf>
    <xf numFmtId="0" fontId="77" fillId="0" borderId="21" xfId="0" applyFont="1" applyBorder="1" applyAlignment="1">
      <alignment horizontal="center"/>
    </xf>
    <xf numFmtId="0" fontId="77" fillId="0" borderId="21" xfId="0" applyFont="1" applyBorder="1" applyAlignment="1">
      <alignment horizontal="right"/>
    </xf>
    <xf numFmtId="5" fontId="72" fillId="0" borderId="0" xfId="0" applyNumberFormat="1" applyFont="1"/>
    <xf numFmtId="167" fontId="80" fillId="0" borderId="24" xfId="0" applyNumberFormat="1" applyFont="1" applyBorder="1"/>
    <xf numFmtId="193" fontId="80" fillId="33" borderId="24" xfId="15610" applyNumberFormat="1" applyFont="1" applyFill="1" applyBorder="1"/>
    <xf numFmtId="193" fontId="80" fillId="0" borderId="24" xfId="15610" applyNumberFormat="1" applyFont="1" applyBorder="1"/>
    <xf numFmtId="167" fontId="80" fillId="0" borderId="26" xfId="1" applyNumberFormat="1" applyFont="1" applyBorder="1"/>
    <xf numFmtId="193" fontId="72" fillId="33" borderId="0" xfId="15610" applyNumberFormat="1" applyFont="1" applyFill="1" applyBorder="1"/>
    <xf numFmtId="193" fontId="93" fillId="33" borderId="0" xfId="15610" applyNumberFormat="1" applyFont="1" applyFill="1" applyBorder="1"/>
    <xf numFmtId="193" fontId="77" fillId="0" borderId="0" xfId="15610" applyNumberFormat="1" applyFont="1" applyBorder="1"/>
    <xf numFmtId="167" fontId="93" fillId="0" borderId="0" xfId="1" applyNumberFormat="1" applyFont="1"/>
    <xf numFmtId="194" fontId="77" fillId="0" borderId="0" xfId="15609" applyNumberFormat="1" applyFont="1"/>
    <xf numFmtId="0" fontId="80" fillId="0" borderId="0" xfId="0" applyFont="1" applyAlignment="1">
      <alignment horizontal="center"/>
    </xf>
    <xf numFmtId="0" fontId="77" fillId="33" borderId="0" xfId="0" applyFont="1" applyFill="1" applyAlignment="1">
      <alignment horizontal="center"/>
    </xf>
    <xf numFmtId="0" fontId="77" fillId="41" borderId="0" xfId="0" applyFont="1" applyFill="1" applyAlignment="1">
      <alignment horizontal="center"/>
    </xf>
    <xf numFmtId="0" fontId="77" fillId="41" borderId="0" xfId="0" applyFont="1" applyFill="1"/>
    <xf numFmtId="0" fontId="77" fillId="42" borderId="0" xfId="0" applyFont="1" applyFill="1" applyAlignment="1">
      <alignment horizontal="center"/>
    </xf>
    <xf numFmtId="0" fontId="80" fillId="33" borderId="0" xfId="0" applyFont="1" applyFill="1"/>
    <xf numFmtId="0" fontId="78" fillId="41" borderId="0" xfId="0" applyFont="1" applyFill="1"/>
    <xf numFmtId="0" fontId="77" fillId="0" borderId="0" xfId="0" applyFont="1" applyAlignment="1">
      <alignment horizontal="left" indent="1"/>
    </xf>
    <xf numFmtId="0" fontId="77" fillId="33" borderId="0" xfId="0" applyFont="1" applyFill="1"/>
    <xf numFmtId="186" fontId="93" fillId="33" borderId="24" xfId="15609" applyNumberFormat="1" applyFont="1" applyFill="1" applyBorder="1"/>
    <xf numFmtId="0" fontId="77" fillId="33" borderId="0" xfId="0" applyFont="1" applyFill="1" applyAlignment="1">
      <alignment horizontal="right"/>
    </xf>
    <xf numFmtId="0" fontId="78" fillId="0" borderId="0" xfId="0" applyFont="1"/>
    <xf numFmtId="193" fontId="80" fillId="41" borderId="0" xfId="0" applyNumberFormat="1" applyFont="1" applyFill="1"/>
    <xf numFmtId="0" fontId="80" fillId="41" borderId="0" xfId="0" applyFont="1" applyFill="1"/>
    <xf numFmtId="14" fontId="95" fillId="35" borderId="0" xfId="0" applyNumberFormat="1" applyFont="1" applyFill="1"/>
    <xf numFmtId="0" fontId="77" fillId="35" borderId="0" xfId="0" applyFont="1" applyFill="1"/>
    <xf numFmtId="10" fontId="77" fillId="43" borderId="0" xfId="0" applyNumberFormat="1" applyFont="1" applyFill="1"/>
    <xf numFmtId="10" fontId="77" fillId="43" borderId="24" xfId="0" applyNumberFormat="1" applyFont="1" applyFill="1" applyBorder="1"/>
    <xf numFmtId="189" fontId="80" fillId="0" borderId="24" xfId="0" applyNumberFormat="1" applyFont="1" applyBorder="1"/>
    <xf numFmtId="195" fontId="77" fillId="0" borderId="0" xfId="0" applyNumberFormat="1" applyFont="1"/>
    <xf numFmtId="195" fontId="80" fillId="0" borderId="0" xfId="0" applyNumberFormat="1" applyFont="1"/>
    <xf numFmtId="0" fontId="96" fillId="0" borderId="24" xfId="0" applyFont="1" applyBorder="1" applyAlignment="1">
      <alignment horizontal="center"/>
    </xf>
    <xf numFmtId="0" fontId="97" fillId="0" borderId="0" xfId="0" applyFont="1" applyAlignment="1">
      <alignment vertical="center"/>
    </xf>
    <xf numFmtId="0" fontId="98" fillId="0" borderId="0" xfId="0" applyFont="1" applyAlignment="1">
      <alignment horizontal="center" vertical="center"/>
    </xf>
    <xf numFmtId="0" fontId="98" fillId="0" borderId="0" xfId="0" applyFont="1" applyAlignment="1">
      <alignment vertical="center"/>
    </xf>
    <xf numFmtId="0" fontId="8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9" fillId="0" borderId="0" xfId="0" applyFont="1" applyAlignment="1">
      <alignment vertical="center"/>
    </xf>
    <xf numFmtId="0" fontId="83" fillId="0" borderId="0" xfId="0" applyFont="1" applyAlignment="1">
      <alignment horizontal="center" vertical="center"/>
    </xf>
    <xf numFmtId="0" fontId="82" fillId="0" borderId="0" xfId="8514" applyFont="1" applyAlignment="1">
      <alignment vertical="center"/>
    </xf>
    <xf numFmtId="8" fontId="82" fillId="0" borderId="0" xfId="0" applyNumberFormat="1" applyFont="1" applyAlignment="1">
      <alignment vertical="center"/>
    </xf>
    <xf numFmtId="3" fontId="82" fillId="0" borderId="24" xfId="8514" applyNumberFormat="1" applyFont="1" applyBorder="1" applyAlignment="1">
      <alignment horizontal="right" vertical="center"/>
    </xf>
    <xf numFmtId="165" fontId="82" fillId="0" borderId="24" xfId="15610" applyNumberFormat="1" applyFont="1" applyFill="1" applyBorder="1" applyAlignment="1">
      <alignment vertical="center"/>
    </xf>
    <xf numFmtId="184" fontId="82" fillId="0" borderId="0" xfId="0" applyNumberFormat="1" applyFont="1" applyAlignment="1">
      <alignment vertical="center"/>
    </xf>
    <xf numFmtId="8" fontId="82" fillId="0" borderId="24" xfId="15610" applyNumberFormat="1" applyFont="1" applyFill="1" applyBorder="1" applyAlignment="1">
      <alignment vertical="center"/>
    </xf>
    <xf numFmtId="166" fontId="82" fillId="0" borderId="0" xfId="8514" applyNumberFormat="1" applyFont="1" applyAlignment="1">
      <alignment vertical="center"/>
    </xf>
    <xf numFmtId="196" fontId="82" fillId="0" borderId="0" xfId="0" applyNumberFormat="1" applyFont="1" applyAlignment="1">
      <alignment vertical="center"/>
    </xf>
    <xf numFmtId="0" fontId="82" fillId="0" borderId="0" xfId="8514" applyFont="1" applyAlignment="1">
      <alignment horizontal="left" vertical="center"/>
    </xf>
    <xf numFmtId="0" fontId="82" fillId="0" borderId="24" xfId="0" applyFont="1" applyBorder="1" applyAlignment="1">
      <alignment horizontal="center" vertical="center"/>
    </xf>
    <xf numFmtId="165" fontId="82" fillId="0" borderId="0" xfId="15610" applyNumberFormat="1" applyFont="1" applyFill="1" applyBorder="1" applyAlignment="1">
      <alignment vertical="center"/>
    </xf>
    <xf numFmtId="8" fontId="82" fillId="0" borderId="0" xfId="15610" applyNumberFormat="1" applyFont="1" applyFill="1" applyBorder="1" applyAlignment="1">
      <alignment vertical="center"/>
    </xf>
    <xf numFmtId="165" fontId="82" fillId="0" borderId="0" xfId="0" applyNumberFormat="1" applyFont="1" applyAlignment="1">
      <alignment horizontal="right" vertical="center"/>
    </xf>
    <xf numFmtId="2" fontId="82" fillId="0" borderId="0" xfId="0" applyNumberFormat="1" applyFont="1" applyAlignment="1">
      <alignment vertical="center"/>
    </xf>
    <xf numFmtId="181" fontId="82" fillId="0" borderId="24" xfId="15610" applyNumberFormat="1" applyFont="1" applyFill="1" applyBorder="1" applyAlignment="1">
      <alignment horizontal="center" vertical="center"/>
    </xf>
    <xf numFmtId="10" fontId="82" fillId="0" borderId="0" xfId="15609" applyNumberFormat="1" applyFont="1" applyFill="1" applyBorder="1" applyAlignment="1">
      <alignment horizontal="center" vertical="center"/>
    </xf>
    <xf numFmtId="184" fontId="82" fillId="0" borderId="0" xfId="8514" applyNumberFormat="1" applyFont="1" applyAlignment="1">
      <alignment vertical="center"/>
    </xf>
    <xf numFmtId="167" fontId="85" fillId="0" borderId="0" xfId="1" applyNumberFormat="1" applyFont="1" applyFill="1" applyAlignment="1">
      <alignment vertical="center"/>
    </xf>
    <xf numFmtId="181" fontId="82" fillId="0" borderId="0" xfId="15610" applyNumberFormat="1" applyFont="1" applyFill="1" applyBorder="1" applyAlignment="1">
      <alignment horizontal="center" vertical="center"/>
    </xf>
    <xf numFmtId="9" fontId="82" fillId="0" borderId="0" xfId="15609" applyFont="1" applyFill="1" applyAlignment="1">
      <alignment vertical="center"/>
    </xf>
    <xf numFmtId="181" fontId="82" fillId="0" borderId="0" xfId="15609" applyNumberFormat="1" applyFont="1" applyFill="1" applyAlignment="1">
      <alignment vertical="center"/>
    </xf>
    <xf numFmtId="0" fontId="97" fillId="44" borderId="0" xfId="0" applyFont="1" applyFill="1" applyAlignment="1">
      <alignment vertical="center"/>
    </xf>
    <xf numFmtId="0" fontId="82" fillId="0" borderId="26" xfId="0" applyFont="1" applyBorder="1" applyAlignment="1">
      <alignment horizontal="center" vertical="center"/>
    </xf>
    <xf numFmtId="3" fontId="82" fillId="0" borderId="0" xfId="8514" applyNumberFormat="1" applyFont="1" applyAlignment="1">
      <alignment horizontal="right" vertical="center"/>
    </xf>
    <xf numFmtId="167" fontId="78" fillId="0" borderId="24" xfId="1" applyNumberFormat="1" applyFont="1" applyBorder="1"/>
    <xf numFmtId="5" fontId="80" fillId="0" borderId="0" xfId="0" applyNumberFormat="1" applyFont="1"/>
    <xf numFmtId="0" fontId="83" fillId="0" borderId="0" xfId="0" applyFont="1" applyAlignment="1">
      <alignment vertical="center"/>
    </xf>
    <xf numFmtId="167" fontId="75" fillId="0" borderId="24" xfId="1" applyNumberFormat="1" applyFont="1" applyBorder="1"/>
    <xf numFmtId="0" fontId="0" fillId="0" borderId="0" xfId="0" applyAlignment="1">
      <alignment horizontal="center"/>
    </xf>
    <xf numFmtId="9" fontId="78" fillId="0" borderId="0" xfId="15609" applyFont="1"/>
    <xf numFmtId="167" fontId="0" fillId="0" borderId="0" xfId="1" applyNumberFormat="1" applyFont="1"/>
    <xf numFmtId="0" fontId="0" fillId="0" borderId="1" xfId="0" applyBorder="1"/>
    <xf numFmtId="0" fontId="0" fillId="35" borderId="0" xfId="0" applyFill="1"/>
    <xf numFmtId="0" fontId="78" fillId="0" borderId="24" xfId="0" applyFont="1" applyBorder="1" applyAlignment="1">
      <alignment vertical="top" wrapText="1"/>
    </xf>
    <xf numFmtId="184" fontId="78" fillId="0" borderId="24" xfId="15610" applyNumberFormat="1" applyFont="1" applyFill="1" applyBorder="1" applyAlignment="1">
      <alignment horizontal="center" vertical="center"/>
    </xf>
    <xf numFmtId="186" fontId="78" fillId="0" borderId="24" xfId="15609" applyNumberFormat="1" applyFont="1" applyFill="1" applyBorder="1" applyAlignment="1">
      <alignment horizontal="center" vertical="center"/>
    </xf>
    <xf numFmtId="0" fontId="78" fillId="0" borderId="24" xfId="0" applyFont="1" applyBorder="1"/>
    <xf numFmtId="167" fontId="82" fillId="45" borderId="0" xfId="1" applyNumberFormat="1" applyFont="1" applyFill="1" applyBorder="1" applyAlignment="1">
      <alignment horizontal="center" vertical="center"/>
    </xf>
    <xf numFmtId="0" fontId="85" fillId="0" borderId="0" xfId="0" applyFont="1" applyAlignment="1">
      <alignment horizontal="center" vertical="center" wrapText="1"/>
    </xf>
    <xf numFmtId="8" fontId="93" fillId="40" borderId="24" xfId="15610" applyNumberFormat="1" applyFont="1" applyFill="1" applyBorder="1"/>
    <xf numFmtId="170" fontId="93" fillId="40" borderId="24" xfId="1" applyNumberFormat="1" applyFont="1" applyFill="1" applyBorder="1"/>
    <xf numFmtId="5" fontId="77" fillId="0" borderId="0" xfId="15610" applyNumberFormat="1" applyFont="1"/>
    <xf numFmtId="0" fontId="100" fillId="0" borderId="1" xfId="0" applyFont="1" applyBorder="1" applyAlignment="1">
      <alignment horizontal="center" wrapText="1"/>
    </xf>
    <xf numFmtId="181" fontId="77" fillId="0" borderId="0" xfId="0" applyNumberFormat="1" applyFont="1"/>
    <xf numFmtId="167" fontId="93" fillId="40" borderId="24" xfId="1" applyNumberFormat="1" applyFont="1" applyFill="1" applyBorder="1"/>
    <xf numFmtId="44" fontId="82" fillId="0" borderId="0" xfId="15610" applyFont="1" applyAlignment="1">
      <alignment vertical="center"/>
    </xf>
    <xf numFmtId="0" fontId="49" fillId="0" borderId="0" xfId="0" applyFont="1"/>
    <xf numFmtId="0" fontId="49" fillId="0" borderId="0" xfId="0" applyFont="1" applyAlignment="1">
      <alignment horizontal="center"/>
    </xf>
    <xf numFmtId="0" fontId="49" fillId="0" borderId="0" xfId="0" applyFont="1" applyAlignment="1">
      <alignment horizontal="left"/>
    </xf>
    <xf numFmtId="0" fontId="100" fillId="0" borderId="0" xfId="0" applyFont="1"/>
    <xf numFmtId="167" fontId="49" fillId="0" borderId="0" xfId="1" applyNumberFormat="1" applyFont="1"/>
    <xf numFmtId="189" fontId="49" fillId="0" borderId="0" xfId="1" applyNumberFormat="1" applyFont="1"/>
    <xf numFmtId="167" fontId="49" fillId="0" borderId="0" xfId="0" applyNumberFormat="1" applyFont="1" applyAlignment="1">
      <alignment horizontal="center"/>
    </xf>
    <xf numFmtId="167" fontId="49" fillId="0" borderId="0" xfId="1" applyNumberFormat="1" applyFont="1" applyFill="1"/>
    <xf numFmtId="167" fontId="101" fillId="0" borderId="0" xfId="1" applyNumberFormat="1" applyFont="1" applyFill="1" applyAlignment="1">
      <alignment horizontal="center"/>
    </xf>
    <xf numFmtId="167" fontId="49" fillId="0" borderId="0" xfId="1" applyNumberFormat="1" applyFont="1" applyFill="1" applyBorder="1"/>
    <xf numFmtId="167" fontId="49" fillId="0" borderId="0" xfId="1" applyNumberFormat="1" applyFont="1" applyBorder="1"/>
    <xf numFmtId="10" fontId="49" fillId="0" borderId="0" xfId="15609" applyNumberFormat="1" applyFont="1"/>
    <xf numFmtId="43" fontId="101" fillId="0" borderId="0" xfId="1" applyFont="1" applyAlignment="1">
      <alignment horizontal="center"/>
    </xf>
    <xf numFmtId="167" fontId="49" fillId="0" borderId="1" xfId="1" applyNumberFormat="1" applyFont="1" applyBorder="1"/>
    <xf numFmtId="10" fontId="49" fillId="0" borderId="1" xfId="15609" applyNumberFormat="1" applyFont="1" applyBorder="1" applyAlignment="1">
      <alignment horizontal="center"/>
    </xf>
    <xf numFmtId="9" fontId="49" fillId="0" borderId="1" xfId="15609" applyFont="1" applyBorder="1" applyAlignment="1">
      <alignment horizontal="center"/>
    </xf>
    <xf numFmtId="0" fontId="100" fillId="0" borderId="0" xfId="0" applyFont="1" applyAlignment="1">
      <alignment horizontal="center"/>
    </xf>
    <xf numFmtId="0" fontId="49" fillId="0" borderId="0" xfId="15609" applyNumberFormat="1" applyFont="1" applyBorder="1" applyAlignment="1">
      <alignment horizontal="right"/>
    </xf>
    <xf numFmtId="10" fontId="49" fillId="0" borderId="0" xfId="15609" applyNumberFormat="1" applyFont="1" applyAlignment="1">
      <alignment horizontal="right"/>
    </xf>
    <xf numFmtId="5" fontId="49" fillId="0" borderId="0" xfId="0" applyNumberFormat="1" applyFont="1"/>
    <xf numFmtId="5" fontId="49" fillId="0" borderId="40" xfId="0" applyNumberFormat="1" applyFont="1" applyBorder="1"/>
    <xf numFmtId="37" fontId="101" fillId="0" borderId="1" xfId="1" applyNumberFormat="1" applyFont="1" applyBorder="1" applyAlignment="1">
      <alignment horizontal="right"/>
    </xf>
    <xf numFmtId="37" fontId="101" fillId="0" borderId="0" xfId="1" applyNumberFormat="1" applyFont="1" applyBorder="1" applyAlignment="1">
      <alignment horizontal="right"/>
    </xf>
    <xf numFmtId="0" fontId="100" fillId="0" borderId="0" xfId="0" applyFont="1" applyAlignment="1">
      <alignment horizontal="left"/>
    </xf>
    <xf numFmtId="5" fontId="49" fillId="0" borderId="0" xfId="0" applyNumberFormat="1" applyFont="1" applyAlignment="1">
      <alignment horizontal="center"/>
    </xf>
    <xf numFmtId="37" fontId="101" fillId="0" borderId="1" xfId="1" applyNumberFormat="1" applyFont="1" applyFill="1" applyBorder="1" applyAlignment="1">
      <alignment horizontal="right"/>
    </xf>
    <xf numFmtId="43" fontId="101" fillId="0" borderId="0" xfId="1" applyFont="1" applyBorder="1" applyAlignment="1">
      <alignment horizontal="center"/>
    </xf>
    <xf numFmtId="37" fontId="49" fillId="0" borderId="0" xfId="0" applyNumberFormat="1" applyFont="1"/>
    <xf numFmtId="37" fontId="49" fillId="0" borderId="1" xfId="0" applyNumberFormat="1" applyFont="1" applyBorder="1"/>
    <xf numFmtId="0" fontId="65" fillId="0" borderId="0" xfId="0" applyFont="1" applyAlignment="1">
      <alignment horizontal="center" vertical="center"/>
    </xf>
    <xf numFmtId="167" fontId="78" fillId="46" borderId="0" xfId="1" applyNumberFormat="1" applyFont="1" applyFill="1" applyBorder="1"/>
    <xf numFmtId="0" fontId="78" fillId="46" borderId="0" xfId="0" applyFont="1" applyFill="1"/>
    <xf numFmtId="0" fontId="78" fillId="46" borderId="25" xfId="0" applyFont="1" applyFill="1" applyBorder="1"/>
    <xf numFmtId="0" fontId="78" fillId="46" borderId="0" xfId="0" applyFont="1" applyFill="1" applyAlignment="1">
      <alignment horizontal="left"/>
    </xf>
    <xf numFmtId="199" fontId="78" fillId="46" borderId="0" xfId="0" applyNumberFormat="1" applyFont="1" applyFill="1" applyAlignment="1">
      <alignment horizontal="left"/>
    </xf>
    <xf numFmtId="0" fontId="78" fillId="46" borderId="25" xfId="0" applyFont="1" applyFill="1" applyBorder="1" applyAlignment="1">
      <alignment horizontal="left"/>
    </xf>
    <xf numFmtId="167" fontId="102" fillId="46" borderId="20" xfId="0" applyNumberFormat="1" applyFont="1" applyFill="1" applyBorder="1" applyAlignment="1">
      <alignment horizontal="right"/>
    </xf>
    <xf numFmtId="0" fontId="78" fillId="46" borderId="41" xfId="0" applyFont="1" applyFill="1" applyBorder="1" applyAlignment="1">
      <alignment horizontal="left"/>
    </xf>
    <xf numFmtId="5" fontId="78" fillId="46" borderId="0" xfId="0" applyNumberFormat="1" applyFont="1" applyFill="1" applyAlignment="1">
      <alignment horizontal="left"/>
    </xf>
    <xf numFmtId="5" fontId="102" fillId="46" borderId="33" xfId="0" applyNumberFormat="1" applyFont="1" applyFill="1" applyBorder="1" applyAlignment="1">
      <alignment horizontal="right" vertical="center"/>
    </xf>
    <xf numFmtId="167" fontId="78" fillId="46" borderId="25" xfId="1" applyNumberFormat="1" applyFont="1" applyFill="1" applyBorder="1" applyAlignment="1">
      <alignment horizontal="left"/>
    </xf>
    <xf numFmtId="10" fontId="78" fillId="46" borderId="0" xfId="0" applyNumberFormat="1" applyFont="1" applyFill="1" applyAlignment="1">
      <alignment horizontal="left"/>
    </xf>
    <xf numFmtId="5" fontId="78" fillId="46" borderId="21" xfId="0" applyNumberFormat="1" applyFont="1" applyFill="1" applyBorder="1" applyAlignment="1">
      <alignment horizontal="left"/>
    </xf>
    <xf numFmtId="43" fontId="78" fillId="46" borderId="21" xfId="1" applyFont="1" applyFill="1" applyBorder="1" applyAlignment="1">
      <alignment horizontal="left"/>
    </xf>
    <xf numFmtId="5" fontId="78" fillId="46" borderId="38" xfId="0" applyNumberFormat="1" applyFont="1" applyFill="1" applyBorder="1" applyAlignment="1">
      <alignment horizontal="left"/>
    </xf>
    <xf numFmtId="10" fontId="49" fillId="0" borderId="0" xfId="15609" applyNumberFormat="1" applyFont="1" applyAlignment="1"/>
    <xf numFmtId="10" fontId="49" fillId="0" borderId="0" xfId="15609" applyNumberFormat="1" applyFont="1" applyAlignment="1">
      <alignment horizontal="center"/>
    </xf>
    <xf numFmtId="5" fontId="49" fillId="0" borderId="0" xfId="15609" applyNumberFormat="1" applyFont="1" applyAlignment="1">
      <alignment horizontal="center"/>
    </xf>
    <xf numFmtId="9" fontId="49" fillId="0" borderId="0" xfId="15609" applyFont="1" applyAlignment="1">
      <alignment horizontal="center"/>
    </xf>
    <xf numFmtId="10" fontId="49" fillId="0" borderId="0" xfId="15609" applyNumberFormat="1" applyFont="1" applyFill="1" applyAlignment="1">
      <alignment horizontal="right"/>
    </xf>
    <xf numFmtId="7" fontId="49" fillId="0" borderId="0" xfId="0" applyNumberFormat="1" applyFont="1"/>
    <xf numFmtId="5" fontId="49" fillId="0" borderId="21" xfId="0" applyNumberFormat="1" applyFont="1" applyBorder="1"/>
    <xf numFmtId="43" fontId="49" fillId="0" borderId="0" xfId="1" applyFont="1" applyFill="1"/>
    <xf numFmtId="37" fontId="101" fillId="0" borderId="0" xfId="1" applyNumberFormat="1" applyFont="1" applyFill="1" applyBorder="1" applyAlignment="1">
      <alignment horizontal="right"/>
    </xf>
    <xf numFmtId="167" fontId="49" fillId="0" borderId="0" xfId="0" applyNumberFormat="1" applyFont="1"/>
    <xf numFmtId="10" fontId="49" fillId="0" borderId="0" xfId="15609" applyNumberFormat="1" applyFont="1" applyFill="1"/>
    <xf numFmtId="0" fontId="101" fillId="0" borderId="0" xfId="0" applyFont="1"/>
    <xf numFmtId="5" fontId="101" fillId="0" borderId="0" xfId="0" applyNumberFormat="1" applyFont="1"/>
    <xf numFmtId="5" fontId="101" fillId="0" borderId="40" xfId="0" applyNumberFormat="1" applyFont="1" applyBorder="1"/>
    <xf numFmtId="0" fontId="101" fillId="0" borderId="0" xfId="0" applyFont="1" applyAlignment="1">
      <alignment horizontal="left"/>
    </xf>
    <xf numFmtId="0" fontId="103" fillId="0" borderId="0" xfId="0" applyFont="1"/>
    <xf numFmtId="0" fontId="103" fillId="0" borderId="0" xfId="0" applyFont="1" applyAlignment="1">
      <alignment horizontal="center"/>
    </xf>
    <xf numFmtId="0" fontId="100" fillId="0" borderId="0" xfId="0" applyFont="1" applyAlignment="1">
      <alignment horizontal="center" wrapText="1"/>
    </xf>
    <xf numFmtId="1" fontId="100" fillId="0" borderId="0" xfId="15610" applyNumberFormat="1" applyFont="1" applyBorder="1"/>
    <xf numFmtId="193" fontId="100" fillId="0" borderId="0" xfId="15610" applyNumberFormat="1" applyFont="1" applyBorder="1" applyAlignment="1">
      <alignment horizontal="center"/>
    </xf>
    <xf numFmtId="193" fontId="49" fillId="0" borderId="0" xfId="15610" applyNumberFormat="1" applyFont="1" applyBorder="1"/>
    <xf numFmtId="193" fontId="49" fillId="0" borderId="0" xfId="15610" applyNumberFormat="1" applyFont="1" applyBorder="1" applyAlignment="1">
      <alignment horizontal="center"/>
    </xf>
    <xf numFmtId="167" fontId="100" fillId="0" borderId="24" xfId="1" applyNumberFormat="1" applyFont="1" applyBorder="1"/>
    <xf numFmtId="193" fontId="100" fillId="0" borderId="18" xfId="15610" applyNumberFormat="1" applyFont="1" applyBorder="1" applyAlignment="1">
      <alignment horizontal="right"/>
    </xf>
    <xf numFmtId="37" fontId="103" fillId="0" borderId="0" xfId="0" quotePrefix="1" applyNumberFormat="1" applyFont="1" applyAlignment="1">
      <alignment horizontal="left" vertical="center"/>
    </xf>
    <xf numFmtId="37" fontId="101" fillId="0" borderId="0" xfId="1" applyNumberFormat="1" applyFont="1" applyBorder="1" applyAlignment="1" applyProtection="1">
      <alignment horizontal="center" vertical="center"/>
    </xf>
    <xf numFmtId="193" fontId="101" fillId="0" borderId="0" xfId="15610" applyNumberFormat="1" applyFont="1" applyBorder="1" applyAlignment="1">
      <alignment horizontal="right"/>
    </xf>
    <xf numFmtId="193" fontId="101" fillId="0" borderId="0" xfId="15610" applyNumberFormat="1" applyFont="1" applyBorder="1" applyAlignment="1">
      <alignment horizontal="center"/>
    </xf>
    <xf numFmtId="37" fontId="103" fillId="0" borderId="0" xfId="0" applyNumberFormat="1" applyFont="1" applyAlignment="1">
      <alignment horizontal="left" vertical="center"/>
    </xf>
    <xf numFmtId="193" fontId="103" fillId="0" borderId="0" xfId="15610" applyNumberFormat="1" applyFont="1" applyBorder="1" applyAlignment="1"/>
    <xf numFmtId="37" fontId="101" fillId="0" borderId="0" xfId="0" applyNumberFormat="1" applyFont="1" applyAlignment="1">
      <alignment horizontal="left" vertical="center"/>
    </xf>
    <xf numFmtId="193" fontId="101" fillId="0" borderId="1" xfId="15610" applyNumberFormat="1" applyFont="1" applyBorder="1" applyAlignment="1">
      <alignment horizontal="center"/>
    </xf>
    <xf numFmtId="37" fontId="101" fillId="0" borderId="0" xfId="0" applyNumberFormat="1" applyFont="1" applyAlignment="1">
      <alignment vertical="center"/>
    </xf>
    <xf numFmtId="37" fontId="101" fillId="0" borderId="0" xfId="0" applyNumberFormat="1" applyFont="1" applyAlignment="1">
      <alignment horizontal="center" vertical="center"/>
    </xf>
    <xf numFmtId="169" fontId="101" fillId="0" borderId="0" xfId="0" applyNumberFormat="1" applyFont="1" applyAlignment="1">
      <alignment horizontal="center" vertical="center"/>
    </xf>
    <xf numFmtId="37" fontId="101" fillId="0" borderId="0" xfId="15610" applyNumberFormat="1" applyFont="1" applyBorder="1" applyAlignment="1">
      <alignment horizontal="right"/>
    </xf>
    <xf numFmtId="37" fontId="101" fillId="0" borderId="0" xfId="1" quotePrefix="1" applyNumberFormat="1" applyFont="1" applyFill="1" applyBorder="1" applyAlignment="1" applyProtection="1">
      <alignment horizontal="center" vertical="center"/>
    </xf>
    <xf numFmtId="37" fontId="101" fillId="0" borderId="0" xfId="1" quotePrefix="1" applyNumberFormat="1" applyFont="1" applyBorder="1" applyAlignment="1" applyProtection="1">
      <alignment horizontal="center" vertical="center"/>
    </xf>
    <xf numFmtId="37" fontId="103" fillId="0" borderId="0" xfId="0" applyNumberFormat="1" applyFont="1" applyAlignment="1">
      <alignment vertical="center"/>
    </xf>
    <xf numFmtId="193" fontId="101" fillId="0" borderId="1" xfId="15610" applyNumberFormat="1" applyFont="1" applyFill="1" applyBorder="1" applyAlignment="1" applyProtection="1">
      <alignment horizontal="right" vertical="center"/>
    </xf>
    <xf numFmtId="193" fontId="101" fillId="0" borderId="0" xfId="15610" applyNumberFormat="1" applyFont="1" applyFill="1" applyBorder="1" applyAlignment="1" applyProtection="1">
      <alignment horizontal="right" vertical="center"/>
    </xf>
    <xf numFmtId="37" fontId="101" fillId="0" borderId="0" xfId="1" applyNumberFormat="1" applyFont="1" applyFill="1" applyBorder="1" applyAlignment="1" applyProtection="1">
      <alignment horizontal="center" vertical="center"/>
    </xf>
    <xf numFmtId="193" fontId="103" fillId="0" borderId="0" xfId="15610" applyNumberFormat="1" applyFont="1" applyFill="1" applyBorder="1" applyAlignment="1" applyProtection="1">
      <alignment horizontal="right" vertical="center"/>
    </xf>
    <xf numFmtId="37" fontId="64" fillId="0" borderId="0" xfId="1" applyNumberFormat="1" applyFont="1" applyFill="1" applyBorder="1" applyAlignment="1" applyProtection="1">
      <alignment horizontal="center" vertical="center"/>
    </xf>
    <xf numFmtId="193" fontId="49" fillId="0" borderId="0" xfId="15610" applyNumberFormat="1" applyFont="1" applyBorder="1" applyAlignment="1">
      <alignment horizontal="right"/>
    </xf>
    <xf numFmtId="193" fontId="103" fillId="0" borderId="0" xfId="15610" applyNumberFormat="1" applyFont="1" applyBorder="1" applyAlignment="1">
      <alignment horizontal="right"/>
    </xf>
    <xf numFmtId="193" fontId="49" fillId="0" borderId="1" xfId="15610" applyNumberFormat="1" applyFont="1" applyBorder="1"/>
    <xf numFmtId="193" fontId="64" fillId="0" borderId="0" xfId="15610" applyNumberFormat="1" applyFont="1" applyBorder="1" applyAlignment="1" applyProtection="1"/>
    <xf numFmtId="167" fontId="100" fillId="0" borderId="0" xfId="1" applyNumberFormat="1" applyFont="1" applyBorder="1"/>
    <xf numFmtId="167" fontId="100" fillId="0" borderId="24" xfId="1" applyNumberFormat="1" applyFont="1" applyFill="1" applyBorder="1"/>
    <xf numFmtId="193" fontId="103" fillId="0" borderId="21" xfId="15610" applyNumberFormat="1" applyFont="1" applyBorder="1" applyAlignment="1">
      <alignment horizontal="right"/>
    </xf>
    <xf numFmtId="37" fontId="103" fillId="0" borderId="0" xfId="1" applyNumberFormat="1" applyFont="1" applyBorder="1" applyAlignment="1" applyProtection="1">
      <alignment horizontal="center" vertical="center"/>
    </xf>
    <xf numFmtId="193" fontId="101" fillId="0" borderId="0" xfId="15610" applyNumberFormat="1" applyFont="1" applyFill="1" applyBorder="1"/>
    <xf numFmtId="193" fontId="101" fillId="0" borderId="1" xfId="15610" applyNumberFormat="1" applyFont="1" applyFill="1" applyBorder="1" applyAlignment="1" applyProtection="1"/>
    <xf numFmtId="193" fontId="101" fillId="0" borderId="0" xfId="15610" applyNumberFormat="1" applyFont="1" applyFill="1" applyBorder="1" applyAlignment="1" applyProtection="1"/>
    <xf numFmtId="193" fontId="101" fillId="0" borderId="0" xfId="15610" applyNumberFormat="1" applyFont="1" applyFill="1" applyBorder="1" applyAlignment="1">
      <alignment horizontal="right"/>
    </xf>
    <xf numFmtId="193" fontId="101" fillId="0" borderId="0" xfId="15610" applyNumberFormat="1" applyFont="1" applyBorder="1"/>
    <xf numFmtId="37" fontId="104" fillId="0" borderId="0" xfId="0" applyNumberFormat="1" applyFont="1" applyAlignment="1">
      <alignment horizontal="left" vertical="center"/>
    </xf>
    <xf numFmtId="37" fontId="103" fillId="0" borderId="0" xfId="1" applyNumberFormat="1" applyFont="1" applyFill="1" applyBorder="1" applyAlignment="1" applyProtection="1">
      <alignment horizontal="left" vertical="center"/>
    </xf>
    <xf numFmtId="5" fontId="101" fillId="0" borderId="0" xfId="1" applyNumberFormat="1" applyFont="1" applyBorder="1" applyAlignment="1">
      <alignment horizontal="center"/>
    </xf>
    <xf numFmtId="37" fontId="101" fillId="0" borderId="0" xfId="1" applyNumberFormat="1" applyFont="1" applyFill="1" applyBorder="1" applyAlignment="1" applyProtection="1">
      <alignment horizontal="left" vertical="center"/>
    </xf>
    <xf numFmtId="38" fontId="64" fillId="0" borderId="0" xfId="0" applyNumberFormat="1" applyFont="1"/>
    <xf numFmtId="38" fontId="105" fillId="0" borderId="24" xfId="0" applyNumberFormat="1" applyFont="1" applyBorder="1"/>
    <xf numFmtId="193" fontId="101" fillId="0" borderId="1" xfId="15610" applyNumberFormat="1" applyFont="1" applyBorder="1" applyAlignment="1" applyProtection="1"/>
    <xf numFmtId="193" fontId="101" fillId="0" borderId="0" xfId="15610" applyNumberFormat="1" applyFont="1" applyBorder="1" applyAlignment="1" applyProtection="1"/>
    <xf numFmtId="193" fontId="100" fillId="0" borderId="24" xfId="0" applyNumberFormat="1" applyFont="1" applyBorder="1"/>
    <xf numFmtId="0" fontId="100" fillId="0" borderId="24" xfId="0" applyFont="1" applyBorder="1"/>
    <xf numFmtId="37" fontId="104" fillId="0" borderId="0" xfId="0" applyNumberFormat="1" applyFont="1" applyAlignment="1">
      <alignment vertical="center"/>
    </xf>
    <xf numFmtId="193" fontId="49" fillId="0" borderId="34" xfId="15610" applyNumberFormat="1" applyFont="1" applyBorder="1" applyAlignment="1">
      <alignment horizontal="center"/>
    </xf>
    <xf numFmtId="193" fontId="49" fillId="0" borderId="33" xfId="15610" applyNumberFormat="1" applyFont="1" applyBorder="1" applyAlignment="1">
      <alignment horizontal="center"/>
    </xf>
    <xf numFmtId="193" fontId="49" fillId="0" borderId="32" xfId="15610" applyNumberFormat="1" applyFont="1" applyBorder="1" applyAlignment="1">
      <alignment horizontal="center"/>
    </xf>
    <xf numFmtId="193" fontId="49" fillId="0" borderId="42" xfId="15610" applyNumberFormat="1" applyFont="1" applyBorder="1" applyAlignment="1">
      <alignment horizontal="center"/>
    </xf>
    <xf numFmtId="0" fontId="49" fillId="0" borderId="42" xfId="0" applyFont="1" applyBorder="1" applyAlignment="1">
      <alignment horizontal="center"/>
    </xf>
    <xf numFmtId="37" fontId="103" fillId="0" borderId="33" xfId="1" applyNumberFormat="1" applyFont="1" applyBorder="1" applyAlignment="1" applyProtection="1">
      <alignment horizontal="center" vertical="center"/>
    </xf>
    <xf numFmtId="0" fontId="100" fillId="0" borderId="32" xfId="0" applyFont="1" applyBorder="1" applyAlignment="1">
      <alignment horizontal="center"/>
    </xf>
    <xf numFmtId="193" fontId="49" fillId="0" borderId="43" xfId="15610" applyNumberFormat="1" applyFont="1" applyBorder="1" applyAlignment="1">
      <alignment horizontal="center"/>
    </xf>
    <xf numFmtId="0" fontId="49" fillId="0" borderId="43" xfId="0" applyFont="1" applyBorder="1" applyAlignment="1">
      <alignment horizontal="center"/>
    </xf>
    <xf numFmtId="0" fontId="49" fillId="0" borderId="23" xfId="0" applyFont="1" applyBorder="1" applyAlignment="1">
      <alignment horizontal="center"/>
    </xf>
    <xf numFmtId="37" fontId="103" fillId="0" borderId="23" xfId="1" applyNumberFormat="1" applyFont="1" applyBorder="1" applyAlignment="1" applyProtection="1">
      <alignment horizontal="center" vertical="center"/>
    </xf>
    <xf numFmtId="0" fontId="100" fillId="0" borderId="28" xfId="0" applyFont="1" applyBorder="1" applyAlignment="1">
      <alignment horizontal="center"/>
    </xf>
    <xf numFmtId="193" fontId="49" fillId="0" borderId="0" xfId="15610" applyNumberFormat="1" applyFont="1" applyFill="1" applyBorder="1"/>
    <xf numFmtId="0" fontId="100" fillId="0" borderId="0" xfId="0" applyFont="1" applyAlignment="1">
      <alignment horizontal="center" vertical="center"/>
    </xf>
    <xf numFmtId="37" fontId="100" fillId="0" borderId="0" xfId="15610" applyNumberFormat="1" applyFont="1" applyBorder="1" applyAlignment="1">
      <alignment horizontal="center" vertical="center"/>
    </xf>
    <xf numFmtId="37" fontId="100" fillId="0" borderId="0" xfId="15610" applyNumberFormat="1" applyFont="1" applyFill="1" applyBorder="1" applyAlignment="1">
      <alignment horizontal="center" vertical="center"/>
    </xf>
    <xf numFmtId="193" fontId="100" fillId="0" borderId="0" xfId="15610" applyNumberFormat="1" applyFont="1" applyBorder="1" applyAlignment="1">
      <alignment horizontal="center" vertical="center"/>
    </xf>
    <xf numFmtId="193" fontId="49" fillId="0" borderId="0" xfId="0" applyNumberFormat="1" applyFont="1"/>
    <xf numFmtId="193" fontId="103" fillId="0" borderId="0" xfId="15610" applyNumberFormat="1" applyFont="1" applyFill="1" applyBorder="1" applyAlignment="1"/>
    <xf numFmtId="193" fontId="103" fillId="0" borderId="18" xfId="15610" applyNumberFormat="1" applyFont="1" applyBorder="1" applyAlignment="1"/>
    <xf numFmtId="193" fontId="103" fillId="0" borderId="18" xfId="15610" applyNumberFormat="1" applyFont="1" applyFill="1" applyBorder="1" applyAlignment="1"/>
    <xf numFmtId="193" fontId="103" fillId="0" borderId="18" xfId="15610" applyNumberFormat="1" applyFont="1" applyBorder="1" applyAlignment="1">
      <alignment horizontal="right"/>
    </xf>
    <xf numFmtId="193" fontId="103" fillId="0" borderId="18" xfId="15610" applyNumberFormat="1" applyFont="1" applyFill="1" applyBorder="1" applyAlignment="1">
      <alignment horizontal="right"/>
    </xf>
    <xf numFmtId="37" fontId="103" fillId="0" borderId="0" xfId="1" quotePrefix="1" applyNumberFormat="1" applyFont="1" applyBorder="1" applyAlignment="1" applyProtection="1">
      <alignment horizontal="center" vertical="center"/>
    </xf>
    <xf numFmtId="193" fontId="101" fillId="0" borderId="1" xfId="15610" applyNumberFormat="1" applyFont="1" applyFill="1" applyBorder="1" applyAlignment="1">
      <alignment horizontal="center"/>
    </xf>
    <xf numFmtId="193" fontId="49" fillId="0" borderId="0" xfId="15610" applyNumberFormat="1" applyFont="1" applyFill="1" applyBorder="1" applyAlignment="1">
      <alignment horizontal="right"/>
    </xf>
    <xf numFmtId="5" fontId="103" fillId="0" borderId="0" xfId="1" applyNumberFormat="1" applyFont="1" applyFill="1" applyBorder="1" applyAlignment="1">
      <alignment horizontal="right"/>
    </xf>
    <xf numFmtId="193" fontId="103" fillId="0" borderId="0" xfId="15610" applyNumberFormat="1" applyFont="1" applyFill="1" applyBorder="1" applyAlignment="1">
      <alignment horizontal="right"/>
    </xf>
    <xf numFmtId="37" fontId="103" fillId="0" borderId="0" xfId="0" applyNumberFormat="1" applyFont="1" applyAlignment="1">
      <alignment horizontal="right" vertical="center"/>
    </xf>
    <xf numFmtId="193" fontId="49" fillId="0" borderId="1" xfId="15610" applyNumberFormat="1" applyFont="1" applyFill="1" applyBorder="1"/>
    <xf numFmtId="193" fontId="49" fillId="0" borderId="1" xfId="15610" applyNumberFormat="1" applyFont="1" applyBorder="1" applyAlignment="1">
      <alignment horizontal="center"/>
    </xf>
    <xf numFmtId="169" fontId="101" fillId="0" borderId="0" xfId="1" quotePrefix="1" applyNumberFormat="1" applyFont="1" applyBorder="1" applyAlignment="1" applyProtection="1">
      <alignment horizontal="center" vertical="center"/>
    </xf>
    <xf numFmtId="169" fontId="101" fillId="0" borderId="0" xfId="1" quotePrefix="1" applyNumberFormat="1" applyFont="1" applyFill="1" applyBorder="1" applyAlignment="1" applyProtection="1">
      <alignment horizontal="center" vertical="center"/>
    </xf>
    <xf numFmtId="193" fontId="49" fillId="0" borderId="0" xfId="15610" applyNumberFormat="1" applyFont="1" applyFill="1" applyBorder="1" applyAlignment="1">
      <alignment horizontal="center"/>
    </xf>
    <xf numFmtId="37" fontId="106" fillId="0" borderId="0" xfId="0" applyNumberFormat="1" applyFont="1" applyAlignment="1">
      <alignment horizontal="left" vertical="center"/>
    </xf>
    <xf numFmtId="37" fontId="107" fillId="0" borderId="0" xfId="1" quotePrefix="1" applyNumberFormat="1" applyFont="1" applyFill="1" applyBorder="1" applyAlignment="1" applyProtection="1">
      <alignment horizontal="center" vertical="center"/>
    </xf>
    <xf numFmtId="37" fontId="108" fillId="0" borderId="0" xfId="1" applyNumberFormat="1" applyFont="1" applyFill="1" applyBorder="1" applyAlignment="1" applyProtection="1">
      <alignment horizontal="center" vertical="center"/>
    </xf>
    <xf numFmtId="0" fontId="101" fillId="0" borderId="0" xfId="0" applyFont="1" applyAlignment="1">
      <alignment horizontal="right"/>
    </xf>
    <xf numFmtId="167" fontId="101" fillId="0" borderId="0" xfId="1" applyNumberFormat="1" applyFont="1" applyBorder="1"/>
    <xf numFmtId="37" fontId="101" fillId="0" borderId="0" xfId="0" applyNumberFormat="1" applyFont="1"/>
    <xf numFmtId="37" fontId="101" fillId="0" borderId="0" xfId="0" applyNumberFormat="1" applyFont="1" applyAlignment="1">
      <alignment horizontal="right" vertical="center" wrapText="1"/>
    </xf>
    <xf numFmtId="37" fontId="101" fillId="0" borderId="0" xfId="0" applyNumberFormat="1" applyFont="1" applyAlignment="1">
      <alignment horizontal="right"/>
    </xf>
    <xf numFmtId="3" fontId="101" fillId="0" borderId="0" xfId="0" applyNumberFormat="1" applyFont="1"/>
    <xf numFmtId="37" fontId="103" fillId="0" borderId="0" xfId="1" applyNumberFormat="1" applyFont="1" applyFill="1" applyBorder="1" applyAlignment="1" applyProtection="1">
      <alignment horizontal="right" vertical="center"/>
    </xf>
    <xf numFmtId="167" fontId="101" fillId="0" borderId="0" xfId="1" applyNumberFormat="1" applyFont="1" applyFill="1" applyBorder="1" applyAlignment="1">
      <alignment horizontal="right"/>
    </xf>
    <xf numFmtId="167" fontId="101" fillId="0" borderId="0" xfId="1" applyNumberFormat="1" applyFont="1" applyFill="1" applyBorder="1" applyAlignment="1">
      <alignment horizontal="right" vertical="center" wrapText="1"/>
    </xf>
    <xf numFmtId="37" fontId="103" fillId="0" borderId="0" xfId="1" applyNumberFormat="1" applyFont="1" applyFill="1" applyBorder="1" applyAlignment="1" applyProtection="1">
      <alignment horizontal="center" vertical="center"/>
    </xf>
    <xf numFmtId="49" fontId="101" fillId="0" borderId="0" xfId="15613" applyNumberFormat="1" applyFont="1" applyAlignment="1">
      <alignment horizontal="center"/>
    </xf>
    <xf numFmtId="37" fontId="110" fillId="0" borderId="0" xfId="0" applyNumberFormat="1" applyFont="1" applyAlignment="1">
      <alignment vertical="center"/>
    </xf>
    <xf numFmtId="0" fontId="111" fillId="0" borderId="0" xfId="0" applyFont="1"/>
    <xf numFmtId="9" fontId="101" fillId="0" borderId="0" xfId="15609" applyFont="1" applyBorder="1"/>
    <xf numFmtId="7" fontId="101" fillId="0" borderId="0" xfId="0" applyNumberFormat="1" applyFont="1"/>
    <xf numFmtId="37" fontId="103" fillId="0" borderId="0" xfId="0" applyNumberFormat="1" applyFont="1" applyAlignment="1">
      <alignment horizontal="right" vertical="center" wrapText="1"/>
    </xf>
    <xf numFmtId="37" fontId="101" fillId="0" borderId="0" xfId="0" applyNumberFormat="1" applyFont="1" applyAlignment="1">
      <alignment horizontal="right" vertical="center"/>
    </xf>
    <xf numFmtId="5" fontId="103" fillId="0" borderId="18" xfId="1" applyNumberFormat="1" applyFont="1" applyBorder="1" applyAlignment="1"/>
    <xf numFmtId="5" fontId="103" fillId="0" borderId="24" xfId="1" applyNumberFormat="1" applyFont="1" applyBorder="1" applyAlignment="1"/>
    <xf numFmtId="37" fontId="103" fillId="0" borderId="24" xfId="0" applyNumberFormat="1" applyFont="1" applyBorder="1"/>
    <xf numFmtId="5" fontId="103" fillId="0" borderId="0" xfId="1" applyNumberFormat="1" applyFont="1" applyFill="1" applyBorder="1" applyAlignment="1" applyProtection="1">
      <alignment horizontal="right" vertical="center"/>
    </xf>
    <xf numFmtId="37" fontId="101" fillId="0" borderId="1" xfId="0" applyNumberFormat="1" applyFont="1" applyBorder="1"/>
    <xf numFmtId="37" fontId="101" fillId="0" borderId="1" xfId="0" applyNumberFormat="1" applyFont="1" applyBorder="1" applyAlignment="1">
      <alignment horizontal="right" vertical="center" wrapText="1"/>
    </xf>
    <xf numFmtId="5" fontId="101" fillId="0" borderId="0" xfId="0" applyNumberFormat="1" applyFont="1" applyAlignment="1">
      <alignment horizontal="right" vertical="center" wrapText="1"/>
    </xf>
    <xf numFmtId="37" fontId="101" fillId="0" borderId="0" xfId="1" applyNumberFormat="1" applyFont="1" applyFill="1" applyBorder="1" applyAlignment="1" applyProtection="1">
      <alignment horizontal="right" vertical="center"/>
    </xf>
    <xf numFmtId="37" fontId="103" fillId="0" borderId="0" xfId="0" applyNumberFormat="1" applyFont="1"/>
    <xf numFmtId="5" fontId="103" fillId="0" borderId="18" xfId="0" applyNumberFormat="1" applyFont="1" applyBorder="1" applyAlignment="1">
      <alignment horizontal="right" vertical="center"/>
    </xf>
    <xf numFmtId="37" fontId="101" fillId="0" borderId="1" xfId="1" applyNumberFormat="1" applyFont="1" applyFill="1" applyBorder="1"/>
    <xf numFmtId="37" fontId="101" fillId="0" borderId="1" xfId="1" applyNumberFormat="1" applyFont="1" applyFill="1" applyBorder="1" applyAlignment="1" applyProtection="1">
      <alignment horizontal="right" vertical="center"/>
    </xf>
    <xf numFmtId="37" fontId="103" fillId="0" borderId="0" xfId="0" applyNumberFormat="1" applyFont="1" applyAlignment="1">
      <alignment horizontal="left"/>
    </xf>
    <xf numFmtId="200" fontId="101" fillId="0" borderId="0" xfId="15609" applyNumberFormat="1" applyFont="1" applyBorder="1"/>
    <xf numFmtId="37" fontId="103" fillId="0" borderId="36" xfId="0" applyNumberFormat="1" applyFont="1" applyBorder="1"/>
    <xf numFmtId="5" fontId="103" fillId="0" borderId="18" xfId="0" applyNumberFormat="1" applyFont="1" applyBorder="1" applyAlignment="1">
      <alignment vertical="center"/>
    </xf>
    <xf numFmtId="37" fontId="103" fillId="0" borderId="27" xfId="0" applyNumberFormat="1" applyFont="1" applyBorder="1"/>
    <xf numFmtId="5" fontId="103" fillId="0" borderId="18" xfId="1" applyNumberFormat="1" applyFont="1" applyFill="1" applyBorder="1" applyAlignment="1" applyProtection="1">
      <alignment horizontal="right" vertical="center"/>
    </xf>
    <xf numFmtId="37" fontId="101" fillId="0" borderId="0" xfId="1" applyNumberFormat="1" applyFont="1" applyFill="1" applyBorder="1" applyAlignment="1" applyProtection="1">
      <alignment horizontal="right" vertical="center"/>
      <protection locked="0"/>
    </xf>
    <xf numFmtId="37" fontId="104" fillId="0" borderId="0" xfId="0" applyNumberFormat="1" applyFont="1"/>
    <xf numFmtId="5" fontId="101" fillId="0" borderId="0" xfId="1" applyNumberFormat="1" applyFont="1" applyFill="1" applyBorder="1" applyAlignment="1" applyProtection="1">
      <alignment horizontal="right" vertical="center"/>
    </xf>
    <xf numFmtId="37" fontId="101" fillId="0" borderId="1" xfId="1" applyNumberFormat="1" applyFont="1" applyBorder="1"/>
    <xf numFmtId="37" fontId="101" fillId="0" borderId="0" xfId="1" applyNumberFormat="1" applyFont="1" applyBorder="1"/>
    <xf numFmtId="0" fontId="101" fillId="0" borderId="1" xfId="0" applyFont="1" applyBorder="1"/>
    <xf numFmtId="37" fontId="103" fillId="0" borderId="1" xfId="1" applyNumberFormat="1" applyFont="1" applyFill="1" applyBorder="1" applyAlignment="1" applyProtection="1">
      <alignment horizontal="right" vertical="center"/>
    </xf>
    <xf numFmtId="0" fontId="103" fillId="0" borderId="24" xfId="0" applyFont="1" applyBorder="1"/>
    <xf numFmtId="49" fontId="101" fillId="0" borderId="0" xfId="15613" applyNumberFormat="1" applyFont="1" applyAlignment="1" applyProtection="1">
      <alignment horizontal="center"/>
      <protection locked="0"/>
    </xf>
    <xf numFmtId="49" fontId="101" fillId="0" borderId="0" xfId="15613" quotePrefix="1" applyNumberFormat="1" applyFont="1" applyAlignment="1">
      <alignment horizontal="center"/>
    </xf>
    <xf numFmtId="49" fontId="103" fillId="0" borderId="0" xfId="0" applyNumberFormat="1" applyFont="1" applyAlignment="1">
      <alignment horizontal="center"/>
    </xf>
    <xf numFmtId="49" fontId="103" fillId="0" borderId="0" xfId="15613" applyNumberFormat="1" applyFont="1" applyAlignment="1">
      <alignment horizontal="center"/>
    </xf>
    <xf numFmtId="49" fontId="103" fillId="0" borderId="34" xfId="0" applyNumberFormat="1" applyFont="1" applyBorder="1" applyAlignment="1">
      <alignment horizontal="center"/>
    </xf>
    <xf numFmtId="49" fontId="103" fillId="0" borderId="33" xfId="0" applyNumberFormat="1" applyFont="1" applyBorder="1" applyAlignment="1">
      <alignment horizontal="center"/>
    </xf>
    <xf numFmtId="49" fontId="103" fillId="0" borderId="32" xfId="0" applyNumberFormat="1" applyFont="1" applyBorder="1" applyAlignment="1">
      <alignment horizontal="center"/>
    </xf>
    <xf numFmtId="49" fontId="103" fillId="0" borderId="34" xfId="15613" applyNumberFormat="1" applyFont="1" applyBorder="1" applyAlignment="1">
      <alignment horizontal="center"/>
    </xf>
    <xf numFmtId="49" fontId="103" fillId="0" borderId="33" xfId="15613" applyNumberFormat="1" applyFont="1" applyBorder="1" applyAlignment="1">
      <alignment horizontal="center"/>
    </xf>
    <xf numFmtId="49" fontId="103" fillId="0" borderId="32" xfId="15613" applyNumberFormat="1" applyFont="1" applyBorder="1" applyAlignment="1">
      <alignment horizontal="center"/>
    </xf>
    <xf numFmtId="0" fontId="103" fillId="0" borderId="33" xfId="0" applyFont="1" applyBorder="1"/>
    <xf numFmtId="0" fontId="103" fillId="0" borderId="33" xfId="0" applyFont="1" applyBorder="1" applyAlignment="1">
      <alignment horizontal="center"/>
    </xf>
    <xf numFmtId="0" fontId="103" fillId="0" borderId="32" xfId="0" applyFont="1" applyBorder="1" applyAlignment="1">
      <alignment horizontal="center"/>
    </xf>
    <xf numFmtId="49" fontId="103" fillId="0" borderId="31" xfId="0" applyNumberFormat="1" applyFont="1" applyBorder="1" applyAlignment="1">
      <alignment horizontal="center"/>
    </xf>
    <xf numFmtId="49" fontId="103" fillId="0" borderId="30" xfId="0" applyNumberFormat="1" applyFont="1" applyBorder="1" applyAlignment="1">
      <alignment horizontal="center"/>
    </xf>
    <xf numFmtId="49" fontId="103" fillId="0" borderId="31" xfId="15613" applyNumberFormat="1" applyFont="1" applyBorder="1" applyAlignment="1">
      <alignment horizontal="center"/>
    </xf>
    <xf numFmtId="49" fontId="103" fillId="0" borderId="30" xfId="15613" applyNumberFormat="1" applyFont="1" applyBorder="1" applyAlignment="1">
      <alignment horizontal="center"/>
    </xf>
    <xf numFmtId="0" fontId="103" fillId="0" borderId="30" xfId="0" applyFont="1" applyBorder="1" applyAlignment="1">
      <alignment horizontal="center"/>
    </xf>
    <xf numFmtId="0" fontId="103" fillId="0" borderId="28" xfId="0" applyFont="1" applyBorder="1" applyAlignment="1">
      <alignment horizontal="center"/>
    </xf>
    <xf numFmtId="0" fontId="101" fillId="0" borderId="29" xfId="0" applyFont="1" applyBorder="1" applyAlignment="1">
      <alignment horizontal="right"/>
    </xf>
    <xf numFmtId="0" fontId="101" fillId="0" borderId="23" xfId="0" applyFont="1" applyBorder="1" applyAlignment="1">
      <alignment horizontal="right"/>
    </xf>
    <xf numFmtId="0" fontId="101" fillId="0" borderId="28" xfId="0" applyFont="1" applyBorder="1" applyAlignment="1">
      <alignment horizontal="right"/>
    </xf>
    <xf numFmtId="0" fontId="101" fillId="0" borderId="23" xfId="0" applyFont="1" applyBorder="1"/>
    <xf numFmtId="3" fontId="101" fillId="0" borderId="0" xfId="0" applyNumberFormat="1" applyFont="1" applyAlignment="1">
      <alignment horizontal="right"/>
    </xf>
    <xf numFmtId="5" fontId="101" fillId="0" borderId="0" xfId="1" applyNumberFormat="1" applyFont="1" applyFill="1" applyBorder="1" applyAlignment="1">
      <alignment horizontal="right" vertical="center" wrapText="1"/>
    </xf>
    <xf numFmtId="37" fontId="103" fillId="0" borderId="0" xfId="1" quotePrefix="1" applyNumberFormat="1" applyFont="1" applyFill="1" applyBorder="1" applyAlignment="1" applyProtection="1">
      <alignment horizontal="center" vertical="center"/>
    </xf>
    <xf numFmtId="0" fontId="101" fillId="0" borderId="1" xfId="0" applyFont="1" applyBorder="1" applyAlignment="1">
      <alignment horizontal="right"/>
    </xf>
    <xf numFmtId="5" fontId="103" fillId="0" borderId="18" xfId="1" applyNumberFormat="1" applyFont="1" applyFill="1" applyBorder="1" applyAlignment="1">
      <alignment horizontal="right"/>
    </xf>
    <xf numFmtId="167" fontId="101" fillId="0" borderId="1" xfId="1" applyNumberFormat="1" applyFont="1" applyFill="1" applyBorder="1" applyAlignment="1">
      <alignment horizontal="right" vertical="center" wrapText="1"/>
    </xf>
    <xf numFmtId="37" fontId="101" fillId="0" borderId="0" xfId="1" applyNumberFormat="1" applyFont="1" applyFill="1" applyBorder="1"/>
    <xf numFmtId="5" fontId="103" fillId="0" borderId="0" xfId="15610" applyNumberFormat="1" applyFont="1" applyFill="1" applyBorder="1" applyAlignment="1" applyProtection="1">
      <alignment horizontal="right" vertical="center"/>
    </xf>
    <xf numFmtId="1" fontId="101" fillId="0" borderId="0" xfId="0" applyNumberFormat="1" applyFont="1"/>
    <xf numFmtId="3" fontId="101" fillId="0" borderId="0" xfId="1" applyNumberFormat="1" applyFont="1" applyFill="1" applyBorder="1" applyAlignment="1">
      <alignment horizontal="right" vertical="center" wrapText="1"/>
    </xf>
    <xf numFmtId="5" fontId="103" fillId="0" borderId="21" xfId="1" applyNumberFormat="1" applyFont="1" applyFill="1" applyBorder="1" applyAlignment="1" applyProtection="1">
      <alignment horizontal="right" vertical="center"/>
    </xf>
    <xf numFmtId="49" fontId="103" fillId="0" borderId="42" xfId="15613" applyNumberFormat="1" applyFont="1" applyBorder="1" applyAlignment="1">
      <alignment horizontal="center"/>
    </xf>
    <xf numFmtId="49" fontId="103" fillId="0" borderId="45" xfId="15613" applyNumberFormat="1" applyFont="1" applyBorder="1" applyAlignment="1">
      <alignment horizontal="center"/>
    </xf>
    <xf numFmtId="0" fontId="101" fillId="0" borderId="43" xfId="0" applyFont="1" applyBorder="1" applyAlignment="1">
      <alignment horizontal="right"/>
    </xf>
    <xf numFmtId="37" fontId="103" fillId="0" borderId="0" xfId="15613" applyFont="1"/>
    <xf numFmtId="37" fontId="103" fillId="0" borderId="0" xfId="15613" applyFont="1" applyAlignment="1">
      <alignment horizontal="left"/>
    </xf>
    <xf numFmtId="0" fontId="101" fillId="0" borderId="0" xfId="12078" applyFont="1"/>
    <xf numFmtId="165" fontId="76" fillId="0" borderId="2" xfId="0" applyNumberFormat="1" applyFont="1" applyBorder="1"/>
    <xf numFmtId="0" fontId="80" fillId="0" borderId="2" xfId="0" applyFont="1" applyBorder="1"/>
    <xf numFmtId="37" fontId="85" fillId="0" borderId="2" xfId="15613" applyFont="1" applyBorder="1" applyAlignment="1">
      <alignment horizontal="left"/>
    </xf>
    <xf numFmtId="37" fontId="103" fillId="0" borderId="0" xfId="15613" quotePrefix="1" applyFont="1" applyAlignment="1">
      <alignment horizontal="left"/>
    </xf>
    <xf numFmtId="37" fontId="101" fillId="0" borderId="0" xfId="15613" applyFont="1"/>
    <xf numFmtId="37" fontId="101" fillId="0" borderId="1" xfId="15613" applyFont="1" applyBorder="1"/>
    <xf numFmtId="37" fontId="101" fillId="0" borderId="0" xfId="15613" quotePrefix="1" applyFont="1" applyAlignment="1">
      <alignment horizontal="left"/>
    </xf>
    <xf numFmtId="37" fontId="101" fillId="0" borderId="0" xfId="15613" applyFont="1" applyAlignment="1">
      <alignment horizontal="fill"/>
    </xf>
    <xf numFmtId="0" fontId="76" fillId="0" borderId="0" xfId="0" applyFont="1" applyAlignment="1">
      <alignment wrapText="1"/>
    </xf>
    <xf numFmtId="10" fontId="49" fillId="0" borderId="0" xfId="0" applyNumberFormat="1" applyFont="1"/>
    <xf numFmtId="10" fontId="49" fillId="0" borderId="0" xfId="1" applyNumberFormat="1" applyFont="1" applyFill="1" applyBorder="1" applyAlignment="1">
      <alignment horizontal="center"/>
    </xf>
    <xf numFmtId="10" fontId="101" fillId="0" borderId="0" xfId="0" applyNumberFormat="1" applyFont="1"/>
    <xf numFmtId="10" fontId="64" fillId="0" borderId="0" xfId="0" applyNumberFormat="1" applyFont="1"/>
    <xf numFmtId="10" fontId="49" fillId="0" borderId="0" xfId="1" applyNumberFormat="1" applyFont="1" applyFill="1" applyBorder="1"/>
    <xf numFmtId="10" fontId="49" fillId="0" borderId="0" xfId="0" applyNumberFormat="1" applyFont="1" applyAlignment="1">
      <alignment horizontal="center"/>
    </xf>
    <xf numFmtId="190" fontId="49" fillId="0" borderId="0" xfId="1" applyNumberFormat="1" applyFont="1" applyFill="1" applyBorder="1"/>
    <xf numFmtId="38" fontId="101" fillId="0" borderId="0" xfId="0" applyNumberFormat="1" applyFont="1"/>
    <xf numFmtId="38" fontId="49" fillId="0" borderId="0" xfId="0" applyNumberFormat="1" applyFont="1"/>
    <xf numFmtId="167" fontId="101" fillId="0" borderId="0" xfId="1" applyNumberFormat="1" applyFont="1" applyFill="1" applyBorder="1" applyAlignment="1">
      <alignment horizontal="center"/>
    </xf>
    <xf numFmtId="10" fontId="64" fillId="0" borderId="0" xfId="15609" applyNumberFormat="1" applyFont="1" applyFill="1" applyBorder="1" applyAlignment="1" applyProtection="1"/>
    <xf numFmtId="167" fontId="49" fillId="0" borderId="0" xfId="1" applyNumberFormat="1" applyFont="1" applyFill="1" applyBorder="1" applyAlignment="1">
      <alignment horizontal="center"/>
    </xf>
    <xf numFmtId="189" fontId="101" fillId="0" borderId="0" xfId="1" applyNumberFormat="1" applyFont="1" applyFill="1" applyBorder="1"/>
    <xf numFmtId="201" fontId="101" fillId="0" borderId="0" xfId="1" applyNumberFormat="1" applyFont="1" applyFill="1" applyBorder="1" applyAlignment="1">
      <alignment horizontal="center"/>
    </xf>
    <xf numFmtId="202" fontId="101" fillId="0" borderId="0" xfId="1" applyNumberFormat="1" applyFont="1" applyFill="1" applyBorder="1" applyAlignment="1">
      <alignment horizontal="center"/>
    </xf>
    <xf numFmtId="202" fontId="49" fillId="0" borderId="0" xfId="0" applyNumberFormat="1" applyFont="1" applyAlignment="1">
      <alignment horizontal="center"/>
    </xf>
    <xf numFmtId="167" fontId="101" fillId="0" borderId="0" xfId="1" applyNumberFormat="1" applyFont="1" applyFill="1" applyBorder="1"/>
    <xf numFmtId="0" fontId="100" fillId="0" borderId="34" xfId="0" applyFont="1" applyBorder="1" applyAlignment="1">
      <alignment horizontal="center"/>
    </xf>
    <xf numFmtId="0" fontId="100" fillId="0" borderId="33" xfId="0" applyFont="1" applyBorder="1" applyAlignment="1">
      <alignment horizontal="center"/>
    </xf>
    <xf numFmtId="0" fontId="100" fillId="0" borderId="46" xfId="0" applyFont="1" applyBorder="1" applyAlignment="1">
      <alignment horizontal="center"/>
    </xf>
    <xf numFmtId="0" fontId="100" fillId="0" borderId="32" xfId="0" applyFont="1" applyBorder="1"/>
    <xf numFmtId="0" fontId="100" fillId="0" borderId="42" xfId="0" applyFont="1" applyBorder="1" applyAlignment="1">
      <alignment horizontal="center"/>
    </xf>
    <xf numFmtId="0" fontId="100" fillId="0" borderId="31" xfId="0" applyFont="1" applyBorder="1" applyAlignment="1">
      <alignment horizontal="center"/>
    </xf>
    <xf numFmtId="0" fontId="100" fillId="0" borderId="30" xfId="0" applyFont="1" applyBorder="1" applyAlignment="1">
      <alignment horizontal="center"/>
    </xf>
    <xf numFmtId="0" fontId="100" fillId="0" borderId="30" xfId="0" applyFont="1" applyBorder="1"/>
    <xf numFmtId="0" fontId="100" fillId="0" borderId="45" xfId="0" applyFont="1" applyBorder="1" applyAlignment="1">
      <alignment horizontal="center"/>
    </xf>
    <xf numFmtId="0" fontId="49" fillId="0" borderId="31" xfId="0" applyFont="1" applyBorder="1"/>
    <xf numFmtId="0" fontId="49" fillId="0" borderId="30" xfId="0" applyFont="1" applyBorder="1"/>
    <xf numFmtId="0" fontId="49" fillId="0" borderId="25" xfId="0" applyFont="1" applyBorder="1"/>
    <xf numFmtId="0" fontId="103" fillId="0" borderId="31" xfId="0" applyFont="1" applyBorder="1"/>
    <xf numFmtId="0" fontId="103" fillId="0" borderId="30" xfId="0" applyFont="1" applyBorder="1"/>
    <xf numFmtId="0" fontId="49" fillId="0" borderId="29" xfId="0" applyFont="1" applyBorder="1"/>
    <xf numFmtId="0" fontId="49" fillId="0" borderId="23" xfId="0" applyFont="1" applyBorder="1"/>
    <xf numFmtId="0" fontId="49" fillId="0" borderId="28" xfId="0" applyFont="1" applyBorder="1"/>
    <xf numFmtId="0" fontId="49" fillId="0" borderId="28" xfId="0" applyFont="1" applyBorder="1" applyAlignment="1">
      <alignment horizontal="center"/>
    </xf>
    <xf numFmtId="0" fontId="100" fillId="0" borderId="43" xfId="0" applyFont="1" applyBorder="1" applyAlignment="1">
      <alignment horizontal="center"/>
    </xf>
    <xf numFmtId="3" fontId="49" fillId="0" borderId="0" xfId="0" applyNumberFormat="1" applyFont="1" applyAlignment="1">
      <alignment horizontal="right" wrapText="1"/>
    </xf>
    <xf numFmtId="37" fontId="103" fillId="0" borderId="18" xfId="0" applyNumberFormat="1" applyFont="1" applyBorder="1" applyAlignment="1">
      <alignment vertical="center"/>
    </xf>
    <xf numFmtId="3" fontId="100" fillId="0" borderId="24" xfId="0" applyNumberFormat="1" applyFont="1" applyBorder="1"/>
    <xf numFmtId="3" fontId="49" fillId="0" borderId="18" xfId="0" applyNumberFormat="1" applyFont="1" applyBorder="1" applyAlignment="1">
      <alignment horizontal="right" wrapText="1"/>
    </xf>
    <xf numFmtId="3" fontId="49" fillId="0" borderId="2" xfId="0" applyNumberFormat="1" applyFont="1" applyBorder="1" applyAlignment="1">
      <alignment horizontal="right" wrapText="1"/>
    </xf>
    <xf numFmtId="37" fontId="103" fillId="0" borderId="1" xfId="0" applyNumberFormat="1" applyFont="1" applyBorder="1" applyAlignment="1">
      <alignment vertical="center"/>
    </xf>
    <xf numFmtId="37" fontId="103" fillId="0" borderId="21" xfId="0" applyNumberFormat="1" applyFont="1" applyBorder="1" applyAlignment="1">
      <alignment horizontal="left" vertical="center"/>
    </xf>
    <xf numFmtId="37" fontId="103" fillId="0" borderId="2" xfId="0" applyNumberFormat="1" applyFont="1" applyBorder="1" applyAlignment="1">
      <alignment vertical="center"/>
    </xf>
    <xf numFmtId="3" fontId="101" fillId="0" borderId="2" xfId="0" applyNumberFormat="1" applyFont="1" applyBorder="1" applyAlignment="1">
      <alignment horizontal="right" vertical="center" wrapText="1"/>
    </xf>
    <xf numFmtId="37" fontId="103" fillId="0" borderId="18" xfId="0" applyNumberFormat="1" applyFont="1" applyBorder="1" applyAlignment="1">
      <alignment horizontal="left" vertical="center"/>
    </xf>
    <xf numFmtId="3" fontId="49" fillId="0" borderId="0" xfId="0" applyNumberFormat="1" applyFont="1"/>
    <xf numFmtId="37" fontId="103" fillId="0" borderId="2" xfId="0" applyNumberFormat="1" applyFont="1" applyBorder="1" applyAlignment="1">
      <alignment horizontal="left" vertical="center"/>
    </xf>
    <xf numFmtId="1" fontId="101" fillId="0" borderId="2" xfId="0" applyNumberFormat="1" applyFont="1" applyBorder="1" applyAlignment="1">
      <alignment horizontal="right" vertical="center" wrapText="1"/>
    </xf>
    <xf numFmtId="37" fontId="49" fillId="0" borderId="0" xfId="1" applyNumberFormat="1" applyFont="1"/>
    <xf numFmtId="37" fontId="103" fillId="0" borderId="0" xfId="0" applyNumberFormat="1" applyFont="1" applyAlignment="1">
      <alignment horizontal="center" vertical="center"/>
    </xf>
    <xf numFmtId="37" fontId="103" fillId="0" borderId="0" xfId="0" applyNumberFormat="1" applyFont="1" applyAlignment="1">
      <alignment horizontal="center" vertical="center" wrapText="1"/>
    </xf>
    <xf numFmtId="3" fontId="101" fillId="0" borderId="0" xfId="15613" applyNumberFormat="1" applyFont="1" applyAlignment="1">
      <alignment horizontal="center" wrapText="1"/>
    </xf>
    <xf numFmtId="37" fontId="103" fillId="0" borderId="18" xfId="0" applyNumberFormat="1" applyFont="1" applyBorder="1" applyAlignment="1">
      <alignment horizontal="center" vertical="center"/>
    </xf>
    <xf numFmtId="37" fontId="103" fillId="0" borderId="18" xfId="0" applyNumberFormat="1" applyFont="1" applyBorder="1" applyAlignment="1">
      <alignment horizontal="center" vertical="center" wrapText="1"/>
    </xf>
    <xf numFmtId="0" fontId="49" fillId="0" borderId="0" xfId="0" applyFont="1" applyAlignment="1">
      <alignment horizontal="right"/>
    </xf>
    <xf numFmtId="0" fontId="115" fillId="0" borderId="0" xfId="0" applyFont="1"/>
    <xf numFmtId="37" fontId="18" fillId="0" borderId="0" xfId="0" applyNumberFormat="1" applyFont="1" applyAlignment="1">
      <alignment horizontal="right" vertical="center" wrapText="1"/>
    </xf>
    <xf numFmtId="37" fontId="49" fillId="0" borderId="0" xfId="0" applyNumberFormat="1" applyFont="1" applyAlignment="1">
      <alignment horizontal="right"/>
    </xf>
    <xf numFmtId="37" fontId="116" fillId="0" borderId="0" xfId="15614" applyNumberFormat="1" applyFont="1" applyAlignment="1">
      <alignment vertical="center"/>
    </xf>
    <xf numFmtId="37" fontId="103" fillId="0" borderId="18" xfId="1" applyNumberFormat="1" applyFont="1" applyFill="1" applyBorder="1" applyAlignment="1" applyProtection="1">
      <alignment horizontal="right" vertical="center"/>
    </xf>
    <xf numFmtId="37" fontId="103" fillId="0" borderId="18" xfId="0" quotePrefix="1" applyNumberFormat="1" applyFont="1" applyBorder="1" applyAlignment="1">
      <alignment horizontal="left" vertical="center"/>
    </xf>
    <xf numFmtId="37" fontId="103" fillId="0" borderId="21" xfId="1" applyNumberFormat="1" applyFont="1" applyFill="1" applyBorder="1" applyAlignment="1" applyProtection="1">
      <alignment horizontal="right" vertical="center"/>
    </xf>
    <xf numFmtId="37" fontId="103" fillId="0" borderId="2" xfId="1" applyNumberFormat="1" applyFont="1" applyFill="1" applyBorder="1" applyAlignment="1" applyProtection="1">
      <alignment horizontal="right" vertical="center"/>
    </xf>
    <xf numFmtId="37" fontId="7" fillId="0" borderId="0" xfId="0" applyNumberFormat="1" applyFont="1" applyAlignment="1">
      <alignment horizontal="right" vertical="center" wrapText="1"/>
    </xf>
    <xf numFmtId="0" fontId="49" fillId="32" borderId="0" xfId="0" applyFont="1" applyFill="1"/>
    <xf numFmtId="37" fontId="103" fillId="0" borderId="18" xfId="0" applyNumberFormat="1" applyFont="1" applyBorder="1" applyAlignment="1">
      <alignment horizontal="right" vertical="center"/>
    </xf>
    <xf numFmtId="37" fontId="103" fillId="0" borderId="18" xfId="15615" applyNumberFormat="1" applyFont="1" applyFill="1" applyBorder="1" applyAlignment="1" applyProtection="1">
      <alignment horizontal="center" vertical="center"/>
    </xf>
    <xf numFmtId="37" fontId="116" fillId="0" borderId="18" xfId="15614" applyNumberFormat="1" applyFont="1" applyBorder="1" applyAlignment="1">
      <alignment horizontal="left" vertical="center"/>
    </xf>
    <xf numFmtId="37" fontId="101" fillId="0" borderId="0" xfId="15615" applyNumberFormat="1" applyFont="1" applyFill="1" applyBorder="1" applyAlignment="1" applyProtection="1">
      <alignment horizontal="center" vertical="center"/>
    </xf>
    <xf numFmtId="37" fontId="4" fillId="0" borderId="0" xfId="15614" applyNumberFormat="1" applyAlignment="1">
      <alignment horizontal="left" vertical="center"/>
    </xf>
    <xf numFmtId="37" fontId="4" fillId="0" borderId="0" xfId="15614" applyNumberFormat="1" applyAlignment="1">
      <alignment vertical="center"/>
    </xf>
    <xf numFmtId="37" fontId="116" fillId="0" borderId="0" xfId="15615" applyNumberFormat="1" applyFont="1" applyFill="1" applyBorder="1" applyAlignment="1" applyProtection="1">
      <alignment horizontal="center" vertical="center"/>
    </xf>
    <xf numFmtId="37" fontId="116" fillId="0" borderId="0" xfId="15614" applyNumberFormat="1" applyFont="1" applyAlignment="1">
      <alignment horizontal="left" vertical="center"/>
    </xf>
    <xf numFmtId="37" fontId="64" fillId="0" borderId="0" xfId="0" applyNumberFormat="1" applyFont="1" applyAlignment="1">
      <alignment horizontal="right" vertical="center" wrapText="1"/>
    </xf>
    <xf numFmtId="37" fontId="64" fillId="0" borderId="0" xfId="0" applyNumberFormat="1" applyFont="1" applyAlignment="1">
      <alignment horizontal="left" vertical="center"/>
    </xf>
    <xf numFmtId="37" fontId="64" fillId="0" borderId="0" xfId="1" applyNumberFormat="1" applyFont="1" applyBorder="1" applyAlignment="1" applyProtection="1">
      <alignment horizontal="center" vertical="center"/>
    </xf>
    <xf numFmtId="1" fontId="49" fillId="0" borderId="0" xfId="0" applyNumberFormat="1" applyFont="1"/>
    <xf numFmtId="37" fontId="64" fillId="0" borderId="0" xfId="1" applyNumberFormat="1" applyFont="1" applyFill="1" applyBorder="1" applyAlignment="1" applyProtection="1">
      <alignment horizontal="right" vertical="center"/>
      <protection locked="0"/>
    </xf>
    <xf numFmtId="37" fontId="71" fillId="0" borderId="0" xfId="0" applyNumberFormat="1" applyFont="1" applyAlignment="1">
      <alignment horizontal="right" vertical="center" wrapText="1"/>
    </xf>
    <xf numFmtId="37" fontId="103" fillId="0" borderId="2" xfId="1" applyNumberFormat="1" applyFont="1" applyFill="1" applyBorder="1" applyAlignment="1" applyProtection="1">
      <alignment horizontal="left" vertical="center"/>
    </xf>
    <xf numFmtId="0" fontId="49" fillId="0" borderId="0" xfId="0" applyFont="1" applyAlignment="1">
      <alignment wrapText="1"/>
    </xf>
    <xf numFmtId="9" fontId="101" fillId="0" borderId="0" xfId="15609" applyFont="1" applyFill="1" applyBorder="1"/>
    <xf numFmtId="9" fontId="101" fillId="0" borderId="0" xfId="15609" applyFont="1" applyFill="1" applyBorder="1" applyAlignment="1">
      <alignment horizontal="right"/>
    </xf>
    <xf numFmtId="9" fontId="103" fillId="0" borderId="0" xfId="15609" applyFont="1" applyFill="1" applyBorder="1" applyAlignment="1" applyProtection="1">
      <alignment horizontal="right" vertical="center"/>
    </xf>
    <xf numFmtId="10" fontId="101" fillId="0" borderId="1" xfId="15609" applyNumberFormat="1" applyFont="1" applyFill="1" applyBorder="1"/>
    <xf numFmtId="10" fontId="101" fillId="0" borderId="0" xfId="15609" applyNumberFormat="1" applyFont="1" applyFill="1" applyBorder="1"/>
    <xf numFmtId="9" fontId="101" fillId="0" borderId="0" xfId="15609" applyFont="1" applyFill="1" applyBorder="1" applyAlignment="1">
      <alignment horizontal="right" vertical="center" wrapText="1"/>
    </xf>
    <xf numFmtId="9" fontId="101" fillId="0" borderId="1" xfId="15609" applyFont="1" applyFill="1" applyBorder="1"/>
    <xf numFmtId="9" fontId="103" fillId="0" borderId="21" xfId="15609" applyFont="1" applyFill="1" applyBorder="1" applyAlignment="1" applyProtection="1">
      <alignment horizontal="right" vertical="center"/>
    </xf>
    <xf numFmtId="0" fontId="111" fillId="0" borderId="0" xfId="0" applyFont="1" applyAlignment="1">
      <alignment vertical="center"/>
    </xf>
    <xf numFmtId="10" fontId="103" fillId="0" borderId="0" xfId="15609" applyNumberFormat="1" applyFont="1" applyFill="1" applyBorder="1" applyAlignment="1" applyProtection="1">
      <alignment horizontal="right" vertical="center"/>
    </xf>
    <xf numFmtId="10" fontId="101" fillId="0" borderId="0" xfId="15609" applyNumberFormat="1" applyFont="1" applyFill="1" applyBorder="1" applyAlignment="1" applyProtection="1">
      <alignment horizontal="right" vertical="center"/>
    </xf>
    <xf numFmtId="10" fontId="101" fillId="0" borderId="1" xfId="15609" applyNumberFormat="1" applyFont="1" applyFill="1" applyBorder="1" applyAlignment="1" applyProtection="1">
      <alignment horizontal="right" vertical="center"/>
    </xf>
    <xf numFmtId="10" fontId="101" fillId="0" borderId="0" xfId="15609" applyNumberFormat="1" applyFont="1" applyFill="1" applyBorder="1" applyAlignment="1">
      <alignment horizontal="right" vertical="center" wrapText="1"/>
    </xf>
    <xf numFmtId="10" fontId="101" fillId="0" borderId="0" xfId="15609" applyNumberFormat="1" applyFont="1" applyFill="1" applyBorder="1" applyAlignment="1" applyProtection="1">
      <alignment horizontal="right" vertical="center"/>
      <protection locked="0"/>
    </xf>
    <xf numFmtId="200" fontId="101" fillId="0" borderId="0" xfId="15609" applyNumberFormat="1" applyFont="1" applyFill="1" applyBorder="1"/>
    <xf numFmtId="0" fontId="101" fillId="0" borderId="0" xfId="0" applyFont="1" applyAlignment="1">
      <alignment vertical="center"/>
    </xf>
    <xf numFmtId="49" fontId="101" fillId="0" borderId="0" xfId="0" applyNumberFormat="1" applyFont="1" applyAlignment="1">
      <alignment horizontal="center" vertical="center"/>
    </xf>
    <xf numFmtId="49" fontId="101" fillId="0" borderId="0" xfId="15613" applyNumberFormat="1" applyFont="1" applyAlignment="1">
      <alignment horizontal="center" vertical="center"/>
    </xf>
    <xf numFmtId="5" fontId="101" fillId="0" borderId="2" xfId="0" applyNumberFormat="1" applyFont="1" applyBorder="1"/>
    <xf numFmtId="5" fontId="101" fillId="0" borderId="2" xfId="0" applyNumberFormat="1" applyFont="1" applyBorder="1" applyAlignment="1">
      <alignment horizontal="right" vertical="center"/>
    </xf>
    <xf numFmtId="0" fontId="101" fillId="0" borderId="26" xfId="0" applyFont="1" applyBorder="1"/>
    <xf numFmtId="5" fontId="101" fillId="0" borderId="1" xfId="0" applyNumberFormat="1" applyFont="1" applyBorder="1" applyAlignment="1">
      <alignment horizontal="right" vertical="center"/>
    </xf>
    <xf numFmtId="0" fontId="101" fillId="0" borderId="25" xfId="0" applyFont="1" applyBorder="1"/>
    <xf numFmtId="10" fontId="101" fillId="0" borderId="21" xfId="0" applyNumberFormat="1" applyFont="1" applyBorder="1"/>
    <xf numFmtId="0" fontId="101" fillId="0" borderId="38" xfId="0" applyFont="1" applyBorder="1"/>
    <xf numFmtId="37" fontId="101" fillId="0" borderId="0" xfId="15609" applyNumberFormat="1" applyFont="1" applyBorder="1"/>
    <xf numFmtId="37" fontId="101" fillId="0" borderId="0" xfId="15609" applyNumberFormat="1" applyFont="1" applyFill="1" applyBorder="1"/>
    <xf numFmtId="37" fontId="101" fillId="0" borderId="21" xfId="15609" applyNumberFormat="1" applyFont="1" applyBorder="1"/>
    <xf numFmtId="37" fontId="101" fillId="0" borderId="21" xfId="15609" applyNumberFormat="1" applyFont="1" applyFill="1" applyBorder="1"/>
    <xf numFmtId="37" fontId="101" fillId="0" borderId="0" xfId="15613" applyFont="1" applyAlignment="1">
      <alignment horizontal="center"/>
    </xf>
    <xf numFmtId="37" fontId="101" fillId="0" borderId="0" xfId="15613" applyFont="1" applyAlignment="1" applyProtection="1">
      <alignment horizontal="center"/>
      <protection locked="0"/>
    </xf>
    <xf numFmtId="37" fontId="101" fillId="0" borderId="0" xfId="15613" quotePrefix="1" applyFont="1" applyAlignment="1">
      <alignment horizontal="center"/>
    </xf>
    <xf numFmtId="37" fontId="103" fillId="0" borderId="0" xfId="15609" applyNumberFormat="1" applyFont="1" applyFill="1" applyBorder="1"/>
    <xf numFmtId="37" fontId="101" fillId="0" borderId="1" xfId="15609" applyNumberFormat="1" applyFont="1" applyBorder="1"/>
    <xf numFmtId="37" fontId="101" fillId="0" borderId="1" xfId="15609" applyNumberFormat="1" applyFont="1" applyFill="1" applyBorder="1"/>
    <xf numFmtId="169" fontId="101" fillId="0" borderId="0" xfId="1" applyNumberFormat="1" applyFont="1" applyFill="1" applyBorder="1" applyAlignment="1" applyProtection="1">
      <alignment horizontal="center" vertical="center"/>
    </xf>
    <xf numFmtId="37" fontId="117" fillId="0" borderId="0" xfId="15609" applyNumberFormat="1" applyFont="1" applyFill="1" applyBorder="1"/>
    <xf numFmtId="0" fontId="118" fillId="47" borderId="0" xfId="0" applyFont="1" applyFill="1" applyAlignment="1">
      <alignment vertical="center"/>
    </xf>
    <xf numFmtId="0" fontId="116" fillId="0" borderId="0" xfId="0" applyFont="1"/>
    <xf numFmtId="5" fontId="101" fillId="0" borderId="0" xfId="0" applyNumberFormat="1" applyFont="1" applyAlignment="1">
      <alignment horizontal="right"/>
    </xf>
    <xf numFmtId="164" fontId="103" fillId="0" borderId="0" xfId="0" applyNumberFormat="1" applyFont="1" applyAlignment="1">
      <alignment horizontal="right"/>
    </xf>
    <xf numFmtId="198" fontId="75" fillId="0" borderId="0" xfId="15610" applyNumberFormat="1" applyFont="1" applyFill="1" applyBorder="1" applyAlignment="1">
      <alignment horizontal="center" vertical="center"/>
    </xf>
    <xf numFmtId="197" fontId="82" fillId="0" borderId="0" xfId="0" applyNumberFormat="1" applyFont="1" applyAlignment="1">
      <alignment vertical="center"/>
    </xf>
    <xf numFmtId="44" fontId="82" fillId="0" borderId="0" xfId="15610" applyFont="1" applyFill="1" applyAlignment="1">
      <alignment vertical="center"/>
    </xf>
    <xf numFmtId="44" fontId="78" fillId="0" borderId="0" xfId="15610" applyFont="1" applyFill="1"/>
    <xf numFmtId="9" fontId="78" fillId="0" borderId="0" xfId="15609" applyFont="1" applyFill="1"/>
    <xf numFmtId="44" fontId="82" fillId="0" borderId="0" xfId="15610" applyFont="1" applyFill="1" applyBorder="1" applyAlignment="1">
      <alignment vertical="center"/>
    </xf>
    <xf numFmtId="9" fontId="78" fillId="0" borderId="0" xfId="15609" applyFont="1" applyFill="1" applyBorder="1"/>
    <xf numFmtId="167" fontId="85" fillId="0" borderId="0" xfId="1" applyNumberFormat="1" applyFont="1" applyFill="1" applyBorder="1" applyAlignment="1">
      <alignment vertical="center"/>
    </xf>
    <xf numFmtId="181" fontId="82" fillId="0" borderId="0" xfId="15609" applyNumberFormat="1" applyFont="1" applyFill="1" applyBorder="1" applyAlignment="1">
      <alignment vertical="center"/>
    </xf>
    <xf numFmtId="170" fontId="77" fillId="0" borderId="0" xfId="0" applyNumberFormat="1" applyFont="1"/>
    <xf numFmtId="44" fontId="78" fillId="0" borderId="0" xfId="15610" applyFont="1" applyFill="1" applyBorder="1" applyAlignment="1">
      <alignment horizontal="center" vertical="center"/>
    </xf>
    <xf numFmtId="44" fontId="78" fillId="0" borderId="0" xfId="15610" applyFont="1" applyFill="1" applyBorder="1"/>
    <xf numFmtId="0" fontId="90" fillId="0" borderId="0" xfId="0" applyFont="1"/>
    <xf numFmtId="0" fontId="119" fillId="0" borderId="0" xfId="15616" applyFont="1"/>
    <xf numFmtId="3" fontId="119" fillId="0" borderId="0" xfId="15617" applyNumberFormat="1" applyFont="1"/>
    <xf numFmtId="3" fontId="0" fillId="0" borderId="0" xfId="0" applyNumberFormat="1"/>
    <xf numFmtId="3" fontId="120" fillId="0" borderId="0" xfId="0" applyNumberFormat="1" applyFont="1" applyAlignment="1">
      <alignment horizontal="center"/>
    </xf>
    <xf numFmtId="3" fontId="48" fillId="0" borderId="0" xfId="0" applyNumberFormat="1" applyFont="1" applyAlignment="1">
      <alignment horizontal="center"/>
    </xf>
    <xf numFmtId="3" fontId="48" fillId="0" borderId="0" xfId="0" applyNumberFormat="1" applyFont="1" applyAlignment="1">
      <alignment horizontal="right"/>
    </xf>
    <xf numFmtId="3" fontId="48" fillId="0" borderId="0" xfId="0" applyNumberFormat="1" applyFont="1"/>
    <xf numFmtId="0" fontId="12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15617" applyNumberFormat="1" applyFont="1"/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122" fillId="0" borderId="0" xfId="0" applyFont="1" applyAlignment="1">
      <alignment horizontal="right"/>
    </xf>
    <xf numFmtId="3" fontId="122" fillId="0" borderId="0" xfId="15617" applyNumberFormat="1" applyFont="1"/>
    <xf numFmtId="1" fontId="0" fillId="0" borderId="0" xfId="0" applyNumberFormat="1"/>
    <xf numFmtId="3" fontId="5" fillId="0" borderId="0" xfId="0" applyNumberFormat="1" applyFont="1" applyAlignment="1">
      <alignment horizontal="center"/>
    </xf>
    <xf numFmtId="0" fontId="122" fillId="0" borderId="0" xfId="0" applyFont="1"/>
    <xf numFmtId="0" fontId="121" fillId="0" borderId="0" xfId="15616" applyFont="1"/>
    <xf numFmtId="0" fontId="120" fillId="0" borderId="0" xfId="15618" applyFont="1" applyAlignment="1">
      <alignment horizontal="center" vertical="center"/>
    </xf>
    <xf numFmtId="3" fontId="123" fillId="0" borderId="0" xfId="15616" applyNumberFormat="1" applyFont="1"/>
    <xf numFmtId="38" fontId="123" fillId="0" borderId="0" xfId="15616" applyNumberFormat="1" applyFont="1"/>
    <xf numFmtId="0" fontId="123" fillId="0" borderId="0" xfId="15616" applyFont="1"/>
    <xf numFmtId="0" fontId="2" fillId="0" borderId="0" xfId="15616" applyFont="1" applyAlignment="1">
      <alignment horizontal="center"/>
    </xf>
    <xf numFmtId="0" fontId="2" fillId="0" borderId="0" xfId="15616" applyFont="1" applyAlignment="1">
      <alignment horizontal="center" vertical="center"/>
    </xf>
    <xf numFmtId="0" fontId="121" fillId="0" borderId="0" xfId="15616" applyFont="1" applyAlignment="1">
      <alignment horizontal="center"/>
    </xf>
    <xf numFmtId="3" fontId="121" fillId="0" borderId="0" xfId="15617" applyNumberFormat="1" applyFont="1"/>
    <xf numFmtId="3" fontId="121" fillId="0" borderId="0" xfId="15617" applyNumberFormat="1" applyFont="1" applyAlignment="1">
      <alignment horizontal="center"/>
    </xf>
    <xf numFmtId="3" fontId="121" fillId="0" borderId="0" xfId="15616" applyNumberFormat="1" applyFont="1" applyAlignment="1">
      <alignment horizontal="center"/>
    </xf>
    <xf numFmtId="9" fontId="121" fillId="0" borderId="0" xfId="15609" applyFont="1" applyAlignment="1">
      <alignment horizontal="center" vertical="center"/>
    </xf>
    <xf numFmtId="9" fontId="120" fillId="0" borderId="0" xfId="15609" applyFont="1" applyAlignment="1">
      <alignment horizontal="center" vertical="center"/>
    </xf>
    <xf numFmtId="9" fontId="121" fillId="0" borderId="0" xfId="15619" applyFont="1" applyAlignment="1">
      <alignment horizontal="center"/>
    </xf>
    <xf numFmtId="0" fontId="92" fillId="0" borderId="0" xfId="15616"/>
    <xf numFmtId="0" fontId="124" fillId="0" borderId="0" xfId="15616" applyFont="1" applyAlignment="1">
      <alignment horizontal="center" vertical="center"/>
    </xf>
    <xf numFmtId="181" fontId="121" fillId="0" borderId="0" xfId="15616" applyNumberFormat="1" applyFont="1"/>
    <xf numFmtId="3" fontId="120" fillId="0" borderId="0" xfId="15616" applyNumberFormat="1" applyFont="1" applyAlignment="1">
      <alignment horizontal="right"/>
    </xf>
    <xf numFmtId="3" fontId="120" fillId="0" borderId="0" xfId="15616" applyNumberFormat="1" applyFont="1"/>
    <xf numFmtId="0" fontId="121" fillId="0" borderId="0" xfId="15616" applyFont="1" applyAlignment="1">
      <alignment horizontal="right"/>
    </xf>
    <xf numFmtId="5" fontId="101" fillId="0" borderId="1" xfId="0" applyNumberFormat="1" applyFont="1" applyBorder="1"/>
    <xf numFmtId="3" fontId="77" fillId="32" borderId="0" xfId="0" applyNumberFormat="1" applyFont="1" applyFill="1" applyAlignment="1">
      <alignment vertical="center"/>
    </xf>
    <xf numFmtId="44" fontId="77" fillId="0" borderId="0" xfId="15610" applyFont="1" applyFill="1"/>
    <xf numFmtId="9" fontId="0" fillId="0" borderId="0" xfId="15609" applyFont="1" applyFill="1"/>
    <xf numFmtId="44" fontId="0" fillId="0" borderId="0" xfId="15610" applyFont="1" applyFill="1"/>
    <xf numFmtId="186" fontId="77" fillId="0" borderId="0" xfId="0" applyNumberFormat="1" applyFont="1"/>
    <xf numFmtId="186" fontId="0" fillId="0" borderId="0" xfId="15609" applyNumberFormat="1" applyFont="1"/>
    <xf numFmtId="167" fontId="77" fillId="45" borderId="0" xfId="0" applyNumberFormat="1" applyFont="1" applyFill="1"/>
    <xf numFmtId="43" fontId="93" fillId="0" borderId="0" xfId="1" applyFont="1"/>
    <xf numFmtId="167" fontId="0" fillId="0" borderId="24" xfId="0" applyNumberFormat="1" applyBorder="1"/>
    <xf numFmtId="37" fontId="0" fillId="0" borderId="24" xfId="0" applyNumberFormat="1" applyBorder="1"/>
    <xf numFmtId="167" fontId="0" fillId="48" borderId="24" xfId="0" applyNumberFormat="1" applyFill="1" applyBorder="1"/>
    <xf numFmtId="0" fontId="80" fillId="0" borderId="28" xfId="0" applyFont="1" applyBorder="1" applyAlignment="1">
      <alignment horizontal="center" vertical="center" wrapText="1"/>
    </xf>
    <xf numFmtId="0" fontId="80" fillId="0" borderId="23" xfId="0" applyFont="1" applyBorder="1" applyAlignment="1">
      <alignment horizontal="center" vertical="center" wrapText="1"/>
    </xf>
    <xf numFmtId="0" fontId="80" fillId="0" borderId="29" xfId="0" applyFont="1" applyBorder="1" applyAlignment="1">
      <alignment horizontal="center" vertical="center" wrapText="1"/>
    </xf>
    <xf numFmtId="0" fontId="80" fillId="0" borderId="19" xfId="0" applyFont="1" applyBorder="1" applyAlignment="1">
      <alignment horizontal="center" vertical="top" wrapText="1"/>
    </xf>
    <xf numFmtId="0" fontId="80" fillId="0" borderId="6" xfId="0" applyFont="1" applyBorder="1" applyAlignment="1">
      <alignment horizontal="center" vertical="top" wrapText="1"/>
    </xf>
    <xf numFmtId="0" fontId="80" fillId="0" borderId="20" xfId="0" applyFont="1" applyBorder="1" applyAlignment="1">
      <alignment horizontal="center" vertical="top" wrapText="1"/>
    </xf>
    <xf numFmtId="0" fontId="80" fillId="0" borderId="19" xfId="0" applyFont="1" applyBorder="1" applyAlignment="1">
      <alignment horizontal="center" vertical="center" wrapText="1"/>
    </xf>
    <xf numFmtId="0" fontId="80" fillId="0" borderId="6" xfId="0" applyFont="1" applyBorder="1" applyAlignment="1">
      <alignment horizontal="center" vertical="center" wrapText="1"/>
    </xf>
    <xf numFmtId="0" fontId="80" fillId="0" borderId="20" xfId="0" applyFont="1" applyBorder="1" applyAlignment="1">
      <alignment horizontal="center" vertical="center" wrapText="1"/>
    </xf>
    <xf numFmtId="0" fontId="77" fillId="0" borderId="0" xfId="0" quotePrefix="1" applyFont="1" applyAlignment="1">
      <alignment horizontal="center" wrapText="1"/>
    </xf>
    <xf numFmtId="0" fontId="0" fillId="0" borderId="0" xfId="0" applyAlignment="1">
      <alignment horizontal="center"/>
    </xf>
    <xf numFmtId="0" fontId="78" fillId="41" borderId="25" xfId="0" applyFont="1" applyFill="1" applyBorder="1" applyAlignment="1">
      <alignment horizontal="center"/>
    </xf>
    <xf numFmtId="0" fontId="78" fillId="41" borderId="0" xfId="0" applyFont="1" applyFill="1" applyAlignment="1">
      <alignment horizontal="center"/>
    </xf>
    <xf numFmtId="0" fontId="80" fillId="0" borderId="1" xfId="0" applyFont="1" applyBorder="1" applyAlignment="1">
      <alignment horizontal="center"/>
    </xf>
    <xf numFmtId="165" fontId="85" fillId="0" borderId="28" xfId="0" applyNumberFormat="1" applyFont="1" applyBorder="1" applyAlignment="1">
      <alignment horizontal="center" vertical="center"/>
    </xf>
    <xf numFmtId="165" fontId="85" fillId="0" borderId="23" xfId="0" applyNumberFormat="1" applyFont="1" applyBorder="1" applyAlignment="1">
      <alignment horizontal="center" vertical="center"/>
    </xf>
    <xf numFmtId="165" fontId="85" fillId="0" borderId="29" xfId="0" applyNumberFormat="1" applyFont="1" applyBorder="1" applyAlignment="1">
      <alignment horizontal="center" vertical="center"/>
    </xf>
    <xf numFmtId="165" fontId="85" fillId="0" borderId="30" xfId="0" applyNumberFormat="1" applyFont="1" applyBorder="1" applyAlignment="1">
      <alignment horizontal="center" vertical="center"/>
    </xf>
    <xf numFmtId="165" fontId="85" fillId="0" borderId="0" xfId="0" applyNumberFormat="1" applyFont="1" applyAlignment="1">
      <alignment horizontal="center" vertical="center"/>
    </xf>
    <xf numFmtId="165" fontId="85" fillId="0" borderId="31" xfId="0" applyNumberFormat="1" applyFont="1" applyBorder="1" applyAlignment="1">
      <alignment horizontal="center" vertical="center"/>
    </xf>
    <xf numFmtId="165" fontId="85" fillId="0" borderId="32" xfId="0" applyNumberFormat="1" applyFont="1" applyBorder="1" applyAlignment="1">
      <alignment horizontal="center" vertical="center"/>
    </xf>
    <xf numFmtId="165" fontId="85" fillId="0" borderId="33" xfId="0" applyNumberFormat="1" applyFont="1" applyBorder="1" applyAlignment="1">
      <alignment horizontal="center" vertical="center"/>
    </xf>
    <xf numFmtId="165" fontId="85" fillId="0" borderId="34" xfId="0" applyNumberFormat="1" applyFont="1" applyBorder="1" applyAlignment="1">
      <alignment horizontal="center" vertical="center"/>
    </xf>
    <xf numFmtId="0" fontId="82" fillId="0" borderId="0" xfId="0" applyFont="1" applyAlignment="1">
      <alignment horizontal="center" vertical="center" wrapText="1"/>
    </xf>
    <xf numFmtId="0" fontId="83" fillId="0" borderId="0" xfId="0" applyFont="1" applyAlignment="1">
      <alignment horizontal="center" vertical="center" wrapText="1"/>
    </xf>
    <xf numFmtId="0" fontId="84" fillId="0" borderId="1" xfId="0" applyFont="1" applyBorder="1" applyAlignment="1">
      <alignment horizontal="center" vertical="center" wrapText="1"/>
    </xf>
    <xf numFmtId="164" fontId="83" fillId="0" borderId="0" xfId="0" applyNumberFormat="1" applyFont="1" applyAlignment="1">
      <alignment horizontal="center" vertical="center" wrapText="1"/>
    </xf>
    <xf numFmtId="164" fontId="84" fillId="0" borderId="1" xfId="0" applyNumberFormat="1" applyFont="1" applyBorder="1" applyAlignment="1">
      <alignment horizontal="center" vertical="center" wrapText="1"/>
    </xf>
    <xf numFmtId="165" fontId="83" fillId="0" borderId="0" xfId="0" applyNumberFormat="1" applyFont="1" applyAlignment="1">
      <alignment horizontal="center" vertical="center" wrapText="1"/>
    </xf>
    <xf numFmtId="165" fontId="84" fillId="0" borderId="1" xfId="0" applyNumberFormat="1" applyFont="1" applyBorder="1" applyAlignment="1">
      <alignment horizontal="center" vertical="center" wrapText="1"/>
    </xf>
    <xf numFmtId="0" fontId="83" fillId="0" borderId="0" xfId="0" applyFont="1" applyAlignment="1">
      <alignment vertical="center" wrapText="1"/>
    </xf>
    <xf numFmtId="0" fontId="82" fillId="0" borderId="0" xfId="0" applyFont="1" applyAlignment="1">
      <alignment vertical="center" wrapText="1"/>
    </xf>
    <xf numFmtId="0" fontId="82" fillId="0" borderId="0" xfId="0" applyFont="1" applyAlignment="1">
      <alignment horizontal="left" vertical="center" wrapText="1"/>
    </xf>
    <xf numFmtId="0" fontId="100" fillId="0" borderId="0" xfId="0" applyFont="1" applyAlignment="1">
      <alignment horizontal="left"/>
    </xf>
    <xf numFmtId="193" fontId="49" fillId="0" borderId="28" xfId="15610" applyNumberFormat="1" applyFont="1" applyBorder="1" applyAlignment="1">
      <alignment horizontal="center"/>
    </xf>
    <xf numFmtId="193" fontId="49" fillId="0" borderId="23" xfId="15610" applyNumberFormat="1" applyFont="1" applyBorder="1" applyAlignment="1">
      <alignment horizontal="center"/>
    </xf>
    <xf numFmtId="193" fontId="49" fillId="0" borderId="29" xfId="15610" applyNumberFormat="1" applyFont="1" applyBorder="1" applyAlignment="1">
      <alignment horizontal="center"/>
    </xf>
    <xf numFmtId="193" fontId="49" fillId="0" borderId="28" xfId="15610" applyNumberFormat="1" applyFont="1" applyFill="1" applyBorder="1" applyAlignment="1">
      <alignment horizontal="center"/>
    </xf>
    <xf numFmtId="193" fontId="49" fillId="0" borderId="23" xfId="15610" applyNumberFormat="1" applyFont="1" applyFill="1" applyBorder="1" applyAlignment="1">
      <alignment horizontal="center"/>
    </xf>
    <xf numFmtId="193" fontId="49" fillId="0" borderId="29" xfId="15610" applyNumberFormat="1" applyFont="1" applyFill="1" applyBorder="1" applyAlignment="1">
      <alignment horizontal="center"/>
    </xf>
    <xf numFmtId="0" fontId="103" fillId="0" borderId="0" xfId="0" applyFont="1" applyAlignment="1">
      <alignment horizontal="center"/>
    </xf>
    <xf numFmtId="0" fontId="103" fillId="0" borderId="1" xfId="0" applyFont="1" applyBorder="1" applyAlignment="1">
      <alignment horizontal="center"/>
    </xf>
    <xf numFmtId="0" fontId="103" fillId="0" borderId="28" xfId="0" applyFont="1" applyBorder="1" applyAlignment="1">
      <alignment horizontal="center"/>
    </xf>
    <xf numFmtId="0" fontId="103" fillId="0" borderId="23" xfId="0" applyFont="1" applyBorder="1" applyAlignment="1">
      <alignment horizontal="center"/>
    </xf>
    <xf numFmtId="0" fontId="103" fillId="0" borderId="29" xfId="0" applyFont="1" applyBorder="1" applyAlignment="1">
      <alignment horizontal="center"/>
    </xf>
    <xf numFmtId="49" fontId="103" fillId="0" borderId="1" xfId="0" applyNumberFormat="1" applyFont="1" applyBorder="1" applyAlignment="1">
      <alignment horizontal="center"/>
    </xf>
    <xf numFmtId="49" fontId="103" fillId="0" borderId="44" xfId="0" applyNumberFormat="1" applyFont="1" applyBorder="1" applyAlignment="1">
      <alignment horizontal="center"/>
    </xf>
    <xf numFmtId="49" fontId="103" fillId="0" borderId="30" xfId="0" applyNumberFormat="1" applyFont="1" applyBorder="1" applyAlignment="1">
      <alignment horizontal="center"/>
    </xf>
    <xf numFmtId="49" fontId="103" fillId="0" borderId="31" xfId="0" applyNumberFormat="1" applyFont="1" applyBorder="1" applyAlignment="1">
      <alignment horizontal="center"/>
    </xf>
    <xf numFmtId="49" fontId="103" fillId="0" borderId="28" xfId="0" applyNumberFormat="1" applyFont="1" applyBorder="1" applyAlignment="1">
      <alignment horizontal="center"/>
    </xf>
    <xf numFmtId="49" fontId="103" fillId="0" borderId="29" xfId="0" applyNumberFormat="1" applyFont="1" applyBorder="1" applyAlignment="1">
      <alignment horizontal="center"/>
    </xf>
    <xf numFmtId="0" fontId="114" fillId="0" borderId="0" xfId="0" applyFont="1" applyAlignment="1">
      <alignment horizontal="center"/>
    </xf>
    <xf numFmtId="0" fontId="76" fillId="0" borderId="0" xfId="0" applyFont="1" applyAlignment="1">
      <alignment horizontal="center"/>
    </xf>
    <xf numFmtId="0" fontId="76" fillId="0" borderId="0" xfId="0" applyFont="1" applyAlignment="1">
      <alignment horizontal="center" wrapText="1"/>
    </xf>
    <xf numFmtId="0" fontId="100" fillId="0" borderId="30" xfId="0" applyFont="1" applyBorder="1" applyAlignment="1">
      <alignment horizontal="center"/>
    </xf>
    <xf numFmtId="0" fontId="100" fillId="0" borderId="0" xfId="0" applyFont="1" applyAlignment="1">
      <alignment horizontal="center"/>
    </xf>
    <xf numFmtId="0" fontId="100" fillId="0" borderId="25" xfId="0" applyFont="1" applyBorder="1" applyAlignment="1">
      <alignment horizontal="center"/>
    </xf>
    <xf numFmtId="0" fontId="100" fillId="0" borderId="31" xfId="0" applyFont="1" applyBorder="1" applyAlignment="1">
      <alignment horizontal="center"/>
    </xf>
    <xf numFmtId="37" fontId="104" fillId="0" borderId="0" xfId="0" applyNumberFormat="1" applyFont="1" applyAlignment="1">
      <alignment horizontal="left" vertical="center"/>
    </xf>
    <xf numFmtId="0" fontId="116" fillId="0" borderId="0" xfId="0" applyFont="1" applyAlignment="1">
      <alignment horizontal="center"/>
    </xf>
    <xf numFmtId="49" fontId="103" fillId="0" borderId="0" xfId="0" applyNumberFormat="1" applyFont="1" applyAlignment="1">
      <alignment horizontal="center"/>
    </xf>
    <xf numFmtId="0" fontId="80" fillId="0" borderId="0" xfId="0" applyFont="1" applyAlignment="1">
      <alignment horizontal="center" wrapText="1"/>
    </xf>
    <xf numFmtId="0" fontId="77" fillId="0" borderId="0" xfId="0" applyFont="1" applyAlignment="1">
      <alignment horizontal="center"/>
    </xf>
    <xf numFmtId="0" fontId="79" fillId="0" borderId="19" xfId="0" applyFont="1" applyBorder="1" applyAlignment="1">
      <alignment horizontal="center" wrapText="1"/>
    </xf>
    <xf numFmtId="0" fontId="79" fillId="0" borderId="6" xfId="0" applyFont="1" applyBorder="1" applyAlignment="1">
      <alignment horizontal="center" wrapText="1"/>
    </xf>
    <xf numFmtId="0" fontId="79" fillId="0" borderId="20" xfId="0" applyFont="1" applyBorder="1" applyAlignment="1">
      <alignment horizontal="center" wrapText="1"/>
    </xf>
    <xf numFmtId="0" fontId="80" fillId="0" borderId="19" xfId="0" applyFont="1" applyBorder="1" applyAlignment="1">
      <alignment horizontal="center" wrapText="1"/>
    </xf>
    <xf numFmtId="0" fontId="80" fillId="0" borderId="6" xfId="0" applyFont="1" applyBorder="1" applyAlignment="1">
      <alignment horizontal="center" wrapText="1"/>
    </xf>
    <xf numFmtId="0" fontId="80" fillId="0" borderId="20" xfId="0" applyFont="1" applyBorder="1" applyAlignment="1">
      <alignment horizontal="center" wrapText="1"/>
    </xf>
    <xf numFmtId="0" fontId="77" fillId="0" borderId="0" xfId="0" applyFont="1" applyAlignment="1">
      <alignment horizontal="center" wrapText="1"/>
    </xf>
    <xf numFmtId="0" fontId="72" fillId="0" borderId="0" xfId="0" applyFont="1" applyAlignment="1">
      <alignment horizontal="center"/>
    </xf>
    <xf numFmtId="0" fontId="80" fillId="0" borderId="0" xfId="0" applyFont="1" applyAlignment="1">
      <alignment horizontal="left"/>
    </xf>
    <xf numFmtId="0" fontId="77" fillId="0" borderId="23" xfId="0" applyFont="1" applyBorder="1" applyAlignment="1">
      <alignment horizontal="center"/>
    </xf>
    <xf numFmtId="0" fontId="82" fillId="0" borderId="1" xfId="0" applyFont="1" applyBorder="1" applyAlignment="1">
      <alignment horizontal="center" vertical="center"/>
    </xf>
    <xf numFmtId="0" fontId="82" fillId="0" borderId="2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2" fillId="0" borderId="27" xfId="0" applyFont="1" applyBorder="1" applyAlignment="1">
      <alignment horizontal="center" vertical="center" wrapText="1"/>
    </xf>
    <xf numFmtId="0" fontId="82" fillId="0" borderId="36" xfId="0" applyFont="1" applyBorder="1" applyAlignment="1">
      <alignment horizontal="center" vertical="center" wrapText="1"/>
    </xf>
    <xf numFmtId="0" fontId="82" fillId="0" borderId="24" xfId="0" applyFont="1" applyBorder="1" applyAlignment="1">
      <alignment horizontal="center" vertical="center" wrapText="1"/>
    </xf>
    <xf numFmtId="0" fontId="82" fillId="0" borderId="27" xfId="0" applyFont="1" applyBorder="1" applyAlignment="1">
      <alignment horizontal="center" vertical="center"/>
    </xf>
    <xf numFmtId="0" fontId="82" fillId="0" borderId="36" xfId="0" applyFont="1" applyBorder="1" applyAlignment="1">
      <alignment horizontal="center" vertical="center"/>
    </xf>
    <xf numFmtId="0" fontId="85" fillId="0" borderId="26" xfId="0" applyFont="1" applyBorder="1" applyAlignment="1">
      <alignment horizontal="center" vertical="center" wrapText="1"/>
    </xf>
    <xf numFmtId="0" fontId="85" fillId="0" borderId="2" xfId="0" applyFont="1" applyBorder="1" applyAlignment="1">
      <alignment horizontal="center" vertical="center" wrapText="1"/>
    </xf>
    <xf numFmtId="0" fontId="85" fillId="0" borderId="37" xfId="0" applyFont="1" applyBorder="1" applyAlignment="1">
      <alignment horizontal="center" vertical="center" wrapText="1"/>
    </xf>
    <xf numFmtId="0" fontId="82" fillId="0" borderId="27" xfId="0" applyFont="1" applyBorder="1" applyAlignment="1">
      <alignment horizontal="center" vertical="top" wrapText="1"/>
    </xf>
    <xf numFmtId="0" fontId="82" fillId="0" borderId="36" xfId="0" applyFont="1" applyBorder="1" applyAlignment="1">
      <alignment horizontal="center" vertical="top" wrapText="1"/>
    </xf>
    <xf numFmtId="0" fontId="98" fillId="0" borderId="0" xfId="0" applyFont="1" applyAlignment="1">
      <alignment horizontal="center" vertical="center"/>
    </xf>
    <xf numFmtId="0" fontId="85" fillId="0" borderId="38" xfId="0" applyFont="1" applyBorder="1" applyAlignment="1">
      <alignment horizontal="center" vertical="center" wrapText="1"/>
    </xf>
    <xf numFmtId="0" fontId="85" fillId="0" borderId="21" xfId="0" applyFont="1" applyBorder="1" applyAlignment="1">
      <alignment horizontal="center" vertical="center" wrapText="1"/>
    </xf>
    <xf numFmtId="0" fontId="85" fillId="0" borderId="39" xfId="0" applyFont="1" applyBorder="1" applyAlignment="1">
      <alignment horizontal="center" vertical="center" wrapText="1"/>
    </xf>
    <xf numFmtId="0" fontId="82" fillId="0" borderId="24" xfId="0" applyFont="1" applyBorder="1" applyAlignment="1">
      <alignment horizontal="center" vertical="top" wrapText="1"/>
    </xf>
    <xf numFmtId="0" fontId="85" fillId="0" borderId="24" xfId="0" applyFont="1" applyBorder="1" applyAlignment="1">
      <alignment horizontal="center" vertical="center" wrapText="1"/>
    </xf>
  </cellXfs>
  <cellStyles count="15620">
    <cellStyle name="20% - Accent1 10" xfId="6" xr:uid="{00000000-0005-0000-0000-000000000000}"/>
    <cellStyle name="20% - Accent1 10 2" xfId="7" xr:uid="{00000000-0005-0000-0000-000001000000}"/>
    <cellStyle name="20% - Accent1 10 2 2" xfId="8" xr:uid="{00000000-0005-0000-0000-000002000000}"/>
    <cellStyle name="20% - Accent1 10 3" xfId="9" xr:uid="{00000000-0005-0000-0000-000003000000}"/>
    <cellStyle name="20% - Accent1 10 3 2" xfId="10" xr:uid="{00000000-0005-0000-0000-000004000000}"/>
    <cellStyle name="20% - Accent1 10 4" xfId="11" xr:uid="{00000000-0005-0000-0000-000005000000}"/>
    <cellStyle name="20% - Accent1 10 5" xfId="12" xr:uid="{00000000-0005-0000-0000-000006000000}"/>
    <cellStyle name="20% - Accent1 11" xfId="13" xr:uid="{00000000-0005-0000-0000-000007000000}"/>
    <cellStyle name="20% - Accent1 11 2" xfId="14" xr:uid="{00000000-0005-0000-0000-000008000000}"/>
    <cellStyle name="20% - Accent1 11 2 2" xfId="15" xr:uid="{00000000-0005-0000-0000-000009000000}"/>
    <cellStyle name="20% - Accent1 11 3" xfId="16" xr:uid="{00000000-0005-0000-0000-00000A000000}"/>
    <cellStyle name="20% - Accent1 11 3 2" xfId="17" xr:uid="{00000000-0005-0000-0000-00000B000000}"/>
    <cellStyle name="20% - Accent1 11 4" xfId="18" xr:uid="{00000000-0005-0000-0000-00000C000000}"/>
    <cellStyle name="20% - Accent1 11 5" xfId="19" xr:uid="{00000000-0005-0000-0000-00000D000000}"/>
    <cellStyle name="20% - Accent1 12" xfId="20" xr:uid="{00000000-0005-0000-0000-00000E000000}"/>
    <cellStyle name="20% - Accent1 12 2" xfId="21" xr:uid="{00000000-0005-0000-0000-00000F000000}"/>
    <cellStyle name="20% - Accent1 12 2 2" xfId="22" xr:uid="{00000000-0005-0000-0000-000010000000}"/>
    <cellStyle name="20% - Accent1 12 3" xfId="23" xr:uid="{00000000-0005-0000-0000-000011000000}"/>
    <cellStyle name="20% - Accent1 12 3 2" xfId="24" xr:uid="{00000000-0005-0000-0000-000012000000}"/>
    <cellStyle name="20% - Accent1 12 4" xfId="25" xr:uid="{00000000-0005-0000-0000-000013000000}"/>
    <cellStyle name="20% - Accent1 12 5" xfId="26" xr:uid="{00000000-0005-0000-0000-000014000000}"/>
    <cellStyle name="20% - Accent1 13" xfId="27" xr:uid="{00000000-0005-0000-0000-000015000000}"/>
    <cellStyle name="20% - Accent1 13 2" xfId="28" xr:uid="{00000000-0005-0000-0000-000016000000}"/>
    <cellStyle name="20% - Accent1 13 2 2" xfId="29" xr:uid="{00000000-0005-0000-0000-000017000000}"/>
    <cellStyle name="20% - Accent1 13 3" xfId="30" xr:uid="{00000000-0005-0000-0000-000018000000}"/>
    <cellStyle name="20% - Accent1 13 4" xfId="31" xr:uid="{00000000-0005-0000-0000-000019000000}"/>
    <cellStyle name="20% - Accent1 14" xfId="32" xr:uid="{00000000-0005-0000-0000-00001A000000}"/>
    <cellStyle name="20% - Accent1 14 2" xfId="33" xr:uid="{00000000-0005-0000-0000-00001B000000}"/>
    <cellStyle name="20% - Accent1 14 2 2" xfId="34" xr:uid="{00000000-0005-0000-0000-00001C000000}"/>
    <cellStyle name="20% - Accent1 14 3" xfId="35" xr:uid="{00000000-0005-0000-0000-00001D000000}"/>
    <cellStyle name="20% - Accent1 14 4" xfId="36" xr:uid="{00000000-0005-0000-0000-00001E000000}"/>
    <cellStyle name="20% - Accent1 15" xfId="37" xr:uid="{00000000-0005-0000-0000-00001F000000}"/>
    <cellStyle name="20% - Accent1 16" xfId="38" xr:uid="{00000000-0005-0000-0000-000020000000}"/>
    <cellStyle name="20% - Accent1 17" xfId="39" xr:uid="{00000000-0005-0000-0000-000021000000}"/>
    <cellStyle name="20% - Accent1 18" xfId="40" xr:uid="{00000000-0005-0000-0000-000022000000}"/>
    <cellStyle name="20% - Accent1 19" xfId="41" xr:uid="{00000000-0005-0000-0000-000023000000}"/>
    <cellStyle name="20% - Accent1 2" xfId="42" xr:uid="{00000000-0005-0000-0000-000024000000}"/>
    <cellStyle name="20% - Accent1 2 10" xfId="43" xr:uid="{00000000-0005-0000-0000-000025000000}"/>
    <cellStyle name="20% - Accent1 2 11" xfId="44" xr:uid="{00000000-0005-0000-0000-000026000000}"/>
    <cellStyle name="20% - Accent1 2 12" xfId="45" xr:uid="{00000000-0005-0000-0000-000027000000}"/>
    <cellStyle name="20% - Accent1 2 13" xfId="46" xr:uid="{00000000-0005-0000-0000-000028000000}"/>
    <cellStyle name="20% - Accent1 2 14" xfId="47" xr:uid="{00000000-0005-0000-0000-000029000000}"/>
    <cellStyle name="20% - Accent1 2 2" xfId="48" xr:uid="{00000000-0005-0000-0000-00002A000000}"/>
    <cellStyle name="20% - Accent1 2 2 2" xfId="49" xr:uid="{00000000-0005-0000-0000-00002B000000}"/>
    <cellStyle name="20% - Accent1 2 3" xfId="50" xr:uid="{00000000-0005-0000-0000-00002C000000}"/>
    <cellStyle name="20% - Accent1 2 3 2" xfId="51" xr:uid="{00000000-0005-0000-0000-00002D000000}"/>
    <cellStyle name="20% - Accent1 2 4" xfId="52" xr:uid="{00000000-0005-0000-0000-00002E000000}"/>
    <cellStyle name="20% - Accent1 2 4 2" xfId="53" xr:uid="{00000000-0005-0000-0000-00002F000000}"/>
    <cellStyle name="20% - Accent1 2 5" xfId="54" xr:uid="{00000000-0005-0000-0000-000030000000}"/>
    <cellStyle name="20% - Accent1 2 5 2" xfId="55" xr:uid="{00000000-0005-0000-0000-000031000000}"/>
    <cellStyle name="20% - Accent1 2 6" xfId="56" xr:uid="{00000000-0005-0000-0000-000032000000}"/>
    <cellStyle name="20% - Accent1 2 7" xfId="57" xr:uid="{00000000-0005-0000-0000-000033000000}"/>
    <cellStyle name="20% - Accent1 2 8" xfId="58" xr:uid="{00000000-0005-0000-0000-000034000000}"/>
    <cellStyle name="20% - Accent1 2 9" xfId="59" xr:uid="{00000000-0005-0000-0000-000035000000}"/>
    <cellStyle name="20% - Accent1 20" xfId="60" xr:uid="{00000000-0005-0000-0000-000036000000}"/>
    <cellStyle name="20% - Accent1 21" xfId="61" xr:uid="{00000000-0005-0000-0000-000037000000}"/>
    <cellStyle name="20% - Accent1 22" xfId="62" xr:uid="{00000000-0005-0000-0000-000038000000}"/>
    <cellStyle name="20% - Accent1 23" xfId="63" xr:uid="{00000000-0005-0000-0000-000039000000}"/>
    <cellStyle name="20% - Accent1 3" xfId="64" xr:uid="{00000000-0005-0000-0000-00003A000000}"/>
    <cellStyle name="20% - Accent1 3 2" xfId="65" xr:uid="{00000000-0005-0000-0000-00003B000000}"/>
    <cellStyle name="20% - Accent1 3 2 2" xfId="66" xr:uid="{00000000-0005-0000-0000-00003C000000}"/>
    <cellStyle name="20% - Accent1 3 3" xfId="67" xr:uid="{00000000-0005-0000-0000-00003D000000}"/>
    <cellStyle name="20% - Accent1 3 3 2" xfId="68" xr:uid="{00000000-0005-0000-0000-00003E000000}"/>
    <cellStyle name="20% - Accent1 3 4" xfId="69" xr:uid="{00000000-0005-0000-0000-00003F000000}"/>
    <cellStyle name="20% - Accent1 3 4 2" xfId="70" xr:uid="{00000000-0005-0000-0000-000040000000}"/>
    <cellStyle name="20% - Accent1 3 5" xfId="71" xr:uid="{00000000-0005-0000-0000-000041000000}"/>
    <cellStyle name="20% - Accent1 3 5 2" xfId="72" xr:uid="{00000000-0005-0000-0000-000042000000}"/>
    <cellStyle name="20% - Accent1 3 6" xfId="73" xr:uid="{00000000-0005-0000-0000-000043000000}"/>
    <cellStyle name="20% - Accent1 3 7" xfId="74" xr:uid="{00000000-0005-0000-0000-000044000000}"/>
    <cellStyle name="20% - Accent1 3 8" xfId="75" xr:uid="{00000000-0005-0000-0000-000045000000}"/>
    <cellStyle name="20% - Accent1 3 9" xfId="76" xr:uid="{00000000-0005-0000-0000-000046000000}"/>
    <cellStyle name="20% - Accent1 4" xfId="77" xr:uid="{00000000-0005-0000-0000-000047000000}"/>
    <cellStyle name="20% - Accent1 4 2" xfId="78" xr:uid="{00000000-0005-0000-0000-000048000000}"/>
    <cellStyle name="20% - Accent1 4 2 2" xfId="79" xr:uid="{00000000-0005-0000-0000-000049000000}"/>
    <cellStyle name="20% - Accent1 4 3" xfId="80" xr:uid="{00000000-0005-0000-0000-00004A000000}"/>
    <cellStyle name="20% - Accent1 4 3 2" xfId="81" xr:uid="{00000000-0005-0000-0000-00004B000000}"/>
    <cellStyle name="20% - Accent1 4 4" xfId="82" xr:uid="{00000000-0005-0000-0000-00004C000000}"/>
    <cellStyle name="20% - Accent1 4 4 2" xfId="83" xr:uid="{00000000-0005-0000-0000-00004D000000}"/>
    <cellStyle name="20% - Accent1 4 5" xfId="84" xr:uid="{00000000-0005-0000-0000-00004E000000}"/>
    <cellStyle name="20% - Accent1 4 5 2" xfId="85" xr:uid="{00000000-0005-0000-0000-00004F000000}"/>
    <cellStyle name="20% - Accent1 4 6" xfId="86" xr:uid="{00000000-0005-0000-0000-000050000000}"/>
    <cellStyle name="20% - Accent1 4 7" xfId="87" xr:uid="{00000000-0005-0000-0000-000051000000}"/>
    <cellStyle name="20% - Accent1 4 8" xfId="88" xr:uid="{00000000-0005-0000-0000-000052000000}"/>
    <cellStyle name="20% - Accent1 4 9" xfId="89" xr:uid="{00000000-0005-0000-0000-000053000000}"/>
    <cellStyle name="20% - Accent1 5" xfId="90" xr:uid="{00000000-0005-0000-0000-000054000000}"/>
    <cellStyle name="20% - Accent1 5 2" xfId="91" xr:uid="{00000000-0005-0000-0000-000055000000}"/>
    <cellStyle name="20% - Accent1 5 2 2" xfId="92" xr:uid="{00000000-0005-0000-0000-000056000000}"/>
    <cellStyle name="20% - Accent1 5 3" xfId="93" xr:uid="{00000000-0005-0000-0000-000057000000}"/>
    <cellStyle name="20% - Accent1 5 3 2" xfId="94" xr:uid="{00000000-0005-0000-0000-000058000000}"/>
    <cellStyle name="20% - Accent1 5 4" xfId="95" xr:uid="{00000000-0005-0000-0000-000059000000}"/>
    <cellStyle name="20% - Accent1 5 5" xfId="96" xr:uid="{00000000-0005-0000-0000-00005A000000}"/>
    <cellStyle name="20% - Accent1 6" xfId="97" xr:uid="{00000000-0005-0000-0000-00005B000000}"/>
    <cellStyle name="20% - Accent1 6 2" xfId="98" xr:uid="{00000000-0005-0000-0000-00005C000000}"/>
    <cellStyle name="20% - Accent1 6 2 2" xfId="99" xr:uid="{00000000-0005-0000-0000-00005D000000}"/>
    <cellStyle name="20% - Accent1 6 3" xfId="100" xr:uid="{00000000-0005-0000-0000-00005E000000}"/>
    <cellStyle name="20% - Accent1 6 3 2" xfId="101" xr:uid="{00000000-0005-0000-0000-00005F000000}"/>
    <cellStyle name="20% - Accent1 6 4" xfId="102" xr:uid="{00000000-0005-0000-0000-000060000000}"/>
    <cellStyle name="20% - Accent1 6 5" xfId="103" xr:uid="{00000000-0005-0000-0000-000061000000}"/>
    <cellStyle name="20% - Accent1 7" xfId="104" xr:uid="{00000000-0005-0000-0000-000062000000}"/>
    <cellStyle name="20% - Accent1 7 2" xfId="105" xr:uid="{00000000-0005-0000-0000-000063000000}"/>
    <cellStyle name="20% - Accent1 7 2 2" xfId="106" xr:uid="{00000000-0005-0000-0000-000064000000}"/>
    <cellStyle name="20% - Accent1 7 3" xfId="107" xr:uid="{00000000-0005-0000-0000-000065000000}"/>
    <cellStyle name="20% - Accent1 7 3 2" xfId="108" xr:uid="{00000000-0005-0000-0000-000066000000}"/>
    <cellStyle name="20% - Accent1 7 4" xfId="109" xr:uid="{00000000-0005-0000-0000-000067000000}"/>
    <cellStyle name="20% - Accent1 7 5" xfId="110" xr:uid="{00000000-0005-0000-0000-000068000000}"/>
    <cellStyle name="20% - Accent1 8" xfId="111" xr:uid="{00000000-0005-0000-0000-000069000000}"/>
    <cellStyle name="20% - Accent1 8 2" xfId="112" xr:uid="{00000000-0005-0000-0000-00006A000000}"/>
    <cellStyle name="20% - Accent1 8 2 2" xfId="113" xr:uid="{00000000-0005-0000-0000-00006B000000}"/>
    <cellStyle name="20% - Accent1 8 3" xfId="114" xr:uid="{00000000-0005-0000-0000-00006C000000}"/>
    <cellStyle name="20% - Accent1 8 3 2" xfId="115" xr:uid="{00000000-0005-0000-0000-00006D000000}"/>
    <cellStyle name="20% - Accent1 8 4" xfId="116" xr:uid="{00000000-0005-0000-0000-00006E000000}"/>
    <cellStyle name="20% - Accent1 8 5" xfId="117" xr:uid="{00000000-0005-0000-0000-00006F000000}"/>
    <cellStyle name="20% - Accent1 9" xfId="118" xr:uid="{00000000-0005-0000-0000-000070000000}"/>
    <cellStyle name="20% - Accent1 9 2" xfId="119" xr:uid="{00000000-0005-0000-0000-000071000000}"/>
    <cellStyle name="20% - Accent1 9 2 2" xfId="120" xr:uid="{00000000-0005-0000-0000-000072000000}"/>
    <cellStyle name="20% - Accent1 9 3" xfId="121" xr:uid="{00000000-0005-0000-0000-000073000000}"/>
    <cellStyle name="20% - Accent1 9 3 2" xfId="122" xr:uid="{00000000-0005-0000-0000-000074000000}"/>
    <cellStyle name="20% - Accent1 9 4" xfId="123" xr:uid="{00000000-0005-0000-0000-000075000000}"/>
    <cellStyle name="20% - Accent1 9 5" xfId="124" xr:uid="{00000000-0005-0000-0000-000076000000}"/>
    <cellStyle name="20% - Accent2 10" xfId="125" xr:uid="{00000000-0005-0000-0000-000077000000}"/>
    <cellStyle name="20% - Accent2 10 2" xfId="126" xr:uid="{00000000-0005-0000-0000-000078000000}"/>
    <cellStyle name="20% - Accent2 10 2 2" xfId="127" xr:uid="{00000000-0005-0000-0000-000079000000}"/>
    <cellStyle name="20% - Accent2 10 3" xfId="128" xr:uid="{00000000-0005-0000-0000-00007A000000}"/>
    <cellStyle name="20% - Accent2 10 3 2" xfId="129" xr:uid="{00000000-0005-0000-0000-00007B000000}"/>
    <cellStyle name="20% - Accent2 10 4" xfId="130" xr:uid="{00000000-0005-0000-0000-00007C000000}"/>
    <cellStyle name="20% - Accent2 10 5" xfId="131" xr:uid="{00000000-0005-0000-0000-00007D000000}"/>
    <cellStyle name="20% - Accent2 11" xfId="132" xr:uid="{00000000-0005-0000-0000-00007E000000}"/>
    <cellStyle name="20% - Accent2 11 2" xfId="133" xr:uid="{00000000-0005-0000-0000-00007F000000}"/>
    <cellStyle name="20% - Accent2 11 2 2" xfId="134" xr:uid="{00000000-0005-0000-0000-000080000000}"/>
    <cellStyle name="20% - Accent2 11 3" xfId="135" xr:uid="{00000000-0005-0000-0000-000081000000}"/>
    <cellStyle name="20% - Accent2 11 3 2" xfId="136" xr:uid="{00000000-0005-0000-0000-000082000000}"/>
    <cellStyle name="20% - Accent2 11 4" xfId="137" xr:uid="{00000000-0005-0000-0000-000083000000}"/>
    <cellStyle name="20% - Accent2 11 5" xfId="138" xr:uid="{00000000-0005-0000-0000-000084000000}"/>
    <cellStyle name="20% - Accent2 12" xfId="139" xr:uid="{00000000-0005-0000-0000-000085000000}"/>
    <cellStyle name="20% - Accent2 12 2" xfId="140" xr:uid="{00000000-0005-0000-0000-000086000000}"/>
    <cellStyle name="20% - Accent2 12 2 2" xfId="141" xr:uid="{00000000-0005-0000-0000-000087000000}"/>
    <cellStyle name="20% - Accent2 12 3" xfId="142" xr:uid="{00000000-0005-0000-0000-000088000000}"/>
    <cellStyle name="20% - Accent2 12 3 2" xfId="143" xr:uid="{00000000-0005-0000-0000-000089000000}"/>
    <cellStyle name="20% - Accent2 12 4" xfId="144" xr:uid="{00000000-0005-0000-0000-00008A000000}"/>
    <cellStyle name="20% - Accent2 12 5" xfId="145" xr:uid="{00000000-0005-0000-0000-00008B000000}"/>
    <cellStyle name="20% - Accent2 13" xfId="146" xr:uid="{00000000-0005-0000-0000-00008C000000}"/>
    <cellStyle name="20% - Accent2 13 2" xfId="147" xr:uid="{00000000-0005-0000-0000-00008D000000}"/>
    <cellStyle name="20% - Accent2 13 2 2" xfId="148" xr:uid="{00000000-0005-0000-0000-00008E000000}"/>
    <cellStyle name="20% - Accent2 13 3" xfId="149" xr:uid="{00000000-0005-0000-0000-00008F000000}"/>
    <cellStyle name="20% - Accent2 13 4" xfId="150" xr:uid="{00000000-0005-0000-0000-000090000000}"/>
    <cellStyle name="20% - Accent2 14" xfId="151" xr:uid="{00000000-0005-0000-0000-000091000000}"/>
    <cellStyle name="20% - Accent2 14 2" xfId="152" xr:uid="{00000000-0005-0000-0000-000092000000}"/>
    <cellStyle name="20% - Accent2 14 2 2" xfId="153" xr:uid="{00000000-0005-0000-0000-000093000000}"/>
    <cellStyle name="20% - Accent2 14 3" xfId="154" xr:uid="{00000000-0005-0000-0000-000094000000}"/>
    <cellStyle name="20% - Accent2 14 4" xfId="155" xr:uid="{00000000-0005-0000-0000-000095000000}"/>
    <cellStyle name="20% - Accent2 15" xfId="156" xr:uid="{00000000-0005-0000-0000-000096000000}"/>
    <cellStyle name="20% - Accent2 16" xfId="157" xr:uid="{00000000-0005-0000-0000-000097000000}"/>
    <cellStyle name="20% - Accent2 17" xfId="158" xr:uid="{00000000-0005-0000-0000-000098000000}"/>
    <cellStyle name="20% - Accent2 18" xfId="159" xr:uid="{00000000-0005-0000-0000-000099000000}"/>
    <cellStyle name="20% - Accent2 19" xfId="160" xr:uid="{00000000-0005-0000-0000-00009A000000}"/>
    <cellStyle name="20% - Accent2 2" xfId="161" xr:uid="{00000000-0005-0000-0000-00009B000000}"/>
    <cellStyle name="20% - Accent2 2 10" xfId="162" xr:uid="{00000000-0005-0000-0000-00009C000000}"/>
    <cellStyle name="20% - Accent2 2 11" xfId="163" xr:uid="{00000000-0005-0000-0000-00009D000000}"/>
    <cellStyle name="20% - Accent2 2 12" xfId="164" xr:uid="{00000000-0005-0000-0000-00009E000000}"/>
    <cellStyle name="20% - Accent2 2 13" xfId="165" xr:uid="{00000000-0005-0000-0000-00009F000000}"/>
    <cellStyle name="20% - Accent2 2 14" xfId="166" xr:uid="{00000000-0005-0000-0000-0000A0000000}"/>
    <cellStyle name="20% - Accent2 2 2" xfId="167" xr:uid="{00000000-0005-0000-0000-0000A1000000}"/>
    <cellStyle name="20% - Accent2 2 2 2" xfId="168" xr:uid="{00000000-0005-0000-0000-0000A2000000}"/>
    <cellStyle name="20% - Accent2 2 3" xfId="169" xr:uid="{00000000-0005-0000-0000-0000A3000000}"/>
    <cellStyle name="20% - Accent2 2 3 2" xfId="170" xr:uid="{00000000-0005-0000-0000-0000A4000000}"/>
    <cellStyle name="20% - Accent2 2 4" xfId="171" xr:uid="{00000000-0005-0000-0000-0000A5000000}"/>
    <cellStyle name="20% - Accent2 2 4 2" xfId="172" xr:uid="{00000000-0005-0000-0000-0000A6000000}"/>
    <cellStyle name="20% - Accent2 2 5" xfId="173" xr:uid="{00000000-0005-0000-0000-0000A7000000}"/>
    <cellStyle name="20% - Accent2 2 5 2" xfId="174" xr:uid="{00000000-0005-0000-0000-0000A8000000}"/>
    <cellStyle name="20% - Accent2 2 6" xfId="175" xr:uid="{00000000-0005-0000-0000-0000A9000000}"/>
    <cellStyle name="20% - Accent2 2 7" xfId="176" xr:uid="{00000000-0005-0000-0000-0000AA000000}"/>
    <cellStyle name="20% - Accent2 2 8" xfId="177" xr:uid="{00000000-0005-0000-0000-0000AB000000}"/>
    <cellStyle name="20% - Accent2 2 9" xfId="178" xr:uid="{00000000-0005-0000-0000-0000AC000000}"/>
    <cellStyle name="20% - Accent2 20" xfId="179" xr:uid="{00000000-0005-0000-0000-0000AD000000}"/>
    <cellStyle name="20% - Accent2 21" xfId="180" xr:uid="{00000000-0005-0000-0000-0000AE000000}"/>
    <cellStyle name="20% - Accent2 22" xfId="181" xr:uid="{00000000-0005-0000-0000-0000AF000000}"/>
    <cellStyle name="20% - Accent2 23" xfId="182" xr:uid="{00000000-0005-0000-0000-0000B0000000}"/>
    <cellStyle name="20% - Accent2 3" xfId="183" xr:uid="{00000000-0005-0000-0000-0000B1000000}"/>
    <cellStyle name="20% - Accent2 3 2" xfId="184" xr:uid="{00000000-0005-0000-0000-0000B2000000}"/>
    <cellStyle name="20% - Accent2 3 2 2" xfId="185" xr:uid="{00000000-0005-0000-0000-0000B3000000}"/>
    <cellStyle name="20% - Accent2 3 3" xfId="186" xr:uid="{00000000-0005-0000-0000-0000B4000000}"/>
    <cellStyle name="20% - Accent2 3 3 2" xfId="187" xr:uid="{00000000-0005-0000-0000-0000B5000000}"/>
    <cellStyle name="20% - Accent2 3 4" xfId="188" xr:uid="{00000000-0005-0000-0000-0000B6000000}"/>
    <cellStyle name="20% - Accent2 3 4 2" xfId="189" xr:uid="{00000000-0005-0000-0000-0000B7000000}"/>
    <cellStyle name="20% - Accent2 3 5" xfId="190" xr:uid="{00000000-0005-0000-0000-0000B8000000}"/>
    <cellStyle name="20% - Accent2 3 5 2" xfId="191" xr:uid="{00000000-0005-0000-0000-0000B9000000}"/>
    <cellStyle name="20% - Accent2 3 6" xfId="192" xr:uid="{00000000-0005-0000-0000-0000BA000000}"/>
    <cellStyle name="20% - Accent2 3 7" xfId="193" xr:uid="{00000000-0005-0000-0000-0000BB000000}"/>
    <cellStyle name="20% - Accent2 3 8" xfId="194" xr:uid="{00000000-0005-0000-0000-0000BC000000}"/>
    <cellStyle name="20% - Accent2 3 9" xfId="195" xr:uid="{00000000-0005-0000-0000-0000BD000000}"/>
    <cellStyle name="20% - Accent2 4" xfId="196" xr:uid="{00000000-0005-0000-0000-0000BE000000}"/>
    <cellStyle name="20% - Accent2 4 2" xfId="197" xr:uid="{00000000-0005-0000-0000-0000BF000000}"/>
    <cellStyle name="20% - Accent2 4 2 2" xfId="198" xr:uid="{00000000-0005-0000-0000-0000C0000000}"/>
    <cellStyle name="20% - Accent2 4 3" xfId="199" xr:uid="{00000000-0005-0000-0000-0000C1000000}"/>
    <cellStyle name="20% - Accent2 4 3 2" xfId="200" xr:uid="{00000000-0005-0000-0000-0000C2000000}"/>
    <cellStyle name="20% - Accent2 4 4" xfId="201" xr:uid="{00000000-0005-0000-0000-0000C3000000}"/>
    <cellStyle name="20% - Accent2 4 4 2" xfId="202" xr:uid="{00000000-0005-0000-0000-0000C4000000}"/>
    <cellStyle name="20% - Accent2 4 5" xfId="203" xr:uid="{00000000-0005-0000-0000-0000C5000000}"/>
    <cellStyle name="20% - Accent2 4 5 2" xfId="204" xr:uid="{00000000-0005-0000-0000-0000C6000000}"/>
    <cellStyle name="20% - Accent2 4 6" xfId="205" xr:uid="{00000000-0005-0000-0000-0000C7000000}"/>
    <cellStyle name="20% - Accent2 4 7" xfId="206" xr:uid="{00000000-0005-0000-0000-0000C8000000}"/>
    <cellStyle name="20% - Accent2 4 8" xfId="207" xr:uid="{00000000-0005-0000-0000-0000C9000000}"/>
    <cellStyle name="20% - Accent2 4 9" xfId="208" xr:uid="{00000000-0005-0000-0000-0000CA000000}"/>
    <cellStyle name="20% - Accent2 5" xfId="209" xr:uid="{00000000-0005-0000-0000-0000CB000000}"/>
    <cellStyle name="20% - Accent2 5 2" xfId="210" xr:uid="{00000000-0005-0000-0000-0000CC000000}"/>
    <cellStyle name="20% - Accent2 5 2 2" xfId="211" xr:uid="{00000000-0005-0000-0000-0000CD000000}"/>
    <cellStyle name="20% - Accent2 5 3" xfId="212" xr:uid="{00000000-0005-0000-0000-0000CE000000}"/>
    <cellStyle name="20% - Accent2 5 3 2" xfId="213" xr:uid="{00000000-0005-0000-0000-0000CF000000}"/>
    <cellStyle name="20% - Accent2 5 4" xfId="214" xr:uid="{00000000-0005-0000-0000-0000D0000000}"/>
    <cellStyle name="20% - Accent2 5 5" xfId="215" xr:uid="{00000000-0005-0000-0000-0000D1000000}"/>
    <cellStyle name="20% - Accent2 6" xfId="216" xr:uid="{00000000-0005-0000-0000-0000D2000000}"/>
    <cellStyle name="20% - Accent2 6 2" xfId="217" xr:uid="{00000000-0005-0000-0000-0000D3000000}"/>
    <cellStyle name="20% - Accent2 6 2 2" xfId="218" xr:uid="{00000000-0005-0000-0000-0000D4000000}"/>
    <cellStyle name="20% - Accent2 6 3" xfId="219" xr:uid="{00000000-0005-0000-0000-0000D5000000}"/>
    <cellStyle name="20% - Accent2 6 3 2" xfId="220" xr:uid="{00000000-0005-0000-0000-0000D6000000}"/>
    <cellStyle name="20% - Accent2 6 4" xfId="221" xr:uid="{00000000-0005-0000-0000-0000D7000000}"/>
    <cellStyle name="20% - Accent2 6 5" xfId="222" xr:uid="{00000000-0005-0000-0000-0000D8000000}"/>
    <cellStyle name="20% - Accent2 7" xfId="223" xr:uid="{00000000-0005-0000-0000-0000D9000000}"/>
    <cellStyle name="20% - Accent2 7 2" xfId="224" xr:uid="{00000000-0005-0000-0000-0000DA000000}"/>
    <cellStyle name="20% - Accent2 7 2 2" xfId="225" xr:uid="{00000000-0005-0000-0000-0000DB000000}"/>
    <cellStyle name="20% - Accent2 7 3" xfId="226" xr:uid="{00000000-0005-0000-0000-0000DC000000}"/>
    <cellStyle name="20% - Accent2 7 3 2" xfId="227" xr:uid="{00000000-0005-0000-0000-0000DD000000}"/>
    <cellStyle name="20% - Accent2 7 4" xfId="228" xr:uid="{00000000-0005-0000-0000-0000DE000000}"/>
    <cellStyle name="20% - Accent2 7 5" xfId="229" xr:uid="{00000000-0005-0000-0000-0000DF000000}"/>
    <cellStyle name="20% - Accent2 8" xfId="230" xr:uid="{00000000-0005-0000-0000-0000E0000000}"/>
    <cellStyle name="20% - Accent2 8 2" xfId="231" xr:uid="{00000000-0005-0000-0000-0000E1000000}"/>
    <cellStyle name="20% - Accent2 8 2 2" xfId="232" xr:uid="{00000000-0005-0000-0000-0000E2000000}"/>
    <cellStyle name="20% - Accent2 8 3" xfId="233" xr:uid="{00000000-0005-0000-0000-0000E3000000}"/>
    <cellStyle name="20% - Accent2 8 3 2" xfId="234" xr:uid="{00000000-0005-0000-0000-0000E4000000}"/>
    <cellStyle name="20% - Accent2 8 4" xfId="235" xr:uid="{00000000-0005-0000-0000-0000E5000000}"/>
    <cellStyle name="20% - Accent2 8 5" xfId="236" xr:uid="{00000000-0005-0000-0000-0000E6000000}"/>
    <cellStyle name="20% - Accent2 9" xfId="237" xr:uid="{00000000-0005-0000-0000-0000E7000000}"/>
    <cellStyle name="20% - Accent2 9 2" xfId="238" xr:uid="{00000000-0005-0000-0000-0000E8000000}"/>
    <cellStyle name="20% - Accent2 9 2 2" xfId="239" xr:uid="{00000000-0005-0000-0000-0000E9000000}"/>
    <cellStyle name="20% - Accent2 9 3" xfId="240" xr:uid="{00000000-0005-0000-0000-0000EA000000}"/>
    <cellStyle name="20% - Accent2 9 3 2" xfId="241" xr:uid="{00000000-0005-0000-0000-0000EB000000}"/>
    <cellStyle name="20% - Accent2 9 4" xfId="242" xr:uid="{00000000-0005-0000-0000-0000EC000000}"/>
    <cellStyle name="20% - Accent2 9 5" xfId="243" xr:uid="{00000000-0005-0000-0000-0000ED000000}"/>
    <cellStyle name="20% - Accent3 10" xfId="244" xr:uid="{00000000-0005-0000-0000-0000EE000000}"/>
    <cellStyle name="20% - Accent3 10 2" xfId="245" xr:uid="{00000000-0005-0000-0000-0000EF000000}"/>
    <cellStyle name="20% - Accent3 10 2 2" xfId="246" xr:uid="{00000000-0005-0000-0000-0000F0000000}"/>
    <cellStyle name="20% - Accent3 10 3" xfId="247" xr:uid="{00000000-0005-0000-0000-0000F1000000}"/>
    <cellStyle name="20% - Accent3 10 3 2" xfId="248" xr:uid="{00000000-0005-0000-0000-0000F2000000}"/>
    <cellStyle name="20% - Accent3 10 4" xfId="249" xr:uid="{00000000-0005-0000-0000-0000F3000000}"/>
    <cellStyle name="20% - Accent3 10 5" xfId="250" xr:uid="{00000000-0005-0000-0000-0000F4000000}"/>
    <cellStyle name="20% - Accent3 11" xfId="251" xr:uid="{00000000-0005-0000-0000-0000F5000000}"/>
    <cellStyle name="20% - Accent3 11 2" xfId="252" xr:uid="{00000000-0005-0000-0000-0000F6000000}"/>
    <cellStyle name="20% - Accent3 11 2 2" xfId="253" xr:uid="{00000000-0005-0000-0000-0000F7000000}"/>
    <cellStyle name="20% - Accent3 11 3" xfId="254" xr:uid="{00000000-0005-0000-0000-0000F8000000}"/>
    <cellStyle name="20% - Accent3 11 3 2" xfId="255" xr:uid="{00000000-0005-0000-0000-0000F9000000}"/>
    <cellStyle name="20% - Accent3 11 4" xfId="256" xr:uid="{00000000-0005-0000-0000-0000FA000000}"/>
    <cellStyle name="20% - Accent3 11 5" xfId="257" xr:uid="{00000000-0005-0000-0000-0000FB000000}"/>
    <cellStyle name="20% - Accent3 12" xfId="258" xr:uid="{00000000-0005-0000-0000-0000FC000000}"/>
    <cellStyle name="20% - Accent3 12 2" xfId="259" xr:uid="{00000000-0005-0000-0000-0000FD000000}"/>
    <cellStyle name="20% - Accent3 12 2 2" xfId="260" xr:uid="{00000000-0005-0000-0000-0000FE000000}"/>
    <cellStyle name="20% - Accent3 12 3" xfId="261" xr:uid="{00000000-0005-0000-0000-0000FF000000}"/>
    <cellStyle name="20% - Accent3 12 3 2" xfId="262" xr:uid="{00000000-0005-0000-0000-000000010000}"/>
    <cellStyle name="20% - Accent3 12 4" xfId="263" xr:uid="{00000000-0005-0000-0000-000001010000}"/>
    <cellStyle name="20% - Accent3 12 5" xfId="264" xr:uid="{00000000-0005-0000-0000-000002010000}"/>
    <cellStyle name="20% - Accent3 13" xfId="265" xr:uid="{00000000-0005-0000-0000-000003010000}"/>
    <cellStyle name="20% - Accent3 13 2" xfId="266" xr:uid="{00000000-0005-0000-0000-000004010000}"/>
    <cellStyle name="20% - Accent3 13 2 2" xfId="267" xr:uid="{00000000-0005-0000-0000-000005010000}"/>
    <cellStyle name="20% - Accent3 13 3" xfId="268" xr:uid="{00000000-0005-0000-0000-000006010000}"/>
    <cellStyle name="20% - Accent3 13 4" xfId="269" xr:uid="{00000000-0005-0000-0000-000007010000}"/>
    <cellStyle name="20% - Accent3 14" xfId="270" xr:uid="{00000000-0005-0000-0000-000008010000}"/>
    <cellStyle name="20% - Accent3 14 2" xfId="271" xr:uid="{00000000-0005-0000-0000-000009010000}"/>
    <cellStyle name="20% - Accent3 14 2 2" xfId="272" xr:uid="{00000000-0005-0000-0000-00000A010000}"/>
    <cellStyle name="20% - Accent3 14 3" xfId="273" xr:uid="{00000000-0005-0000-0000-00000B010000}"/>
    <cellStyle name="20% - Accent3 14 4" xfId="274" xr:uid="{00000000-0005-0000-0000-00000C010000}"/>
    <cellStyle name="20% - Accent3 15" xfId="275" xr:uid="{00000000-0005-0000-0000-00000D010000}"/>
    <cellStyle name="20% - Accent3 16" xfId="276" xr:uid="{00000000-0005-0000-0000-00000E010000}"/>
    <cellStyle name="20% - Accent3 17" xfId="277" xr:uid="{00000000-0005-0000-0000-00000F010000}"/>
    <cellStyle name="20% - Accent3 18" xfId="278" xr:uid="{00000000-0005-0000-0000-000010010000}"/>
    <cellStyle name="20% - Accent3 19" xfId="279" xr:uid="{00000000-0005-0000-0000-000011010000}"/>
    <cellStyle name="20% - Accent3 2" xfId="280" xr:uid="{00000000-0005-0000-0000-000012010000}"/>
    <cellStyle name="20% - Accent3 2 10" xfId="281" xr:uid="{00000000-0005-0000-0000-000013010000}"/>
    <cellStyle name="20% - Accent3 2 11" xfId="282" xr:uid="{00000000-0005-0000-0000-000014010000}"/>
    <cellStyle name="20% - Accent3 2 12" xfId="283" xr:uid="{00000000-0005-0000-0000-000015010000}"/>
    <cellStyle name="20% - Accent3 2 13" xfId="284" xr:uid="{00000000-0005-0000-0000-000016010000}"/>
    <cellStyle name="20% - Accent3 2 14" xfId="285" xr:uid="{00000000-0005-0000-0000-000017010000}"/>
    <cellStyle name="20% - Accent3 2 2" xfId="286" xr:uid="{00000000-0005-0000-0000-000018010000}"/>
    <cellStyle name="20% - Accent3 2 2 2" xfId="287" xr:uid="{00000000-0005-0000-0000-000019010000}"/>
    <cellStyle name="20% - Accent3 2 3" xfId="288" xr:uid="{00000000-0005-0000-0000-00001A010000}"/>
    <cellStyle name="20% - Accent3 2 3 2" xfId="289" xr:uid="{00000000-0005-0000-0000-00001B010000}"/>
    <cellStyle name="20% - Accent3 2 4" xfId="290" xr:uid="{00000000-0005-0000-0000-00001C010000}"/>
    <cellStyle name="20% - Accent3 2 4 2" xfId="291" xr:uid="{00000000-0005-0000-0000-00001D010000}"/>
    <cellStyle name="20% - Accent3 2 5" xfId="292" xr:uid="{00000000-0005-0000-0000-00001E010000}"/>
    <cellStyle name="20% - Accent3 2 5 2" xfId="293" xr:uid="{00000000-0005-0000-0000-00001F010000}"/>
    <cellStyle name="20% - Accent3 2 6" xfId="294" xr:uid="{00000000-0005-0000-0000-000020010000}"/>
    <cellStyle name="20% - Accent3 2 7" xfId="295" xr:uid="{00000000-0005-0000-0000-000021010000}"/>
    <cellStyle name="20% - Accent3 2 8" xfId="296" xr:uid="{00000000-0005-0000-0000-000022010000}"/>
    <cellStyle name="20% - Accent3 2 9" xfId="297" xr:uid="{00000000-0005-0000-0000-000023010000}"/>
    <cellStyle name="20% - Accent3 20" xfId="298" xr:uid="{00000000-0005-0000-0000-000024010000}"/>
    <cellStyle name="20% - Accent3 21" xfId="299" xr:uid="{00000000-0005-0000-0000-000025010000}"/>
    <cellStyle name="20% - Accent3 22" xfId="300" xr:uid="{00000000-0005-0000-0000-000026010000}"/>
    <cellStyle name="20% - Accent3 23" xfId="301" xr:uid="{00000000-0005-0000-0000-000027010000}"/>
    <cellStyle name="20% - Accent3 3" xfId="302" xr:uid="{00000000-0005-0000-0000-000028010000}"/>
    <cellStyle name="20% - Accent3 3 2" xfId="303" xr:uid="{00000000-0005-0000-0000-000029010000}"/>
    <cellStyle name="20% - Accent3 3 2 2" xfId="304" xr:uid="{00000000-0005-0000-0000-00002A010000}"/>
    <cellStyle name="20% - Accent3 3 3" xfId="305" xr:uid="{00000000-0005-0000-0000-00002B010000}"/>
    <cellStyle name="20% - Accent3 3 3 2" xfId="306" xr:uid="{00000000-0005-0000-0000-00002C010000}"/>
    <cellStyle name="20% - Accent3 3 4" xfId="307" xr:uid="{00000000-0005-0000-0000-00002D010000}"/>
    <cellStyle name="20% - Accent3 3 4 2" xfId="308" xr:uid="{00000000-0005-0000-0000-00002E010000}"/>
    <cellStyle name="20% - Accent3 3 5" xfId="309" xr:uid="{00000000-0005-0000-0000-00002F010000}"/>
    <cellStyle name="20% - Accent3 3 5 2" xfId="310" xr:uid="{00000000-0005-0000-0000-000030010000}"/>
    <cellStyle name="20% - Accent3 3 6" xfId="311" xr:uid="{00000000-0005-0000-0000-000031010000}"/>
    <cellStyle name="20% - Accent3 3 7" xfId="312" xr:uid="{00000000-0005-0000-0000-000032010000}"/>
    <cellStyle name="20% - Accent3 3 8" xfId="313" xr:uid="{00000000-0005-0000-0000-000033010000}"/>
    <cellStyle name="20% - Accent3 3 9" xfId="314" xr:uid="{00000000-0005-0000-0000-000034010000}"/>
    <cellStyle name="20% - Accent3 4" xfId="315" xr:uid="{00000000-0005-0000-0000-000035010000}"/>
    <cellStyle name="20% - Accent3 4 2" xfId="316" xr:uid="{00000000-0005-0000-0000-000036010000}"/>
    <cellStyle name="20% - Accent3 4 2 2" xfId="317" xr:uid="{00000000-0005-0000-0000-000037010000}"/>
    <cellStyle name="20% - Accent3 4 3" xfId="318" xr:uid="{00000000-0005-0000-0000-000038010000}"/>
    <cellStyle name="20% - Accent3 4 3 2" xfId="319" xr:uid="{00000000-0005-0000-0000-000039010000}"/>
    <cellStyle name="20% - Accent3 4 4" xfId="320" xr:uid="{00000000-0005-0000-0000-00003A010000}"/>
    <cellStyle name="20% - Accent3 4 4 2" xfId="321" xr:uid="{00000000-0005-0000-0000-00003B010000}"/>
    <cellStyle name="20% - Accent3 4 5" xfId="322" xr:uid="{00000000-0005-0000-0000-00003C010000}"/>
    <cellStyle name="20% - Accent3 4 5 2" xfId="323" xr:uid="{00000000-0005-0000-0000-00003D010000}"/>
    <cellStyle name="20% - Accent3 4 6" xfId="324" xr:uid="{00000000-0005-0000-0000-00003E010000}"/>
    <cellStyle name="20% - Accent3 4 7" xfId="325" xr:uid="{00000000-0005-0000-0000-00003F010000}"/>
    <cellStyle name="20% - Accent3 4 8" xfId="326" xr:uid="{00000000-0005-0000-0000-000040010000}"/>
    <cellStyle name="20% - Accent3 4 9" xfId="327" xr:uid="{00000000-0005-0000-0000-000041010000}"/>
    <cellStyle name="20% - Accent3 5" xfId="328" xr:uid="{00000000-0005-0000-0000-000042010000}"/>
    <cellStyle name="20% - Accent3 5 2" xfId="329" xr:uid="{00000000-0005-0000-0000-000043010000}"/>
    <cellStyle name="20% - Accent3 5 2 2" xfId="330" xr:uid="{00000000-0005-0000-0000-000044010000}"/>
    <cellStyle name="20% - Accent3 5 3" xfId="331" xr:uid="{00000000-0005-0000-0000-000045010000}"/>
    <cellStyle name="20% - Accent3 5 3 2" xfId="332" xr:uid="{00000000-0005-0000-0000-000046010000}"/>
    <cellStyle name="20% - Accent3 5 4" xfId="333" xr:uid="{00000000-0005-0000-0000-000047010000}"/>
    <cellStyle name="20% - Accent3 5 5" xfId="334" xr:uid="{00000000-0005-0000-0000-000048010000}"/>
    <cellStyle name="20% - Accent3 6" xfId="335" xr:uid="{00000000-0005-0000-0000-000049010000}"/>
    <cellStyle name="20% - Accent3 6 2" xfId="336" xr:uid="{00000000-0005-0000-0000-00004A010000}"/>
    <cellStyle name="20% - Accent3 6 2 2" xfId="337" xr:uid="{00000000-0005-0000-0000-00004B010000}"/>
    <cellStyle name="20% - Accent3 6 3" xfId="338" xr:uid="{00000000-0005-0000-0000-00004C010000}"/>
    <cellStyle name="20% - Accent3 6 3 2" xfId="339" xr:uid="{00000000-0005-0000-0000-00004D010000}"/>
    <cellStyle name="20% - Accent3 6 4" xfId="340" xr:uid="{00000000-0005-0000-0000-00004E010000}"/>
    <cellStyle name="20% - Accent3 6 5" xfId="341" xr:uid="{00000000-0005-0000-0000-00004F010000}"/>
    <cellStyle name="20% - Accent3 7" xfId="342" xr:uid="{00000000-0005-0000-0000-000050010000}"/>
    <cellStyle name="20% - Accent3 7 2" xfId="343" xr:uid="{00000000-0005-0000-0000-000051010000}"/>
    <cellStyle name="20% - Accent3 7 2 2" xfId="344" xr:uid="{00000000-0005-0000-0000-000052010000}"/>
    <cellStyle name="20% - Accent3 7 3" xfId="345" xr:uid="{00000000-0005-0000-0000-000053010000}"/>
    <cellStyle name="20% - Accent3 7 3 2" xfId="346" xr:uid="{00000000-0005-0000-0000-000054010000}"/>
    <cellStyle name="20% - Accent3 7 4" xfId="347" xr:uid="{00000000-0005-0000-0000-000055010000}"/>
    <cellStyle name="20% - Accent3 7 5" xfId="348" xr:uid="{00000000-0005-0000-0000-000056010000}"/>
    <cellStyle name="20% - Accent3 8" xfId="349" xr:uid="{00000000-0005-0000-0000-000057010000}"/>
    <cellStyle name="20% - Accent3 8 2" xfId="350" xr:uid="{00000000-0005-0000-0000-000058010000}"/>
    <cellStyle name="20% - Accent3 8 2 2" xfId="351" xr:uid="{00000000-0005-0000-0000-000059010000}"/>
    <cellStyle name="20% - Accent3 8 3" xfId="352" xr:uid="{00000000-0005-0000-0000-00005A010000}"/>
    <cellStyle name="20% - Accent3 8 3 2" xfId="353" xr:uid="{00000000-0005-0000-0000-00005B010000}"/>
    <cellStyle name="20% - Accent3 8 4" xfId="354" xr:uid="{00000000-0005-0000-0000-00005C010000}"/>
    <cellStyle name="20% - Accent3 8 5" xfId="355" xr:uid="{00000000-0005-0000-0000-00005D010000}"/>
    <cellStyle name="20% - Accent3 9" xfId="356" xr:uid="{00000000-0005-0000-0000-00005E010000}"/>
    <cellStyle name="20% - Accent3 9 2" xfId="357" xr:uid="{00000000-0005-0000-0000-00005F010000}"/>
    <cellStyle name="20% - Accent3 9 2 2" xfId="358" xr:uid="{00000000-0005-0000-0000-000060010000}"/>
    <cellStyle name="20% - Accent3 9 3" xfId="359" xr:uid="{00000000-0005-0000-0000-000061010000}"/>
    <cellStyle name="20% - Accent3 9 3 2" xfId="360" xr:uid="{00000000-0005-0000-0000-000062010000}"/>
    <cellStyle name="20% - Accent3 9 4" xfId="361" xr:uid="{00000000-0005-0000-0000-000063010000}"/>
    <cellStyle name="20% - Accent3 9 5" xfId="362" xr:uid="{00000000-0005-0000-0000-000064010000}"/>
    <cellStyle name="20% - Accent4 10" xfId="363" xr:uid="{00000000-0005-0000-0000-000065010000}"/>
    <cellStyle name="20% - Accent4 10 2" xfId="364" xr:uid="{00000000-0005-0000-0000-000066010000}"/>
    <cellStyle name="20% - Accent4 10 2 2" xfId="365" xr:uid="{00000000-0005-0000-0000-000067010000}"/>
    <cellStyle name="20% - Accent4 10 3" xfId="366" xr:uid="{00000000-0005-0000-0000-000068010000}"/>
    <cellStyle name="20% - Accent4 10 3 2" xfId="367" xr:uid="{00000000-0005-0000-0000-000069010000}"/>
    <cellStyle name="20% - Accent4 10 4" xfId="368" xr:uid="{00000000-0005-0000-0000-00006A010000}"/>
    <cellStyle name="20% - Accent4 10 5" xfId="369" xr:uid="{00000000-0005-0000-0000-00006B010000}"/>
    <cellStyle name="20% - Accent4 11" xfId="370" xr:uid="{00000000-0005-0000-0000-00006C010000}"/>
    <cellStyle name="20% - Accent4 11 2" xfId="371" xr:uid="{00000000-0005-0000-0000-00006D010000}"/>
    <cellStyle name="20% - Accent4 11 2 2" xfId="372" xr:uid="{00000000-0005-0000-0000-00006E010000}"/>
    <cellStyle name="20% - Accent4 11 3" xfId="373" xr:uid="{00000000-0005-0000-0000-00006F010000}"/>
    <cellStyle name="20% - Accent4 11 3 2" xfId="374" xr:uid="{00000000-0005-0000-0000-000070010000}"/>
    <cellStyle name="20% - Accent4 11 4" xfId="375" xr:uid="{00000000-0005-0000-0000-000071010000}"/>
    <cellStyle name="20% - Accent4 11 5" xfId="376" xr:uid="{00000000-0005-0000-0000-000072010000}"/>
    <cellStyle name="20% - Accent4 12" xfId="377" xr:uid="{00000000-0005-0000-0000-000073010000}"/>
    <cellStyle name="20% - Accent4 12 2" xfId="378" xr:uid="{00000000-0005-0000-0000-000074010000}"/>
    <cellStyle name="20% - Accent4 12 2 2" xfId="379" xr:uid="{00000000-0005-0000-0000-000075010000}"/>
    <cellStyle name="20% - Accent4 12 3" xfId="380" xr:uid="{00000000-0005-0000-0000-000076010000}"/>
    <cellStyle name="20% - Accent4 12 3 2" xfId="381" xr:uid="{00000000-0005-0000-0000-000077010000}"/>
    <cellStyle name="20% - Accent4 12 4" xfId="382" xr:uid="{00000000-0005-0000-0000-000078010000}"/>
    <cellStyle name="20% - Accent4 12 5" xfId="383" xr:uid="{00000000-0005-0000-0000-000079010000}"/>
    <cellStyle name="20% - Accent4 13" xfId="384" xr:uid="{00000000-0005-0000-0000-00007A010000}"/>
    <cellStyle name="20% - Accent4 13 2" xfId="385" xr:uid="{00000000-0005-0000-0000-00007B010000}"/>
    <cellStyle name="20% - Accent4 13 2 2" xfId="386" xr:uid="{00000000-0005-0000-0000-00007C010000}"/>
    <cellStyle name="20% - Accent4 13 3" xfId="387" xr:uid="{00000000-0005-0000-0000-00007D010000}"/>
    <cellStyle name="20% - Accent4 13 4" xfId="388" xr:uid="{00000000-0005-0000-0000-00007E010000}"/>
    <cellStyle name="20% - Accent4 14" xfId="389" xr:uid="{00000000-0005-0000-0000-00007F010000}"/>
    <cellStyle name="20% - Accent4 14 2" xfId="390" xr:uid="{00000000-0005-0000-0000-000080010000}"/>
    <cellStyle name="20% - Accent4 14 2 2" xfId="391" xr:uid="{00000000-0005-0000-0000-000081010000}"/>
    <cellStyle name="20% - Accent4 14 3" xfId="392" xr:uid="{00000000-0005-0000-0000-000082010000}"/>
    <cellStyle name="20% - Accent4 14 4" xfId="393" xr:uid="{00000000-0005-0000-0000-000083010000}"/>
    <cellStyle name="20% - Accent4 15" xfId="394" xr:uid="{00000000-0005-0000-0000-000084010000}"/>
    <cellStyle name="20% - Accent4 16" xfId="395" xr:uid="{00000000-0005-0000-0000-000085010000}"/>
    <cellStyle name="20% - Accent4 17" xfId="396" xr:uid="{00000000-0005-0000-0000-000086010000}"/>
    <cellStyle name="20% - Accent4 18" xfId="397" xr:uid="{00000000-0005-0000-0000-000087010000}"/>
    <cellStyle name="20% - Accent4 19" xfId="398" xr:uid="{00000000-0005-0000-0000-000088010000}"/>
    <cellStyle name="20% - Accent4 2" xfId="399" xr:uid="{00000000-0005-0000-0000-000089010000}"/>
    <cellStyle name="20% - Accent4 2 10" xfId="400" xr:uid="{00000000-0005-0000-0000-00008A010000}"/>
    <cellStyle name="20% - Accent4 2 11" xfId="401" xr:uid="{00000000-0005-0000-0000-00008B010000}"/>
    <cellStyle name="20% - Accent4 2 12" xfId="402" xr:uid="{00000000-0005-0000-0000-00008C010000}"/>
    <cellStyle name="20% - Accent4 2 13" xfId="403" xr:uid="{00000000-0005-0000-0000-00008D010000}"/>
    <cellStyle name="20% - Accent4 2 14" xfId="404" xr:uid="{00000000-0005-0000-0000-00008E010000}"/>
    <cellStyle name="20% - Accent4 2 2" xfId="405" xr:uid="{00000000-0005-0000-0000-00008F010000}"/>
    <cellStyle name="20% - Accent4 2 2 2" xfId="406" xr:uid="{00000000-0005-0000-0000-000090010000}"/>
    <cellStyle name="20% - Accent4 2 3" xfId="407" xr:uid="{00000000-0005-0000-0000-000091010000}"/>
    <cellStyle name="20% - Accent4 2 3 2" xfId="408" xr:uid="{00000000-0005-0000-0000-000092010000}"/>
    <cellStyle name="20% - Accent4 2 4" xfId="409" xr:uid="{00000000-0005-0000-0000-000093010000}"/>
    <cellStyle name="20% - Accent4 2 4 2" xfId="410" xr:uid="{00000000-0005-0000-0000-000094010000}"/>
    <cellStyle name="20% - Accent4 2 5" xfId="411" xr:uid="{00000000-0005-0000-0000-000095010000}"/>
    <cellStyle name="20% - Accent4 2 5 2" xfId="412" xr:uid="{00000000-0005-0000-0000-000096010000}"/>
    <cellStyle name="20% - Accent4 2 6" xfId="413" xr:uid="{00000000-0005-0000-0000-000097010000}"/>
    <cellStyle name="20% - Accent4 2 7" xfId="414" xr:uid="{00000000-0005-0000-0000-000098010000}"/>
    <cellStyle name="20% - Accent4 2 8" xfId="415" xr:uid="{00000000-0005-0000-0000-000099010000}"/>
    <cellStyle name="20% - Accent4 2 9" xfId="416" xr:uid="{00000000-0005-0000-0000-00009A010000}"/>
    <cellStyle name="20% - Accent4 20" xfId="417" xr:uid="{00000000-0005-0000-0000-00009B010000}"/>
    <cellStyle name="20% - Accent4 21" xfId="418" xr:uid="{00000000-0005-0000-0000-00009C010000}"/>
    <cellStyle name="20% - Accent4 22" xfId="419" xr:uid="{00000000-0005-0000-0000-00009D010000}"/>
    <cellStyle name="20% - Accent4 23" xfId="420" xr:uid="{00000000-0005-0000-0000-00009E010000}"/>
    <cellStyle name="20% - Accent4 3" xfId="421" xr:uid="{00000000-0005-0000-0000-00009F010000}"/>
    <cellStyle name="20% - Accent4 3 2" xfId="422" xr:uid="{00000000-0005-0000-0000-0000A0010000}"/>
    <cellStyle name="20% - Accent4 3 2 2" xfId="423" xr:uid="{00000000-0005-0000-0000-0000A1010000}"/>
    <cellStyle name="20% - Accent4 3 3" xfId="424" xr:uid="{00000000-0005-0000-0000-0000A2010000}"/>
    <cellStyle name="20% - Accent4 3 3 2" xfId="425" xr:uid="{00000000-0005-0000-0000-0000A3010000}"/>
    <cellStyle name="20% - Accent4 3 4" xfId="426" xr:uid="{00000000-0005-0000-0000-0000A4010000}"/>
    <cellStyle name="20% - Accent4 3 4 2" xfId="427" xr:uid="{00000000-0005-0000-0000-0000A5010000}"/>
    <cellStyle name="20% - Accent4 3 5" xfId="428" xr:uid="{00000000-0005-0000-0000-0000A6010000}"/>
    <cellStyle name="20% - Accent4 3 5 2" xfId="429" xr:uid="{00000000-0005-0000-0000-0000A7010000}"/>
    <cellStyle name="20% - Accent4 3 6" xfId="430" xr:uid="{00000000-0005-0000-0000-0000A8010000}"/>
    <cellStyle name="20% - Accent4 3 7" xfId="431" xr:uid="{00000000-0005-0000-0000-0000A9010000}"/>
    <cellStyle name="20% - Accent4 3 8" xfId="432" xr:uid="{00000000-0005-0000-0000-0000AA010000}"/>
    <cellStyle name="20% - Accent4 3 9" xfId="433" xr:uid="{00000000-0005-0000-0000-0000AB010000}"/>
    <cellStyle name="20% - Accent4 4" xfId="434" xr:uid="{00000000-0005-0000-0000-0000AC010000}"/>
    <cellStyle name="20% - Accent4 4 2" xfId="435" xr:uid="{00000000-0005-0000-0000-0000AD010000}"/>
    <cellStyle name="20% - Accent4 4 2 2" xfId="436" xr:uid="{00000000-0005-0000-0000-0000AE010000}"/>
    <cellStyle name="20% - Accent4 4 3" xfId="437" xr:uid="{00000000-0005-0000-0000-0000AF010000}"/>
    <cellStyle name="20% - Accent4 4 3 2" xfId="438" xr:uid="{00000000-0005-0000-0000-0000B0010000}"/>
    <cellStyle name="20% - Accent4 4 4" xfId="439" xr:uid="{00000000-0005-0000-0000-0000B1010000}"/>
    <cellStyle name="20% - Accent4 4 4 2" xfId="440" xr:uid="{00000000-0005-0000-0000-0000B2010000}"/>
    <cellStyle name="20% - Accent4 4 5" xfId="441" xr:uid="{00000000-0005-0000-0000-0000B3010000}"/>
    <cellStyle name="20% - Accent4 4 5 2" xfId="442" xr:uid="{00000000-0005-0000-0000-0000B4010000}"/>
    <cellStyle name="20% - Accent4 4 6" xfId="443" xr:uid="{00000000-0005-0000-0000-0000B5010000}"/>
    <cellStyle name="20% - Accent4 4 7" xfId="444" xr:uid="{00000000-0005-0000-0000-0000B6010000}"/>
    <cellStyle name="20% - Accent4 4 8" xfId="445" xr:uid="{00000000-0005-0000-0000-0000B7010000}"/>
    <cellStyle name="20% - Accent4 4 9" xfId="446" xr:uid="{00000000-0005-0000-0000-0000B8010000}"/>
    <cellStyle name="20% - Accent4 5" xfId="447" xr:uid="{00000000-0005-0000-0000-0000B9010000}"/>
    <cellStyle name="20% - Accent4 5 2" xfId="448" xr:uid="{00000000-0005-0000-0000-0000BA010000}"/>
    <cellStyle name="20% - Accent4 5 2 2" xfId="449" xr:uid="{00000000-0005-0000-0000-0000BB010000}"/>
    <cellStyle name="20% - Accent4 5 3" xfId="450" xr:uid="{00000000-0005-0000-0000-0000BC010000}"/>
    <cellStyle name="20% - Accent4 5 3 2" xfId="451" xr:uid="{00000000-0005-0000-0000-0000BD010000}"/>
    <cellStyle name="20% - Accent4 5 4" xfId="452" xr:uid="{00000000-0005-0000-0000-0000BE010000}"/>
    <cellStyle name="20% - Accent4 5 5" xfId="453" xr:uid="{00000000-0005-0000-0000-0000BF010000}"/>
    <cellStyle name="20% - Accent4 6" xfId="454" xr:uid="{00000000-0005-0000-0000-0000C0010000}"/>
    <cellStyle name="20% - Accent4 6 2" xfId="455" xr:uid="{00000000-0005-0000-0000-0000C1010000}"/>
    <cellStyle name="20% - Accent4 6 2 2" xfId="456" xr:uid="{00000000-0005-0000-0000-0000C2010000}"/>
    <cellStyle name="20% - Accent4 6 3" xfId="457" xr:uid="{00000000-0005-0000-0000-0000C3010000}"/>
    <cellStyle name="20% - Accent4 6 3 2" xfId="458" xr:uid="{00000000-0005-0000-0000-0000C4010000}"/>
    <cellStyle name="20% - Accent4 6 4" xfId="459" xr:uid="{00000000-0005-0000-0000-0000C5010000}"/>
    <cellStyle name="20% - Accent4 6 5" xfId="460" xr:uid="{00000000-0005-0000-0000-0000C6010000}"/>
    <cellStyle name="20% - Accent4 7" xfId="461" xr:uid="{00000000-0005-0000-0000-0000C7010000}"/>
    <cellStyle name="20% - Accent4 7 2" xfId="462" xr:uid="{00000000-0005-0000-0000-0000C8010000}"/>
    <cellStyle name="20% - Accent4 7 2 2" xfId="463" xr:uid="{00000000-0005-0000-0000-0000C9010000}"/>
    <cellStyle name="20% - Accent4 7 3" xfId="464" xr:uid="{00000000-0005-0000-0000-0000CA010000}"/>
    <cellStyle name="20% - Accent4 7 3 2" xfId="465" xr:uid="{00000000-0005-0000-0000-0000CB010000}"/>
    <cellStyle name="20% - Accent4 7 4" xfId="466" xr:uid="{00000000-0005-0000-0000-0000CC010000}"/>
    <cellStyle name="20% - Accent4 7 5" xfId="467" xr:uid="{00000000-0005-0000-0000-0000CD010000}"/>
    <cellStyle name="20% - Accent4 8" xfId="468" xr:uid="{00000000-0005-0000-0000-0000CE010000}"/>
    <cellStyle name="20% - Accent4 8 2" xfId="469" xr:uid="{00000000-0005-0000-0000-0000CF010000}"/>
    <cellStyle name="20% - Accent4 8 2 2" xfId="470" xr:uid="{00000000-0005-0000-0000-0000D0010000}"/>
    <cellStyle name="20% - Accent4 8 3" xfId="471" xr:uid="{00000000-0005-0000-0000-0000D1010000}"/>
    <cellStyle name="20% - Accent4 8 3 2" xfId="472" xr:uid="{00000000-0005-0000-0000-0000D2010000}"/>
    <cellStyle name="20% - Accent4 8 4" xfId="473" xr:uid="{00000000-0005-0000-0000-0000D3010000}"/>
    <cellStyle name="20% - Accent4 8 5" xfId="474" xr:uid="{00000000-0005-0000-0000-0000D4010000}"/>
    <cellStyle name="20% - Accent4 9" xfId="475" xr:uid="{00000000-0005-0000-0000-0000D5010000}"/>
    <cellStyle name="20% - Accent4 9 2" xfId="476" xr:uid="{00000000-0005-0000-0000-0000D6010000}"/>
    <cellStyle name="20% - Accent4 9 2 2" xfId="477" xr:uid="{00000000-0005-0000-0000-0000D7010000}"/>
    <cellStyle name="20% - Accent4 9 3" xfId="478" xr:uid="{00000000-0005-0000-0000-0000D8010000}"/>
    <cellStyle name="20% - Accent4 9 3 2" xfId="479" xr:uid="{00000000-0005-0000-0000-0000D9010000}"/>
    <cellStyle name="20% - Accent4 9 4" xfId="480" xr:uid="{00000000-0005-0000-0000-0000DA010000}"/>
    <cellStyle name="20% - Accent4 9 5" xfId="481" xr:uid="{00000000-0005-0000-0000-0000DB010000}"/>
    <cellStyle name="20% - Accent5 10" xfId="482" xr:uid="{00000000-0005-0000-0000-0000DC010000}"/>
    <cellStyle name="20% - Accent5 10 2" xfId="483" xr:uid="{00000000-0005-0000-0000-0000DD010000}"/>
    <cellStyle name="20% - Accent5 10 2 2" xfId="484" xr:uid="{00000000-0005-0000-0000-0000DE010000}"/>
    <cellStyle name="20% - Accent5 10 3" xfId="485" xr:uid="{00000000-0005-0000-0000-0000DF010000}"/>
    <cellStyle name="20% - Accent5 10 3 2" xfId="486" xr:uid="{00000000-0005-0000-0000-0000E0010000}"/>
    <cellStyle name="20% - Accent5 10 4" xfId="487" xr:uid="{00000000-0005-0000-0000-0000E1010000}"/>
    <cellStyle name="20% - Accent5 10 5" xfId="488" xr:uid="{00000000-0005-0000-0000-0000E2010000}"/>
    <cellStyle name="20% - Accent5 11" xfId="489" xr:uid="{00000000-0005-0000-0000-0000E3010000}"/>
    <cellStyle name="20% - Accent5 11 2" xfId="490" xr:uid="{00000000-0005-0000-0000-0000E4010000}"/>
    <cellStyle name="20% - Accent5 11 2 2" xfId="491" xr:uid="{00000000-0005-0000-0000-0000E5010000}"/>
    <cellStyle name="20% - Accent5 11 3" xfId="492" xr:uid="{00000000-0005-0000-0000-0000E6010000}"/>
    <cellStyle name="20% - Accent5 11 3 2" xfId="493" xr:uid="{00000000-0005-0000-0000-0000E7010000}"/>
    <cellStyle name="20% - Accent5 11 4" xfId="494" xr:uid="{00000000-0005-0000-0000-0000E8010000}"/>
    <cellStyle name="20% - Accent5 11 5" xfId="495" xr:uid="{00000000-0005-0000-0000-0000E9010000}"/>
    <cellStyle name="20% - Accent5 12" xfId="496" xr:uid="{00000000-0005-0000-0000-0000EA010000}"/>
    <cellStyle name="20% - Accent5 12 2" xfId="497" xr:uid="{00000000-0005-0000-0000-0000EB010000}"/>
    <cellStyle name="20% - Accent5 12 2 2" xfId="498" xr:uid="{00000000-0005-0000-0000-0000EC010000}"/>
    <cellStyle name="20% - Accent5 12 3" xfId="499" xr:uid="{00000000-0005-0000-0000-0000ED010000}"/>
    <cellStyle name="20% - Accent5 12 3 2" xfId="500" xr:uid="{00000000-0005-0000-0000-0000EE010000}"/>
    <cellStyle name="20% - Accent5 12 4" xfId="501" xr:uid="{00000000-0005-0000-0000-0000EF010000}"/>
    <cellStyle name="20% - Accent5 12 5" xfId="502" xr:uid="{00000000-0005-0000-0000-0000F0010000}"/>
    <cellStyle name="20% - Accent5 13" xfId="503" xr:uid="{00000000-0005-0000-0000-0000F1010000}"/>
    <cellStyle name="20% - Accent5 13 2" xfId="504" xr:uid="{00000000-0005-0000-0000-0000F2010000}"/>
    <cellStyle name="20% - Accent5 13 2 2" xfId="505" xr:uid="{00000000-0005-0000-0000-0000F3010000}"/>
    <cellStyle name="20% - Accent5 13 3" xfId="506" xr:uid="{00000000-0005-0000-0000-0000F4010000}"/>
    <cellStyle name="20% - Accent5 13 4" xfId="507" xr:uid="{00000000-0005-0000-0000-0000F5010000}"/>
    <cellStyle name="20% - Accent5 14" xfId="508" xr:uid="{00000000-0005-0000-0000-0000F6010000}"/>
    <cellStyle name="20% - Accent5 14 2" xfId="509" xr:uid="{00000000-0005-0000-0000-0000F7010000}"/>
    <cellStyle name="20% - Accent5 14 2 2" xfId="510" xr:uid="{00000000-0005-0000-0000-0000F8010000}"/>
    <cellStyle name="20% - Accent5 14 3" xfId="511" xr:uid="{00000000-0005-0000-0000-0000F9010000}"/>
    <cellStyle name="20% - Accent5 14 4" xfId="512" xr:uid="{00000000-0005-0000-0000-0000FA010000}"/>
    <cellStyle name="20% - Accent5 15" xfId="513" xr:uid="{00000000-0005-0000-0000-0000FB010000}"/>
    <cellStyle name="20% - Accent5 16" xfId="514" xr:uid="{00000000-0005-0000-0000-0000FC010000}"/>
    <cellStyle name="20% - Accent5 17" xfId="515" xr:uid="{00000000-0005-0000-0000-0000FD010000}"/>
    <cellStyle name="20% - Accent5 18" xfId="516" xr:uid="{00000000-0005-0000-0000-0000FE010000}"/>
    <cellStyle name="20% - Accent5 19" xfId="517" xr:uid="{00000000-0005-0000-0000-0000FF010000}"/>
    <cellStyle name="20% - Accent5 2" xfId="518" xr:uid="{00000000-0005-0000-0000-000000020000}"/>
    <cellStyle name="20% - Accent5 2 10" xfId="519" xr:uid="{00000000-0005-0000-0000-000001020000}"/>
    <cellStyle name="20% - Accent5 2 11" xfId="520" xr:uid="{00000000-0005-0000-0000-000002020000}"/>
    <cellStyle name="20% - Accent5 2 12" xfId="521" xr:uid="{00000000-0005-0000-0000-000003020000}"/>
    <cellStyle name="20% - Accent5 2 13" xfId="522" xr:uid="{00000000-0005-0000-0000-000004020000}"/>
    <cellStyle name="20% - Accent5 2 14" xfId="523" xr:uid="{00000000-0005-0000-0000-000005020000}"/>
    <cellStyle name="20% - Accent5 2 2" xfId="524" xr:uid="{00000000-0005-0000-0000-000006020000}"/>
    <cellStyle name="20% - Accent5 2 2 2" xfId="525" xr:uid="{00000000-0005-0000-0000-000007020000}"/>
    <cellStyle name="20% - Accent5 2 3" xfId="526" xr:uid="{00000000-0005-0000-0000-000008020000}"/>
    <cellStyle name="20% - Accent5 2 3 2" xfId="527" xr:uid="{00000000-0005-0000-0000-000009020000}"/>
    <cellStyle name="20% - Accent5 2 4" xfId="528" xr:uid="{00000000-0005-0000-0000-00000A020000}"/>
    <cellStyle name="20% - Accent5 2 4 2" xfId="529" xr:uid="{00000000-0005-0000-0000-00000B020000}"/>
    <cellStyle name="20% - Accent5 2 5" xfId="530" xr:uid="{00000000-0005-0000-0000-00000C020000}"/>
    <cellStyle name="20% - Accent5 2 5 2" xfId="531" xr:uid="{00000000-0005-0000-0000-00000D020000}"/>
    <cellStyle name="20% - Accent5 2 6" xfId="532" xr:uid="{00000000-0005-0000-0000-00000E020000}"/>
    <cellStyle name="20% - Accent5 2 7" xfId="533" xr:uid="{00000000-0005-0000-0000-00000F020000}"/>
    <cellStyle name="20% - Accent5 2 8" xfId="534" xr:uid="{00000000-0005-0000-0000-000010020000}"/>
    <cellStyle name="20% - Accent5 2 9" xfId="535" xr:uid="{00000000-0005-0000-0000-000011020000}"/>
    <cellStyle name="20% - Accent5 20" xfId="536" xr:uid="{00000000-0005-0000-0000-000012020000}"/>
    <cellStyle name="20% - Accent5 21" xfId="537" xr:uid="{00000000-0005-0000-0000-000013020000}"/>
    <cellStyle name="20% - Accent5 22" xfId="538" xr:uid="{00000000-0005-0000-0000-000014020000}"/>
    <cellStyle name="20% - Accent5 23" xfId="539" xr:uid="{00000000-0005-0000-0000-000015020000}"/>
    <cellStyle name="20% - Accent5 3" xfId="540" xr:uid="{00000000-0005-0000-0000-000016020000}"/>
    <cellStyle name="20% - Accent5 3 2" xfId="541" xr:uid="{00000000-0005-0000-0000-000017020000}"/>
    <cellStyle name="20% - Accent5 3 2 2" xfId="542" xr:uid="{00000000-0005-0000-0000-000018020000}"/>
    <cellStyle name="20% - Accent5 3 3" xfId="543" xr:uid="{00000000-0005-0000-0000-000019020000}"/>
    <cellStyle name="20% - Accent5 3 3 2" xfId="544" xr:uid="{00000000-0005-0000-0000-00001A020000}"/>
    <cellStyle name="20% - Accent5 3 4" xfId="545" xr:uid="{00000000-0005-0000-0000-00001B020000}"/>
    <cellStyle name="20% - Accent5 3 4 2" xfId="546" xr:uid="{00000000-0005-0000-0000-00001C020000}"/>
    <cellStyle name="20% - Accent5 3 5" xfId="547" xr:uid="{00000000-0005-0000-0000-00001D020000}"/>
    <cellStyle name="20% - Accent5 3 5 2" xfId="548" xr:uid="{00000000-0005-0000-0000-00001E020000}"/>
    <cellStyle name="20% - Accent5 3 6" xfId="549" xr:uid="{00000000-0005-0000-0000-00001F020000}"/>
    <cellStyle name="20% - Accent5 3 7" xfId="550" xr:uid="{00000000-0005-0000-0000-000020020000}"/>
    <cellStyle name="20% - Accent5 3 8" xfId="551" xr:uid="{00000000-0005-0000-0000-000021020000}"/>
    <cellStyle name="20% - Accent5 3 9" xfId="552" xr:uid="{00000000-0005-0000-0000-000022020000}"/>
    <cellStyle name="20% - Accent5 4" xfId="553" xr:uid="{00000000-0005-0000-0000-000023020000}"/>
    <cellStyle name="20% - Accent5 4 2" xfId="554" xr:uid="{00000000-0005-0000-0000-000024020000}"/>
    <cellStyle name="20% - Accent5 4 2 2" xfId="555" xr:uid="{00000000-0005-0000-0000-000025020000}"/>
    <cellStyle name="20% - Accent5 4 3" xfId="556" xr:uid="{00000000-0005-0000-0000-000026020000}"/>
    <cellStyle name="20% - Accent5 4 3 2" xfId="557" xr:uid="{00000000-0005-0000-0000-000027020000}"/>
    <cellStyle name="20% - Accent5 4 4" xfId="558" xr:uid="{00000000-0005-0000-0000-000028020000}"/>
    <cellStyle name="20% - Accent5 4 4 2" xfId="559" xr:uid="{00000000-0005-0000-0000-000029020000}"/>
    <cellStyle name="20% - Accent5 4 5" xfId="560" xr:uid="{00000000-0005-0000-0000-00002A020000}"/>
    <cellStyle name="20% - Accent5 4 5 2" xfId="561" xr:uid="{00000000-0005-0000-0000-00002B020000}"/>
    <cellStyle name="20% - Accent5 4 6" xfId="562" xr:uid="{00000000-0005-0000-0000-00002C020000}"/>
    <cellStyle name="20% - Accent5 4 7" xfId="563" xr:uid="{00000000-0005-0000-0000-00002D020000}"/>
    <cellStyle name="20% - Accent5 4 8" xfId="564" xr:uid="{00000000-0005-0000-0000-00002E020000}"/>
    <cellStyle name="20% - Accent5 4 9" xfId="565" xr:uid="{00000000-0005-0000-0000-00002F020000}"/>
    <cellStyle name="20% - Accent5 5" xfId="566" xr:uid="{00000000-0005-0000-0000-000030020000}"/>
    <cellStyle name="20% - Accent5 5 2" xfId="567" xr:uid="{00000000-0005-0000-0000-000031020000}"/>
    <cellStyle name="20% - Accent5 5 2 2" xfId="568" xr:uid="{00000000-0005-0000-0000-000032020000}"/>
    <cellStyle name="20% - Accent5 5 3" xfId="569" xr:uid="{00000000-0005-0000-0000-000033020000}"/>
    <cellStyle name="20% - Accent5 5 3 2" xfId="570" xr:uid="{00000000-0005-0000-0000-000034020000}"/>
    <cellStyle name="20% - Accent5 5 4" xfId="571" xr:uid="{00000000-0005-0000-0000-000035020000}"/>
    <cellStyle name="20% - Accent5 5 5" xfId="572" xr:uid="{00000000-0005-0000-0000-000036020000}"/>
    <cellStyle name="20% - Accent5 6" xfId="573" xr:uid="{00000000-0005-0000-0000-000037020000}"/>
    <cellStyle name="20% - Accent5 6 2" xfId="574" xr:uid="{00000000-0005-0000-0000-000038020000}"/>
    <cellStyle name="20% - Accent5 6 2 2" xfId="575" xr:uid="{00000000-0005-0000-0000-000039020000}"/>
    <cellStyle name="20% - Accent5 6 3" xfId="576" xr:uid="{00000000-0005-0000-0000-00003A020000}"/>
    <cellStyle name="20% - Accent5 6 3 2" xfId="577" xr:uid="{00000000-0005-0000-0000-00003B020000}"/>
    <cellStyle name="20% - Accent5 6 4" xfId="578" xr:uid="{00000000-0005-0000-0000-00003C020000}"/>
    <cellStyle name="20% - Accent5 6 5" xfId="579" xr:uid="{00000000-0005-0000-0000-00003D020000}"/>
    <cellStyle name="20% - Accent5 7" xfId="580" xr:uid="{00000000-0005-0000-0000-00003E020000}"/>
    <cellStyle name="20% - Accent5 7 2" xfId="581" xr:uid="{00000000-0005-0000-0000-00003F020000}"/>
    <cellStyle name="20% - Accent5 7 2 2" xfId="582" xr:uid="{00000000-0005-0000-0000-000040020000}"/>
    <cellStyle name="20% - Accent5 7 3" xfId="583" xr:uid="{00000000-0005-0000-0000-000041020000}"/>
    <cellStyle name="20% - Accent5 7 3 2" xfId="584" xr:uid="{00000000-0005-0000-0000-000042020000}"/>
    <cellStyle name="20% - Accent5 7 4" xfId="585" xr:uid="{00000000-0005-0000-0000-000043020000}"/>
    <cellStyle name="20% - Accent5 7 5" xfId="586" xr:uid="{00000000-0005-0000-0000-000044020000}"/>
    <cellStyle name="20% - Accent5 8" xfId="587" xr:uid="{00000000-0005-0000-0000-000045020000}"/>
    <cellStyle name="20% - Accent5 8 2" xfId="588" xr:uid="{00000000-0005-0000-0000-000046020000}"/>
    <cellStyle name="20% - Accent5 8 2 2" xfId="589" xr:uid="{00000000-0005-0000-0000-000047020000}"/>
    <cellStyle name="20% - Accent5 8 3" xfId="590" xr:uid="{00000000-0005-0000-0000-000048020000}"/>
    <cellStyle name="20% - Accent5 8 3 2" xfId="591" xr:uid="{00000000-0005-0000-0000-000049020000}"/>
    <cellStyle name="20% - Accent5 8 4" xfId="592" xr:uid="{00000000-0005-0000-0000-00004A020000}"/>
    <cellStyle name="20% - Accent5 8 5" xfId="593" xr:uid="{00000000-0005-0000-0000-00004B020000}"/>
    <cellStyle name="20% - Accent5 9" xfId="594" xr:uid="{00000000-0005-0000-0000-00004C020000}"/>
    <cellStyle name="20% - Accent5 9 2" xfId="595" xr:uid="{00000000-0005-0000-0000-00004D020000}"/>
    <cellStyle name="20% - Accent5 9 2 2" xfId="596" xr:uid="{00000000-0005-0000-0000-00004E020000}"/>
    <cellStyle name="20% - Accent5 9 3" xfId="597" xr:uid="{00000000-0005-0000-0000-00004F020000}"/>
    <cellStyle name="20% - Accent5 9 3 2" xfId="598" xr:uid="{00000000-0005-0000-0000-000050020000}"/>
    <cellStyle name="20% - Accent5 9 4" xfId="599" xr:uid="{00000000-0005-0000-0000-000051020000}"/>
    <cellStyle name="20% - Accent5 9 5" xfId="600" xr:uid="{00000000-0005-0000-0000-000052020000}"/>
    <cellStyle name="20% - Accent6 10" xfId="601" xr:uid="{00000000-0005-0000-0000-000053020000}"/>
    <cellStyle name="20% - Accent6 10 2" xfId="602" xr:uid="{00000000-0005-0000-0000-000054020000}"/>
    <cellStyle name="20% - Accent6 10 2 2" xfId="603" xr:uid="{00000000-0005-0000-0000-000055020000}"/>
    <cellStyle name="20% - Accent6 10 3" xfId="604" xr:uid="{00000000-0005-0000-0000-000056020000}"/>
    <cellStyle name="20% - Accent6 10 3 2" xfId="605" xr:uid="{00000000-0005-0000-0000-000057020000}"/>
    <cellStyle name="20% - Accent6 10 4" xfId="606" xr:uid="{00000000-0005-0000-0000-000058020000}"/>
    <cellStyle name="20% - Accent6 10 5" xfId="607" xr:uid="{00000000-0005-0000-0000-000059020000}"/>
    <cellStyle name="20% - Accent6 11" xfId="608" xr:uid="{00000000-0005-0000-0000-00005A020000}"/>
    <cellStyle name="20% - Accent6 11 2" xfId="609" xr:uid="{00000000-0005-0000-0000-00005B020000}"/>
    <cellStyle name="20% - Accent6 11 2 2" xfId="610" xr:uid="{00000000-0005-0000-0000-00005C020000}"/>
    <cellStyle name="20% - Accent6 11 3" xfId="611" xr:uid="{00000000-0005-0000-0000-00005D020000}"/>
    <cellStyle name="20% - Accent6 11 3 2" xfId="612" xr:uid="{00000000-0005-0000-0000-00005E020000}"/>
    <cellStyle name="20% - Accent6 11 4" xfId="613" xr:uid="{00000000-0005-0000-0000-00005F020000}"/>
    <cellStyle name="20% - Accent6 11 5" xfId="614" xr:uid="{00000000-0005-0000-0000-000060020000}"/>
    <cellStyle name="20% - Accent6 12" xfId="615" xr:uid="{00000000-0005-0000-0000-000061020000}"/>
    <cellStyle name="20% - Accent6 12 2" xfId="616" xr:uid="{00000000-0005-0000-0000-000062020000}"/>
    <cellStyle name="20% - Accent6 12 2 2" xfId="617" xr:uid="{00000000-0005-0000-0000-000063020000}"/>
    <cellStyle name="20% - Accent6 12 3" xfId="618" xr:uid="{00000000-0005-0000-0000-000064020000}"/>
    <cellStyle name="20% - Accent6 12 3 2" xfId="619" xr:uid="{00000000-0005-0000-0000-000065020000}"/>
    <cellStyle name="20% - Accent6 12 4" xfId="620" xr:uid="{00000000-0005-0000-0000-000066020000}"/>
    <cellStyle name="20% - Accent6 12 5" xfId="621" xr:uid="{00000000-0005-0000-0000-000067020000}"/>
    <cellStyle name="20% - Accent6 13" xfId="622" xr:uid="{00000000-0005-0000-0000-000068020000}"/>
    <cellStyle name="20% - Accent6 13 2" xfId="623" xr:uid="{00000000-0005-0000-0000-000069020000}"/>
    <cellStyle name="20% - Accent6 13 2 2" xfId="624" xr:uid="{00000000-0005-0000-0000-00006A020000}"/>
    <cellStyle name="20% - Accent6 13 3" xfId="625" xr:uid="{00000000-0005-0000-0000-00006B020000}"/>
    <cellStyle name="20% - Accent6 13 4" xfId="626" xr:uid="{00000000-0005-0000-0000-00006C020000}"/>
    <cellStyle name="20% - Accent6 14" xfId="627" xr:uid="{00000000-0005-0000-0000-00006D020000}"/>
    <cellStyle name="20% - Accent6 14 2" xfId="628" xr:uid="{00000000-0005-0000-0000-00006E020000}"/>
    <cellStyle name="20% - Accent6 14 2 2" xfId="629" xr:uid="{00000000-0005-0000-0000-00006F020000}"/>
    <cellStyle name="20% - Accent6 14 3" xfId="630" xr:uid="{00000000-0005-0000-0000-000070020000}"/>
    <cellStyle name="20% - Accent6 14 4" xfId="631" xr:uid="{00000000-0005-0000-0000-000071020000}"/>
    <cellStyle name="20% - Accent6 15" xfId="632" xr:uid="{00000000-0005-0000-0000-000072020000}"/>
    <cellStyle name="20% - Accent6 16" xfId="633" xr:uid="{00000000-0005-0000-0000-000073020000}"/>
    <cellStyle name="20% - Accent6 17" xfId="634" xr:uid="{00000000-0005-0000-0000-000074020000}"/>
    <cellStyle name="20% - Accent6 18" xfId="635" xr:uid="{00000000-0005-0000-0000-000075020000}"/>
    <cellStyle name="20% - Accent6 19" xfId="636" xr:uid="{00000000-0005-0000-0000-000076020000}"/>
    <cellStyle name="20% - Accent6 2" xfId="637" xr:uid="{00000000-0005-0000-0000-000077020000}"/>
    <cellStyle name="20% - Accent6 2 10" xfId="638" xr:uid="{00000000-0005-0000-0000-000078020000}"/>
    <cellStyle name="20% - Accent6 2 11" xfId="639" xr:uid="{00000000-0005-0000-0000-000079020000}"/>
    <cellStyle name="20% - Accent6 2 12" xfId="640" xr:uid="{00000000-0005-0000-0000-00007A020000}"/>
    <cellStyle name="20% - Accent6 2 13" xfId="641" xr:uid="{00000000-0005-0000-0000-00007B020000}"/>
    <cellStyle name="20% - Accent6 2 14" xfId="642" xr:uid="{00000000-0005-0000-0000-00007C020000}"/>
    <cellStyle name="20% - Accent6 2 2" xfId="643" xr:uid="{00000000-0005-0000-0000-00007D020000}"/>
    <cellStyle name="20% - Accent6 2 2 2" xfId="644" xr:uid="{00000000-0005-0000-0000-00007E020000}"/>
    <cellStyle name="20% - Accent6 2 3" xfId="645" xr:uid="{00000000-0005-0000-0000-00007F020000}"/>
    <cellStyle name="20% - Accent6 2 3 2" xfId="646" xr:uid="{00000000-0005-0000-0000-000080020000}"/>
    <cellStyle name="20% - Accent6 2 4" xfId="647" xr:uid="{00000000-0005-0000-0000-000081020000}"/>
    <cellStyle name="20% - Accent6 2 4 2" xfId="648" xr:uid="{00000000-0005-0000-0000-000082020000}"/>
    <cellStyle name="20% - Accent6 2 5" xfId="649" xr:uid="{00000000-0005-0000-0000-000083020000}"/>
    <cellStyle name="20% - Accent6 2 5 2" xfId="650" xr:uid="{00000000-0005-0000-0000-000084020000}"/>
    <cellStyle name="20% - Accent6 2 6" xfId="651" xr:uid="{00000000-0005-0000-0000-000085020000}"/>
    <cellStyle name="20% - Accent6 2 7" xfId="652" xr:uid="{00000000-0005-0000-0000-000086020000}"/>
    <cellStyle name="20% - Accent6 2 8" xfId="653" xr:uid="{00000000-0005-0000-0000-000087020000}"/>
    <cellStyle name="20% - Accent6 2 9" xfId="654" xr:uid="{00000000-0005-0000-0000-000088020000}"/>
    <cellStyle name="20% - Accent6 20" xfId="655" xr:uid="{00000000-0005-0000-0000-000089020000}"/>
    <cellStyle name="20% - Accent6 21" xfId="656" xr:uid="{00000000-0005-0000-0000-00008A020000}"/>
    <cellStyle name="20% - Accent6 22" xfId="657" xr:uid="{00000000-0005-0000-0000-00008B020000}"/>
    <cellStyle name="20% - Accent6 23" xfId="658" xr:uid="{00000000-0005-0000-0000-00008C020000}"/>
    <cellStyle name="20% - Accent6 3" xfId="659" xr:uid="{00000000-0005-0000-0000-00008D020000}"/>
    <cellStyle name="20% - Accent6 3 2" xfId="660" xr:uid="{00000000-0005-0000-0000-00008E020000}"/>
    <cellStyle name="20% - Accent6 3 2 2" xfId="661" xr:uid="{00000000-0005-0000-0000-00008F020000}"/>
    <cellStyle name="20% - Accent6 3 3" xfId="662" xr:uid="{00000000-0005-0000-0000-000090020000}"/>
    <cellStyle name="20% - Accent6 3 3 2" xfId="663" xr:uid="{00000000-0005-0000-0000-000091020000}"/>
    <cellStyle name="20% - Accent6 3 4" xfId="664" xr:uid="{00000000-0005-0000-0000-000092020000}"/>
    <cellStyle name="20% - Accent6 3 4 2" xfId="665" xr:uid="{00000000-0005-0000-0000-000093020000}"/>
    <cellStyle name="20% - Accent6 3 5" xfId="666" xr:uid="{00000000-0005-0000-0000-000094020000}"/>
    <cellStyle name="20% - Accent6 3 5 2" xfId="667" xr:uid="{00000000-0005-0000-0000-000095020000}"/>
    <cellStyle name="20% - Accent6 3 6" xfId="668" xr:uid="{00000000-0005-0000-0000-000096020000}"/>
    <cellStyle name="20% - Accent6 3 7" xfId="669" xr:uid="{00000000-0005-0000-0000-000097020000}"/>
    <cellStyle name="20% - Accent6 3 8" xfId="670" xr:uid="{00000000-0005-0000-0000-000098020000}"/>
    <cellStyle name="20% - Accent6 3 9" xfId="671" xr:uid="{00000000-0005-0000-0000-000099020000}"/>
    <cellStyle name="20% - Accent6 4" xfId="672" xr:uid="{00000000-0005-0000-0000-00009A020000}"/>
    <cellStyle name="20% - Accent6 4 2" xfId="673" xr:uid="{00000000-0005-0000-0000-00009B020000}"/>
    <cellStyle name="20% - Accent6 4 2 2" xfId="674" xr:uid="{00000000-0005-0000-0000-00009C020000}"/>
    <cellStyle name="20% - Accent6 4 3" xfId="675" xr:uid="{00000000-0005-0000-0000-00009D020000}"/>
    <cellStyle name="20% - Accent6 4 3 2" xfId="676" xr:uid="{00000000-0005-0000-0000-00009E020000}"/>
    <cellStyle name="20% - Accent6 4 4" xfId="677" xr:uid="{00000000-0005-0000-0000-00009F020000}"/>
    <cellStyle name="20% - Accent6 4 4 2" xfId="678" xr:uid="{00000000-0005-0000-0000-0000A0020000}"/>
    <cellStyle name="20% - Accent6 4 5" xfId="679" xr:uid="{00000000-0005-0000-0000-0000A1020000}"/>
    <cellStyle name="20% - Accent6 4 5 2" xfId="680" xr:uid="{00000000-0005-0000-0000-0000A2020000}"/>
    <cellStyle name="20% - Accent6 4 6" xfId="681" xr:uid="{00000000-0005-0000-0000-0000A3020000}"/>
    <cellStyle name="20% - Accent6 4 7" xfId="682" xr:uid="{00000000-0005-0000-0000-0000A4020000}"/>
    <cellStyle name="20% - Accent6 4 8" xfId="683" xr:uid="{00000000-0005-0000-0000-0000A5020000}"/>
    <cellStyle name="20% - Accent6 4 9" xfId="684" xr:uid="{00000000-0005-0000-0000-0000A6020000}"/>
    <cellStyle name="20% - Accent6 5" xfId="685" xr:uid="{00000000-0005-0000-0000-0000A7020000}"/>
    <cellStyle name="20% - Accent6 5 2" xfId="686" xr:uid="{00000000-0005-0000-0000-0000A8020000}"/>
    <cellStyle name="20% - Accent6 5 2 2" xfId="687" xr:uid="{00000000-0005-0000-0000-0000A9020000}"/>
    <cellStyle name="20% - Accent6 5 3" xfId="688" xr:uid="{00000000-0005-0000-0000-0000AA020000}"/>
    <cellStyle name="20% - Accent6 5 3 2" xfId="689" xr:uid="{00000000-0005-0000-0000-0000AB020000}"/>
    <cellStyle name="20% - Accent6 5 4" xfId="690" xr:uid="{00000000-0005-0000-0000-0000AC020000}"/>
    <cellStyle name="20% - Accent6 5 5" xfId="691" xr:uid="{00000000-0005-0000-0000-0000AD020000}"/>
    <cellStyle name="20% - Accent6 6" xfId="692" xr:uid="{00000000-0005-0000-0000-0000AE020000}"/>
    <cellStyle name="20% - Accent6 6 2" xfId="693" xr:uid="{00000000-0005-0000-0000-0000AF020000}"/>
    <cellStyle name="20% - Accent6 6 2 2" xfId="694" xr:uid="{00000000-0005-0000-0000-0000B0020000}"/>
    <cellStyle name="20% - Accent6 6 3" xfId="695" xr:uid="{00000000-0005-0000-0000-0000B1020000}"/>
    <cellStyle name="20% - Accent6 6 3 2" xfId="696" xr:uid="{00000000-0005-0000-0000-0000B2020000}"/>
    <cellStyle name="20% - Accent6 6 4" xfId="697" xr:uid="{00000000-0005-0000-0000-0000B3020000}"/>
    <cellStyle name="20% - Accent6 6 5" xfId="698" xr:uid="{00000000-0005-0000-0000-0000B4020000}"/>
    <cellStyle name="20% - Accent6 7" xfId="699" xr:uid="{00000000-0005-0000-0000-0000B5020000}"/>
    <cellStyle name="20% - Accent6 7 2" xfId="700" xr:uid="{00000000-0005-0000-0000-0000B6020000}"/>
    <cellStyle name="20% - Accent6 7 2 2" xfId="701" xr:uid="{00000000-0005-0000-0000-0000B7020000}"/>
    <cellStyle name="20% - Accent6 7 3" xfId="702" xr:uid="{00000000-0005-0000-0000-0000B8020000}"/>
    <cellStyle name="20% - Accent6 7 3 2" xfId="703" xr:uid="{00000000-0005-0000-0000-0000B9020000}"/>
    <cellStyle name="20% - Accent6 7 4" xfId="704" xr:uid="{00000000-0005-0000-0000-0000BA020000}"/>
    <cellStyle name="20% - Accent6 7 5" xfId="705" xr:uid="{00000000-0005-0000-0000-0000BB020000}"/>
    <cellStyle name="20% - Accent6 8" xfId="706" xr:uid="{00000000-0005-0000-0000-0000BC020000}"/>
    <cellStyle name="20% - Accent6 8 2" xfId="707" xr:uid="{00000000-0005-0000-0000-0000BD020000}"/>
    <cellStyle name="20% - Accent6 8 2 2" xfId="708" xr:uid="{00000000-0005-0000-0000-0000BE020000}"/>
    <cellStyle name="20% - Accent6 8 3" xfId="709" xr:uid="{00000000-0005-0000-0000-0000BF020000}"/>
    <cellStyle name="20% - Accent6 8 3 2" xfId="710" xr:uid="{00000000-0005-0000-0000-0000C0020000}"/>
    <cellStyle name="20% - Accent6 8 4" xfId="711" xr:uid="{00000000-0005-0000-0000-0000C1020000}"/>
    <cellStyle name="20% - Accent6 8 5" xfId="712" xr:uid="{00000000-0005-0000-0000-0000C2020000}"/>
    <cellStyle name="20% - Accent6 9" xfId="713" xr:uid="{00000000-0005-0000-0000-0000C3020000}"/>
    <cellStyle name="20% - Accent6 9 2" xfId="714" xr:uid="{00000000-0005-0000-0000-0000C4020000}"/>
    <cellStyle name="20% - Accent6 9 2 2" xfId="715" xr:uid="{00000000-0005-0000-0000-0000C5020000}"/>
    <cellStyle name="20% - Accent6 9 3" xfId="716" xr:uid="{00000000-0005-0000-0000-0000C6020000}"/>
    <cellStyle name="20% - Accent6 9 3 2" xfId="717" xr:uid="{00000000-0005-0000-0000-0000C7020000}"/>
    <cellStyle name="20% - Accent6 9 4" xfId="718" xr:uid="{00000000-0005-0000-0000-0000C8020000}"/>
    <cellStyle name="20% - Accent6 9 5" xfId="719" xr:uid="{00000000-0005-0000-0000-0000C9020000}"/>
    <cellStyle name="40% - Accent1 10" xfId="720" xr:uid="{00000000-0005-0000-0000-0000CA020000}"/>
    <cellStyle name="40% - Accent1 10 2" xfId="721" xr:uid="{00000000-0005-0000-0000-0000CB020000}"/>
    <cellStyle name="40% - Accent1 10 2 2" xfId="722" xr:uid="{00000000-0005-0000-0000-0000CC020000}"/>
    <cellStyle name="40% - Accent1 10 3" xfId="723" xr:uid="{00000000-0005-0000-0000-0000CD020000}"/>
    <cellStyle name="40% - Accent1 10 3 2" xfId="724" xr:uid="{00000000-0005-0000-0000-0000CE020000}"/>
    <cellStyle name="40% - Accent1 10 4" xfId="725" xr:uid="{00000000-0005-0000-0000-0000CF020000}"/>
    <cellStyle name="40% - Accent1 10 5" xfId="726" xr:uid="{00000000-0005-0000-0000-0000D0020000}"/>
    <cellStyle name="40% - Accent1 11" xfId="727" xr:uid="{00000000-0005-0000-0000-0000D1020000}"/>
    <cellStyle name="40% - Accent1 11 2" xfId="728" xr:uid="{00000000-0005-0000-0000-0000D2020000}"/>
    <cellStyle name="40% - Accent1 11 2 2" xfId="729" xr:uid="{00000000-0005-0000-0000-0000D3020000}"/>
    <cellStyle name="40% - Accent1 11 3" xfId="730" xr:uid="{00000000-0005-0000-0000-0000D4020000}"/>
    <cellStyle name="40% - Accent1 11 3 2" xfId="731" xr:uid="{00000000-0005-0000-0000-0000D5020000}"/>
    <cellStyle name="40% - Accent1 11 4" xfId="732" xr:uid="{00000000-0005-0000-0000-0000D6020000}"/>
    <cellStyle name="40% - Accent1 11 5" xfId="733" xr:uid="{00000000-0005-0000-0000-0000D7020000}"/>
    <cellStyle name="40% - Accent1 12" xfId="734" xr:uid="{00000000-0005-0000-0000-0000D8020000}"/>
    <cellStyle name="40% - Accent1 12 2" xfId="735" xr:uid="{00000000-0005-0000-0000-0000D9020000}"/>
    <cellStyle name="40% - Accent1 12 2 2" xfId="736" xr:uid="{00000000-0005-0000-0000-0000DA020000}"/>
    <cellStyle name="40% - Accent1 12 3" xfId="737" xr:uid="{00000000-0005-0000-0000-0000DB020000}"/>
    <cellStyle name="40% - Accent1 12 3 2" xfId="738" xr:uid="{00000000-0005-0000-0000-0000DC020000}"/>
    <cellStyle name="40% - Accent1 12 4" xfId="739" xr:uid="{00000000-0005-0000-0000-0000DD020000}"/>
    <cellStyle name="40% - Accent1 12 5" xfId="740" xr:uid="{00000000-0005-0000-0000-0000DE020000}"/>
    <cellStyle name="40% - Accent1 13" xfId="741" xr:uid="{00000000-0005-0000-0000-0000DF020000}"/>
    <cellStyle name="40% - Accent1 13 2" xfId="742" xr:uid="{00000000-0005-0000-0000-0000E0020000}"/>
    <cellStyle name="40% - Accent1 13 2 2" xfId="743" xr:uid="{00000000-0005-0000-0000-0000E1020000}"/>
    <cellStyle name="40% - Accent1 13 3" xfId="744" xr:uid="{00000000-0005-0000-0000-0000E2020000}"/>
    <cellStyle name="40% - Accent1 13 4" xfId="745" xr:uid="{00000000-0005-0000-0000-0000E3020000}"/>
    <cellStyle name="40% - Accent1 14" xfId="746" xr:uid="{00000000-0005-0000-0000-0000E4020000}"/>
    <cellStyle name="40% - Accent1 14 2" xfId="747" xr:uid="{00000000-0005-0000-0000-0000E5020000}"/>
    <cellStyle name="40% - Accent1 14 2 2" xfId="748" xr:uid="{00000000-0005-0000-0000-0000E6020000}"/>
    <cellStyle name="40% - Accent1 14 3" xfId="749" xr:uid="{00000000-0005-0000-0000-0000E7020000}"/>
    <cellStyle name="40% - Accent1 14 4" xfId="750" xr:uid="{00000000-0005-0000-0000-0000E8020000}"/>
    <cellStyle name="40% - Accent1 15" xfId="751" xr:uid="{00000000-0005-0000-0000-0000E9020000}"/>
    <cellStyle name="40% - Accent1 16" xfId="752" xr:uid="{00000000-0005-0000-0000-0000EA020000}"/>
    <cellStyle name="40% - Accent1 17" xfId="753" xr:uid="{00000000-0005-0000-0000-0000EB020000}"/>
    <cellStyle name="40% - Accent1 18" xfId="754" xr:uid="{00000000-0005-0000-0000-0000EC020000}"/>
    <cellStyle name="40% - Accent1 19" xfId="755" xr:uid="{00000000-0005-0000-0000-0000ED020000}"/>
    <cellStyle name="40% - Accent1 2" xfId="756" xr:uid="{00000000-0005-0000-0000-0000EE020000}"/>
    <cellStyle name="40% - Accent1 2 10" xfId="757" xr:uid="{00000000-0005-0000-0000-0000EF020000}"/>
    <cellStyle name="40% - Accent1 2 11" xfId="758" xr:uid="{00000000-0005-0000-0000-0000F0020000}"/>
    <cellStyle name="40% - Accent1 2 12" xfId="759" xr:uid="{00000000-0005-0000-0000-0000F1020000}"/>
    <cellStyle name="40% - Accent1 2 13" xfId="760" xr:uid="{00000000-0005-0000-0000-0000F2020000}"/>
    <cellStyle name="40% - Accent1 2 14" xfId="761" xr:uid="{00000000-0005-0000-0000-0000F3020000}"/>
    <cellStyle name="40% - Accent1 2 2" xfId="762" xr:uid="{00000000-0005-0000-0000-0000F4020000}"/>
    <cellStyle name="40% - Accent1 2 2 2" xfId="763" xr:uid="{00000000-0005-0000-0000-0000F5020000}"/>
    <cellStyle name="40% - Accent1 2 3" xfId="764" xr:uid="{00000000-0005-0000-0000-0000F6020000}"/>
    <cellStyle name="40% - Accent1 2 3 2" xfId="765" xr:uid="{00000000-0005-0000-0000-0000F7020000}"/>
    <cellStyle name="40% - Accent1 2 4" xfId="766" xr:uid="{00000000-0005-0000-0000-0000F8020000}"/>
    <cellStyle name="40% - Accent1 2 4 2" xfId="767" xr:uid="{00000000-0005-0000-0000-0000F9020000}"/>
    <cellStyle name="40% - Accent1 2 5" xfId="768" xr:uid="{00000000-0005-0000-0000-0000FA020000}"/>
    <cellStyle name="40% - Accent1 2 5 2" xfId="769" xr:uid="{00000000-0005-0000-0000-0000FB020000}"/>
    <cellStyle name="40% - Accent1 2 6" xfId="770" xr:uid="{00000000-0005-0000-0000-0000FC020000}"/>
    <cellStyle name="40% - Accent1 2 7" xfId="771" xr:uid="{00000000-0005-0000-0000-0000FD020000}"/>
    <cellStyle name="40% - Accent1 2 8" xfId="772" xr:uid="{00000000-0005-0000-0000-0000FE020000}"/>
    <cellStyle name="40% - Accent1 2 9" xfId="773" xr:uid="{00000000-0005-0000-0000-0000FF020000}"/>
    <cellStyle name="40% - Accent1 20" xfId="774" xr:uid="{00000000-0005-0000-0000-000000030000}"/>
    <cellStyle name="40% - Accent1 21" xfId="775" xr:uid="{00000000-0005-0000-0000-000001030000}"/>
    <cellStyle name="40% - Accent1 22" xfId="776" xr:uid="{00000000-0005-0000-0000-000002030000}"/>
    <cellStyle name="40% - Accent1 23" xfId="777" xr:uid="{00000000-0005-0000-0000-000003030000}"/>
    <cellStyle name="40% - Accent1 3" xfId="778" xr:uid="{00000000-0005-0000-0000-000004030000}"/>
    <cellStyle name="40% - Accent1 3 2" xfId="779" xr:uid="{00000000-0005-0000-0000-000005030000}"/>
    <cellStyle name="40% - Accent1 3 2 2" xfId="780" xr:uid="{00000000-0005-0000-0000-000006030000}"/>
    <cellStyle name="40% - Accent1 3 3" xfId="781" xr:uid="{00000000-0005-0000-0000-000007030000}"/>
    <cellStyle name="40% - Accent1 3 3 2" xfId="782" xr:uid="{00000000-0005-0000-0000-000008030000}"/>
    <cellStyle name="40% - Accent1 3 4" xfId="783" xr:uid="{00000000-0005-0000-0000-000009030000}"/>
    <cellStyle name="40% - Accent1 3 4 2" xfId="784" xr:uid="{00000000-0005-0000-0000-00000A030000}"/>
    <cellStyle name="40% - Accent1 3 5" xfId="785" xr:uid="{00000000-0005-0000-0000-00000B030000}"/>
    <cellStyle name="40% - Accent1 3 5 2" xfId="786" xr:uid="{00000000-0005-0000-0000-00000C030000}"/>
    <cellStyle name="40% - Accent1 3 6" xfId="787" xr:uid="{00000000-0005-0000-0000-00000D030000}"/>
    <cellStyle name="40% - Accent1 3 7" xfId="788" xr:uid="{00000000-0005-0000-0000-00000E030000}"/>
    <cellStyle name="40% - Accent1 3 8" xfId="789" xr:uid="{00000000-0005-0000-0000-00000F030000}"/>
    <cellStyle name="40% - Accent1 3 9" xfId="790" xr:uid="{00000000-0005-0000-0000-000010030000}"/>
    <cellStyle name="40% - Accent1 4" xfId="791" xr:uid="{00000000-0005-0000-0000-000011030000}"/>
    <cellStyle name="40% - Accent1 4 2" xfId="792" xr:uid="{00000000-0005-0000-0000-000012030000}"/>
    <cellStyle name="40% - Accent1 4 2 2" xfId="793" xr:uid="{00000000-0005-0000-0000-000013030000}"/>
    <cellStyle name="40% - Accent1 4 3" xfId="794" xr:uid="{00000000-0005-0000-0000-000014030000}"/>
    <cellStyle name="40% - Accent1 4 3 2" xfId="795" xr:uid="{00000000-0005-0000-0000-000015030000}"/>
    <cellStyle name="40% - Accent1 4 4" xfId="796" xr:uid="{00000000-0005-0000-0000-000016030000}"/>
    <cellStyle name="40% - Accent1 4 4 2" xfId="797" xr:uid="{00000000-0005-0000-0000-000017030000}"/>
    <cellStyle name="40% - Accent1 4 5" xfId="798" xr:uid="{00000000-0005-0000-0000-000018030000}"/>
    <cellStyle name="40% - Accent1 4 5 2" xfId="799" xr:uid="{00000000-0005-0000-0000-000019030000}"/>
    <cellStyle name="40% - Accent1 4 6" xfId="800" xr:uid="{00000000-0005-0000-0000-00001A030000}"/>
    <cellStyle name="40% - Accent1 4 7" xfId="801" xr:uid="{00000000-0005-0000-0000-00001B030000}"/>
    <cellStyle name="40% - Accent1 4 8" xfId="802" xr:uid="{00000000-0005-0000-0000-00001C030000}"/>
    <cellStyle name="40% - Accent1 4 9" xfId="803" xr:uid="{00000000-0005-0000-0000-00001D030000}"/>
    <cellStyle name="40% - Accent1 5" xfId="804" xr:uid="{00000000-0005-0000-0000-00001E030000}"/>
    <cellStyle name="40% - Accent1 5 2" xfId="805" xr:uid="{00000000-0005-0000-0000-00001F030000}"/>
    <cellStyle name="40% - Accent1 5 2 2" xfId="806" xr:uid="{00000000-0005-0000-0000-000020030000}"/>
    <cellStyle name="40% - Accent1 5 3" xfId="807" xr:uid="{00000000-0005-0000-0000-000021030000}"/>
    <cellStyle name="40% - Accent1 5 3 2" xfId="808" xr:uid="{00000000-0005-0000-0000-000022030000}"/>
    <cellStyle name="40% - Accent1 5 4" xfId="809" xr:uid="{00000000-0005-0000-0000-000023030000}"/>
    <cellStyle name="40% - Accent1 5 5" xfId="810" xr:uid="{00000000-0005-0000-0000-000024030000}"/>
    <cellStyle name="40% - Accent1 6" xfId="811" xr:uid="{00000000-0005-0000-0000-000025030000}"/>
    <cellStyle name="40% - Accent1 6 2" xfId="812" xr:uid="{00000000-0005-0000-0000-000026030000}"/>
    <cellStyle name="40% - Accent1 6 2 2" xfId="813" xr:uid="{00000000-0005-0000-0000-000027030000}"/>
    <cellStyle name="40% - Accent1 6 3" xfId="814" xr:uid="{00000000-0005-0000-0000-000028030000}"/>
    <cellStyle name="40% - Accent1 6 3 2" xfId="815" xr:uid="{00000000-0005-0000-0000-000029030000}"/>
    <cellStyle name="40% - Accent1 6 4" xfId="816" xr:uid="{00000000-0005-0000-0000-00002A030000}"/>
    <cellStyle name="40% - Accent1 6 5" xfId="817" xr:uid="{00000000-0005-0000-0000-00002B030000}"/>
    <cellStyle name="40% - Accent1 7" xfId="818" xr:uid="{00000000-0005-0000-0000-00002C030000}"/>
    <cellStyle name="40% - Accent1 7 2" xfId="819" xr:uid="{00000000-0005-0000-0000-00002D030000}"/>
    <cellStyle name="40% - Accent1 7 2 2" xfId="820" xr:uid="{00000000-0005-0000-0000-00002E030000}"/>
    <cellStyle name="40% - Accent1 7 3" xfId="821" xr:uid="{00000000-0005-0000-0000-00002F030000}"/>
    <cellStyle name="40% - Accent1 7 3 2" xfId="822" xr:uid="{00000000-0005-0000-0000-000030030000}"/>
    <cellStyle name="40% - Accent1 7 4" xfId="823" xr:uid="{00000000-0005-0000-0000-000031030000}"/>
    <cellStyle name="40% - Accent1 7 5" xfId="824" xr:uid="{00000000-0005-0000-0000-000032030000}"/>
    <cellStyle name="40% - Accent1 8" xfId="825" xr:uid="{00000000-0005-0000-0000-000033030000}"/>
    <cellStyle name="40% - Accent1 8 2" xfId="826" xr:uid="{00000000-0005-0000-0000-000034030000}"/>
    <cellStyle name="40% - Accent1 8 2 2" xfId="827" xr:uid="{00000000-0005-0000-0000-000035030000}"/>
    <cellStyle name="40% - Accent1 8 3" xfId="828" xr:uid="{00000000-0005-0000-0000-000036030000}"/>
    <cellStyle name="40% - Accent1 8 3 2" xfId="829" xr:uid="{00000000-0005-0000-0000-000037030000}"/>
    <cellStyle name="40% - Accent1 8 4" xfId="830" xr:uid="{00000000-0005-0000-0000-000038030000}"/>
    <cellStyle name="40% - Accent1 8 5" xfId="831" xr:uid="{00000000-0005-0000-0000-000039030000}"/>
    <cellStyle name="40% - Accent1 9" xfId="832" xr:uid="{00000000-0005-0000-0000-00003A030000}"/>
    <cellStyle name="40% - Accent1 9 2" xfId="833" xr:uid="{00000000-0005-0000-0000-00003B030000}"/>
    <cellStyle name="40% - Accent1 9 2 2" xfId="834" xr:uid="{00000000-0005-0000-0000-00003C030000}"/>
    <cellStyle name="40% - Accent1 9 3" xfId="835" xr:uid="{00000000-0005-0000-0000-00003D030000}"/>
    <cellStyle name="40% - Accent1 9 3 2" xfId="836" xr:uid="{00000000-0005-0000-0000-00003E030000}"/>
    <cellStyle name="40% - Accent1 9 4" xfId="837" xr:uid="{00000000-0005-0000-0000-00003F030000}"/>
    <cellStyle name="40% - Accent1 9 5" xfId="838" xr:uid="{00000000-0005-0000-0000-000040030000}"/>
    <cellStyle name="40% - Accent2 10" xfId="839" xr:uid="{00000000-0005-0000-0000-000041030000}"/>
    <cellStyle name="40% - Accent2 10 2" xfId="840" xr:uid="{00000000-0005-0000-0000-000042030000}"/>
    <cellStyle name="40% - Accent2 10 2 2" xfId="841" xr:uid="{00000000-0005-0000-0000-000043030000}"/>
    <cellStyle name="40% - Accent2 10 3" xfId="842" xr:uid="{00000000-0005-0000-0000-000044030000}"/>
    <cellStyle name="40% - Accent2 10 3 2" xfId="843" xr:uid="{00000000-0005-0000-0000-000045030000}"/>
    <cellStyle name="40% - Accent2 10 4" xfId="844" xr:uid="{00000000-0005-0000-0000-000046030000}"/>
    <cellStyle name="40% - Accent2 10 5" xfId="845" xr:uid="{00000000-0005-0000-0000-000047030000}"/>
    <cellStyle name="40% - Accent2 11" xfId="846" xr:uid="{00000000-0005-0000-0000-000048030000}"/>
    <cellStyle name="40% - Accent2 11 2" xfId="847" xr:uid="{00000000-0005-0000-0000-000049030000}"/>
    <cellStyle name="40% - Accent2 11 2 2" xfId="848" xr:uid="{00000000-0005-0000-0000-00004A030000}"/>
    <cellStyle name="40% - Accent2 11 3" xfId="849" xr:uid="{00000000-0005-0000-0000-00004B030000}"/>
    <cellStyle name="40% - Accent2 11 3 2" xfId="850" xr:uid="{00000000-0005-0000-0000-00004C030000}"/>
    <cellStyle name="40% - Accent2 11 4" xfId="851" xr:uid="{00000000-0005-0000-0000-00004D030000}"/>
    <cellStyle name="40% - Accent2 11 5" xfId="852" xr:uid="{00000000-0005-0000-0000-00004E030000}"/>
    <cellStyle name="40% - Accent2 12" xfId="853" xr:uid="{00000000-0005-0000-0000-00004F030000}"/>
    <cellStyle name="40% - Accent2 12 2" xfId="854" xr:uid="{00000000-0005-0000-0000-000050030000}"/>
    <cellStyle name="40% - Accent2 12 2 2" xfId="855" xr:uid="{00000000-0005-0000-0000-000051030000}"/>
    <cellStyle name="40% - Accent2 12 3" xfId="856" xr:uid="{00000000-0005-0000-0000-000052030000}"/>
    <cellStyle name="40% - Accent2 12 3 2" xfId="857" xr:uid="{00000000-0005-0000-0000-000053030000}"/>
    <cellStyle name="40% - Accent2 12 4" xfId="858" xr:uid="{00000000-0005-0000-0000-000054030000}"/>
    <cellStyle name="40% - Accent2 12 5" xfId="859" xr:uid="{00000000-0005-0000-0000-000055030000}"/>
    <cellStyle name="40% - Accent2 13" xfId="860" xr:uid="{00000000-0005-0000-0000-000056030000}"/>
    <cellStyle name="40% - Accent2 13 2" xfId="861" xr:uid="{00000000-0005-0000-0000-000057030000}"/>
    <cellStyle name="40% - Accent2 13 2 2" xfId="862" xr:uid="{00000000-0005-0000-0000-000058030000}"/>
    <cellStyle name="40% - Accent2 13 3" xfId="863" xr:uid="{00000000-0005-0000-0000-000059030000}"/>
    <cellStyle name="40% - Accent2 13 4" xfId="864" xr:uid="{00000000-0005-0000-0000-00005A030000}"/>
    <cellStyle name="40% - Accent2 14" xfId="865" xr:uid="{00000000-0005-0000-0000-00005B030000}"/>
    <cellStyle name="40% - Accent2 14 2" xfId="866" xr:uid="{00000000-0005-0000-0000-00005C030000}"/>
    <cellStyle name="40% - Accent2 14 2 2" xfId="867" xr:uid="{00000000-0005-0000-0000-00005D030000}"/>
    <cellStyle name="40% - Accent2 14 3" xfId="868" xr:uid="{00000000-0005-0000-0000-00005E030000}"/>
    <cellStyle name="40% - Accent2 14 4" xfId="869" xr:uid="{00000000-0005-0000-0000-00005F030000}"/>
    <cellStyle name="40% - Accent2 15" xfId="870" xr:uid="{00000000-0005-0000-0000-000060030000}"/>
    <cellStyle name="40% - Accent2 16" xfId="871" xr:uid="{00000000-0005-0000-0000-000061030000}"/>
    <cellStyle name="40% - Accent2 17" xfId="872" xr:uid="{00000000-0005-0000-0000-000062030000}"/>
    <cellStyle name="40% - Accent2 18" xfId="873" xr:uid="{00000000-0005-0000-0000-000063030000}"/>
    <cellStyle name="40% - Accent2 19" xfId="874" xr:uid="{00000000-0005-0000-0000-000064030000}"/>
    <cellStyle name="40% - Accent2 2" xfId="875" xr:uid="{00000000-0005-0000-0000-000065030000}"/>
    <cellStyle name="40% - Accent2 2 10" xfId="876" xr:uid="{00000000-0005-0000-0000-000066030000}"/>
    <cellStyle name="40% - Accent2 2 11" xfId="877" xr:uid="{00000000-0005-0000-0000-000067030000}"/>
    <cellStyle name="40% - Accent2 2 12" xfId="878" xr:uid="{00000000-0005-0000-0000-000068030000}"/>
    <cellStyle name="40% - Accent2 2 13" xfId="879" xr:uid="{00000000-0005-0000-0000-000069030000}"/>
    <cellStyle name="40% - Accent2 2 14" xfId="880" xr:uid="{00000000-0005-0000-0000-00006A030000}"/>
    <cellStyle name="40% - Accent2 2 2" xfId="881" xr:uid="{00000000-0005-0000-0000-00006B030000}"/>
    <cellStyle name="40% - Accent2 2 2 2" xfId="882" xr:uid="{00000000-0005-0000-0000-00006C030000}"/>
    <cellStyle name="40% - Accent2 2 3" xfId="883" xr:uid="{00000000-0005-0000-0000-00006D030000}"/>
    <cellStyle name="40% - Accent2 2 3 2" xfId="884" xr:uid="{00000000-0005-0000-0000-00006E030000}"/>
    <cellStyle name="40% - Accent2 2 4" xfId="885" xr:uid="{00000000-0005-0000-0000-00006F030000}"/>
    <cellStyle name="40% - Accent2 2 4 2" xfId="886" xr:uid="{00000000-0005-0000-0000-000070030000}"/>
    <cellStyle name="40% - Accent2 2 5" xfId="887" xr:uid="{00000000-0005-0000-0000-000071030000}"/>
    <cellStyle name="40% - Accent2 2 5 2" xfId="888" xr:uid="{00000000-0005-0000-0000-000072030000}"/>
    <cellStyle name="40% - Accent2 2 6" xfId="889" xr:uid="{00000000-0005-0000-0000-000073030000}"/>
    <cellStyle name="40% - Accent2 2 7" xfId="890" xr:uid="{00000000-0005-0000-0000-000074030000}"/>
    <cellStyle name="40% - Accent2 2 8" xfId="891" xr:uid="{00000000-0005-0000-0000-000075030000}"/>
    <cellStyle name="40% - Accent2 2 9" xfId="892" xr:uid="{00000000-0005-0000-0000-000076030000}"/>
    <cellStyle name="40% - Accent2 20" xfId="893" xr:uid="{00000000-0005-0000-0000-000077030000}"/>
    <cellStyle name="40% - Accent2 21" xfId="894" xr:uid="{00000000-0005-0000-0000-000078030000}"/>
    <cellStyle name="40% - Accent2 22" xfId="895" xr:uid="{00000000-0005-0000-0000-000079030000}"/>
    <cellStyle name="40% - Accent2 23" xfId="896" xr:uid="{00000000-0005-0000-0000-00007A030000}"/>
    <cellStyle name="40% - Accent2 3" xfId="897" xr:uid="{00000000-0005-0000-0000-00007B030000}"/>
    <cellStyle name="40% - Accent2 3 2" xfId="898" xr:uid="{00000000-0005-0000-0000-00007C030000}"/>
    <cellStyle name="40% - Accent2 3 2 2" xfId="899" xr:uid="{00000000-0005-0000-0000-00007D030000}"/>
    <cellStyle name="40% - Accent2 3 3" xfId="900" xr:uid="{00000000-0005-0000-0000-00007E030000}"/>
    <cellStyle name="40% - Accent2 3 3 2" xfId="901" xr:uid="{00000000-0005-0000-0000-00007F030000}"/>
    <cellStyle name="40% - Accent2 3 4" xfId="902" xr:uid="{00000000-0005-0000-0000-000080030000}"/>
    <cellStyle name="40% - Accent2 3 4 2" xfId="903" xr:uid="{00000000-0005-0000-0000-000081030000}"/>
    <cellStyle name="40% - Accent2 3 5" xfId="904" xr:uid="{00000000-0005-0000-0000-000082030000}"/>
    <cellStyle name="40% - Accent2 3 5 2" xfId="905" xr:uid="{00000000-0005-0000-0000-000083030000}"/>
    <cellStyle name="40% - Accent2 3 6" xfId="906" xr:uid="{00000000-0005-0000-0000-000084030000}"/>
    <cellStyle name="40% - Accent2 3 7" xfId="907" xr:uid="{00000000-0005-0000-0000-000085030000}"/>
    <cellStyle name="40% - Accent2 3 8" xfId="908" xr:uid="{00000000-0005-0000-0000-000086030000}"/>
    <cellStyle name="40% - Accent2 3 9" xfId="909" xr:uid="{00000000-0005-0000-0000-000087030000}"/>
    <cellStyle name="40% - Accent2 4" xfId="910" xr:uid="{00000000-0005-0000-0000-000088030000}"/>
    <cellStyle name="40% - Accent2 4 2" xfId="911" xr:uid="{00000000-0005-0000-0000-000089030000}"/>
    <cellStyle name="40% - Accent2 4 2 2" xfId="912" xr:uid="{00000000-0005-0000-0000-00008A030000}"/>
    <cellStyle name="40% - Accent2 4 3" xfId="913" xr:uid="{00000000-0005-0000-0000-00008B030000}"/>
    <cellStyle name="40% - Accent2 4 3 2" xfId="914" xr:uid="{00000000-0005-0000-0000-00008C030000}"/>
    <cellStyle name="40% - Accent2 4 4" xfId="915" xr:uid="{00000000-0005-0000-0000-00008D030000}"/>
    <cellStyle name="40% - Accent2 4 4 2" xfId="916" xr:uid="{00000000-0005-0000-0000-00008E030000}"/>
    <cellStyle name="40% - Accent2 4 5" xfId="917" xr:uid="{00000000-0005-0000-0000-00008F030000}"/>
    <cellStyle name="40% - Accent2 4 5 2" xfId="918" xr:uid="{00000000-0005-0000-0000-000090030000}"/>
    <cellStyle name="40% - Accent2 4 6" xfId="919" xr:uid="{00000000-0005-0000-0000-000091030000}"/>
    <cellStyle name="40% - Accent2 4 7" xfId="920" xr:uid="{00000000-0005-0000-0000-000092030000}"/>
    <cellStyle name="40% - Accent2 4 8" xfId="921" xr:uid="{00000000-0005-0000-0000-000093030000}"/>
    <cellStyle name="40% - Accent2 4 9" xfId="922" xr:uid="{00000000-0005-0000-0000-000094030000}"/>
    <cellStyle name="40% - Accent2 5" xfId="923" xr:uid="{00000000-0005-0000-0000-000095030000}"/>
    <cellStyle name="40% - Accent2 5 2" xfId="924" xr:uid="{00000000-0005-0000-0000-000096030000}"/>
    <cellStyle name="40% - Accent2 5 2 2" xfId="925" xr:uid="{00000000-0005-0000-0000-000097030000}"/>
    <cellStyle name="40% - Accent2 5 3" xfId="926" xr:uid="{00000000-0005-0000-0000-000098030000}"/>
    <cellStyle name="40% - Accent2 5 3 2" xfId="927" xr:uid="{00000000-0005-0000-0000-000099030000}"/>
    <cellStyle name="40% - Accent2 5 4" xfId="928" xr:uid="{00000000-0005-0000-0000-00009A030000}"/>
    <cellStyle name="40% - Accent2 5 5" xfId="929" xr:uid="{00000000-0005-0000-0000-00009B030000}"/>
    <cellStyle name="40% - Accent2 6" xfId="930" xr:uid="{00000000-0005-0000-0000-00009C030000}"/>
    <cellStyle name="40% - Accent2 6 2" xfId="931" xr:uid="{00000000-0005-0000-0000-00009D030000}"/>
    <cellStyle name="40% - Accent2 6 2 2" xfId="932" xr:uid="{00000000-0005-0000-0000-00009E030000}"/>
    <cellStyle name="40% - Accent2 6 3" xfId="933" xr:uid="{00000000-0005-0000-0000-00009F030000}"/>
    <cellStyle name="40% - Accent2 6 3 2" xfId="934" xr:uid="{00000000-0005-0000-0000-0000A0030000}"/>
    <cellStyle name="40% - Accent2 6 4" xfId="935" xr:uid="{00000000-0005-0000-0000-0000A1030000}"/>
    <cellStyle name="40% - Accent2 6 5" xfId="936" xr:uid="{00000000-0005-0000-0000-0000A2030000}"/>
    <cellStyle name="40% - Accent2 7" xfId="937" xr:uid="{00000000-0005-0000-0000-0000A3030000}"/>
    <cellStyle name="40% - Accent2 7 2" xfId="938" xr:uid="{00000000-0005-0000-0000-0000A4030000}"/>
    <cellStyle name="40% - Accent2 7 2 2" xfId="939" xr:uid="{00000000-0005-0000-0000-0000A5030000}"/>
    <cellStyle name="40% - Accent2 7 3" xfId="940" xr:uid="{00000000-0005-0000-0000-0000A6030000}"/>
    <cellStyle name="40% - Accent2 7 3 2" xfId="941" xr:uid="{00000000-0005-0000-0000-0000A7030000}"/>
    <cellStyle name="40% - Accent2 7 4" xfId="942" xr:uid="{00000000-0005-0000-0000-0000A8030000}"/>
    <cellStyle name="40% - Accent2 7 5" xfId="943" xr:uid="{00000000-0005-0000-0000-0000A9030000}"/>
    <cellStyle name="40% - Accent2 8" xfId="944" xr:uid="{00000000-0005-0000-0000-0000AA030000}"/>
    <cellStyle name="40% - Accent2 8 2" xfId="945" xr:uid="{00000000-0005-0000-0000-0000AB030000}"/>
    <cellStyle name="40% - Accent2 8 2 2" xfId="946" xr:uid="{00000000-0005-0000-0000-0000AC030000}"/>
    <cellStyle name="40% - Accent2 8 3" xfId="947" xr:uid="{00000000-0005-0000-0000-0000AD030000}"/>
    <cellStyle name="40% - Accent2 8 3 2" xfId="948" xr:uid="{00000000-0005-0000-0000-0000AE030000}"/>
    <cellStyle name="40% - Accent2 8 4" xfId="949" xr:uid="{00000000-0005-0000-0000-0000AF030000}"/>
    <cellStyle name="40% - Accent2 8 5" xfId="950" xr:uid="{00000000-0005-0000-0000-0000B0030000}"/>
    <cellStyle name="40% - Accent2 9" xfId="951" xr:uid="{00000000-0005-0000-0000-0000B1030000}"/>
    <cellStyle name="40% - Accent2 9 2" xfId="952" xr:uid="{00000000-0005-0000-0000-0000B2030000}"/>
    <cellStyle name="40% - Accent2 9 2 2" xfId="953" xr:uid="{00000000-0005-0000-0000-0000B3030000}"/>
    <cellStyle name="40% - Accent2 9 3" xfId="954" xr:uid="{00000000-0005-0000-0000-0000B4030000}"/>
    <cellStyle name="40% - Accent2 9 3 2" xfId="955" xr:uid="{00000000-0005-0000-0000-0000B5030000}"/>
    <cellStyle name="40% - Accent2 9 4" xfId="956" xr:uid="{00000000-0005-0000-0000-0000B6030000}"/>
    <cellStyle name="40% - Accent2 9 5" xfId="957" xr:uid="{00000000-0005-0000-0000-0000B7030000}"/>
    <cellStyle name="40% - Accent3 10" xfId="958" xr:uid="{00000000-0005-0000-0000-0000B8030000}"/>
    <cellStyle name="40% - Accent3 10 2" xfId="959" xr:uid="{00000000-0005-0000-0000-0000B9030000}"/>
    <cellStyle name="40% - Accent3 10 2 2" xfId="960" xr:uid="{00000000-0005-0000-0000-0000BA030000}"/>
    <cellStyle name="40% - Accent3 10 3" xfId="961" xr:uid="{00000000-0005-0000-0000-0000BB030000}"/>
    <cellStyle name="40% - Accent3 10 3 2" xfId="962" xr:uid="{00000000-0005-0000-0000-0000BC030000}"/>
    <cellStyle name="40% - Accent3 10 4" xfId="963" xr:uid="{00000000-0005-0000-0000-0000BD030000}"/>
    <cellStyle name="40% - Accent3 10 5" xfId="964" xr:uid="{00000000-0005-0000-0000-0000BE030000}"/>
    <cellStyle name="40% - Accent3 11" xfId="965" xr:uid="{00000000-0005-0000-0000-0000BF030000}"/>
    <cellStyle name="40% - Accent3 11 2" xfId="966" xr:uid="{00000000-0005-0000-0000-0000C0030000}"/>
    <cellStyle name="40% - Accent3 11 2 2" xfId="967" xr:uid="{00000000-0005-0000-0000-0000C1030000}"/>
    <cellStyle name="40% - Accent3 11 3" xfId="968" xr:uid="{00000000-0005-0000-0000-0000C2030000}"/>
    <cellStyle name="40% - Accent3 11 3 2" xfId="969" xr:uid="{00000000-0005-0000-0000-0000C3030000}"/>
    <cellStyle name="40% - Accent3 11 4" xfId="970" xr:uid="{00000000-0005-0000-0000-0000C4030000}"/>
    <cellStyle name="40% - Accent3 11 5" xfId="971" xr:uid="{00000000-0005-0000-0000-0000C5030000}"/>
    <cellStyle name="40% - Accent3 12" xfId="972" xr:uid="{00000000-0005-0000-0000-0000C6030000}"/>
    <cellStyle name="40% - Accent3 12 2" xfId="973" xr:uid="{00000000-0005-0000-0000-0000C7030000}"/>
    <cellStyle name="40% - Accent3 12 2 2" xfId="974" xr:uid="{00000000-0005-0000-0000-0000C8030000}"/>
    <cellStyle name="40% - Accent3 12 3" xfId="975" xr:uid="{00000000-0005-0000-0000-0000C9030000}"/>
    <cellStyle name="40% - Accent3 12 3 2" xfId="976" xr:uid="{00000000-0005-0000-0000-0000CA030000}"/>
    <cellStyle name="40% - Accent3 12 4" xfId="977" xr:uid="{00000000-0005-0000-0000-0000CB030000}"/>
    <cellStyle name="40% - Accent3 12 5" xfId="978" xr:uid="{00000000-0005-0000-0000-0000CC030000}"/>
    <cellStyle name="40% - Accent3 13" xfId="979" xr:uid="{00000000-0005-0000-0000-0000CD030000}"/>
    <cellStyle name="40% - Accent3 13 2" xfId="980" xr:uid="{00000000-0005-0000-0000-0000CE030000}"/>
    <cellStyle name="40% - Accent3 13 2 2" xfId="981" xr:uid="{00000000-0005-0000-0000-0000CF030000}"/>
    <cellStyle name="40% - Accent3 13 3" xfId="982" xr:uid="{00000000-0005-0000-0000-0000D0030000}"/>
    <cellStyle name="40% - Accent3 13 4" xfId="983" xr:uid="{00000000-0005-0000-0000-0000D1030000}"/>
    <cellStyle name="40% - Accent3 14" xfId="984" xr:uid="{00000000-0005-0000-0000-0000D2030000}"/>
    <cellStyle name="40% - Accent3 14 2" xfId="985" xr:uid="{00000000-0005-0000-0000-0000D3030000}"/>
    <cellStyle name="40% - Accent3 14 2 2" xfId="986" xr:uid="{00000000-0005-0000-0000-0000D4030000}"/>
    <cellStyle name="40% - Accent3 14 3" xfId="987" xr:uid="{00000000-0005-0000-0000-0000D5030000}"/>
    <cellStyle name="40% - Accent3 14 4" xfId="988" xr:uid="{00000000-0005-0000-0000-0000D6030000}"/>
    <cellStyle name="40% - Accent3 15" xfId="989" xr:uid="{00000000-0005-0000-0000-0000D7030000}"/>
    <cellStyle name="40% - Accent3 16" xfId="990" xr:uid="{00000000-0005-0000-0000-0000D8030000}"/>
    <cellStyle name="40% - Accent3 17" xfId="991" xr:uid="{00000000-0005-0000-0000-0000D9030000}"/>
    <cellStyle name="40% - Accent3 18" xfId="992" xr:uid="{00000000-0005-0000-0000-0000DA030000}"/>
    <cellStyle name="40% - Accent3 19" xfId="993" xr:uid="{00000000-0005-0000-0000-0000DB030000}"/>
    <cellStyle name="40% - Accent3 2" xfId="994" xr:uid="{00000000-0005-0000-0000-0000DC030000}"/>
    <cellStyle name="40% - Accent3 2 10" xfId="995" xr:uid="{00000000-0005-0000-0000-0000DD030000}"/>
    <cellStyle name="40% - Accent3 2 11" xfId="996" xr:uid="{00000000-0005-0000-0000-0000DE030000}"/>
    <cellStyle name="40% - Accent3 2 12" xfId="997" xr:uid="{00000000-0005-0000-0000-0000DF030000}"/>
    <cellStyle name="40% - Accent3 2 13" xfId="998" xr:uid="{00000000-0005-0000-0000-0000E0030000}"/>
    <cellStyle name="40% - Accent3 2 14" xfId="999" xr:uid="{00000000-0005-0000-0000-0000E1030000}"/>
    <cellStyle name="40% - Accent3 2 2" xfId="1000" xr:uid="{00000000-0005-0000-0000-0000E2030000}"/>
    <cellStyle name="40% - Accent3 2 2 2" xfId="1001" xr:uid="{00000000-0005-0000-0000-0000E3030000}"/>
    <cellStyle name="40% - Accent3 2 3" xfId="1002" xr:uid="{00000000-0005-0000-0000-0000E4030000}"/>
    <cellStyle name="40% - Accent3 2 3 2" xfId="1003" xr:uid="{00000000-0005-0000-0000-0000E5030000}"/>
    <cellStyle name="40% - Accent3 2 4" xfId="1004" xr:uid="{00000000-0005-0000-0000-0000E6030000}"/>
    <cellStyle name="40% - Accent3 2 4 2" xfId="1005" xr:uid="{00000000-0005-0000-0000-0000E7030000}"/>
    <cellStyle name="40% - Accent3 2 5" xfId="1006" xr:uid="{00000000-0005-0000-0000-0000E8030000}"/>
    <cellStyle name="40% - Accent3 2 5 2" xfId="1007" xr:uid="{00000000-0005-0000-0000-0000E9030000}"/>
    <cellStyle name="40% - Accent3 2 6" xfId="1008" xr:uid="{00000000-0005-0000-0000-0000EA030000}"/>
    <cellStyle name="40% - Accent3 2 7" xfId="1009" xr:uid="{00000000-0005-0000-0000-0000EB030000}"/>
    <cellStyle name="40% - Accent3 2 8" xfId="1010" xr:uid="{00000000-0005-0000-0000-0000EC030000}"/>
    <cellStyle name="40% - Accent3 2 9" xfId="1011" xr:uid="{00000000-0005-0000-0000-0000ED030000}"/>
    <cellStyle name="40% - Accent3 20" xfId="1012" xr:uid="{00000000-0005-0000-0000-0000EE030000}"/>
    <cellStyle name="40% - Accent3 21" xfId="1013" xr:uid="{00000000-0005-0000-0000-0000EF030000}"/>
    <cellStyle name="40% - Accent3 22" xfId="1014" xr:uid="{00000000-0005-0000-0000-0000F0030000}"/>
    <cellStyle name="40% - Accent3 23" xfId="1015" xr:uid="{00000000-0005-0000-0000-0000F1030000}"/>
    <cellStyle name="40% - Accent3 3" xfId="1016" xr:uid="{00000000-0005-0000-0000-0000F2030000}"/>
    <cellStyle name="40% - Accent3 3 2" xfId="1017" xr:uid="{00000000-0005-0000-0000-0000F3030000}"/>
    <cellStyle name="40% - Accent3 3 2 2" xfId="1018" xr:uid="{00000000-0005-0000-0000-0000F4030000}"/>
    <cellStyle name="40% - Accent3 3 3" xfId="1019" xr:uid="{00000000-0005-0000-0000-0000F5030000}"/>
    <cellStyle name="40% - Accent3 3 3 2" xfId="1020" xr:uid="{00000000-0005-0000-0000-0000F6030000}"/>
    <cellStyle name="40% - Accent3 3 4" xfId="1021" xr:uid="{00000000-0005-0000-0000-0000F7030000}"/>
    <cellStyle name="40% - Accent3 3 4 2" xfId="1022" xr:uid="{00000000-0005-0000-0000-0000F8030000}"/>
    <cellStyle name="40% - Accent3 3 5" xfId="1023" xr:uid="{00000000-0005-0000-0000-0000F9030000}"/>
    <cellStyle name="40% - Accent3 3 5 2" xfId="1024" xr:uid="{00000000-0005-0000-0000-0000FA030000}"/>
    <cellStyle name="40% - Accent3 3 6" xfId="1025" xr:uid="{00000000-0005-0000-0000-0000FB030000}"/>
    <cellStyle name="40% - Accent3 3 7" xfId="1026" xr:uid="{00000000-0005-0000-0000-0000FC030000}"/>
    <cellStyle name="40% - Accent3 3 8" xfId="1027" xr:uid="{00000000-0005-0000-0000-0000FD030000}"/>
    <cellStyle name="40% - Accent3 3 9" xfId="1028" xr:uid="{00000000-0005-0000-0000-0000FE030000}"/>
    <cellStyle name="40% - Accent3 4" xfId="1029" xr:uid="{00000000-0005-0000-0000-0000FF030000}"/>
    <cellStyle name="40% - Accent3 4 2" xfId="1030" xr:uid="{00000000-0005-0000-0000-000000040000}"/>
    <cellStyle name="40% - Accent3 4 2 2" xfId="1031" xr:uid="{00000000-0005-0000-0000-000001040000}"/>
    <cellStyle name="40% - Accent3 4 3" xfId="1032" xr:uid="{00000000-0005-0000-0000-000002040000}"/>
    <cellStyle name="40% - Accent3 4 3 2" xfId="1033" xr:uid="{00000000-0005-0000-0000-000003040000}"/>
    <cellStyle name="40% - Accent3 4 4" xfId="1034" xr:uid="{00000000-0005-0000-0000-000004040000}"/>
    <cellStyle name="40% - Accent3 4 4 2" xfId="1035" xr:uid="{00000000-0005-0000-0000-000005040000}"/>
    <cellStyle name="40% - Accent3 4 5" xfId="1036" xr:uid="{00000000-0005-0000-0000-000006040000}"/>
    <cellStyle name="40% - Accent3 4 5 2" xfId="1037" xr:uid="{00000000-0005-0000-0000-000007040000}"/>
    <cellStyle name="40% - Accent3 4 6" xfId="1038" xr:uid="{00000000-0005-0000-0000-000008040000}"/>
    <cellStyle name="40% - Accent3 4 7" xfId="1039" xr:uid="{00000000-0005-0000-0000-000009040000}"/>
    <cellStyle name="40% - Accent3 4 8" xfId="1040" xr:uid="{00000000-0005-0000-0000-00000A040000}"/>
    <cellStyle name="40% - Accent3 4 9" xfId="1041" xr:uid="{00000000-0005-0000-0000-00000B040000}"/>
    <cellStyle name="40% - Accent3 5" xfId="1042" xr:uid="{00000000-0005-0000-0000-00000C040000}"/>
    <cellStyle name="40% - Accent3 5 2" xfId="1043" xr:uid="{00000000-0005-0000-0000-00000D040000}"/>
    <cellStyle name="40% - Accent3 5 2 2" xfId="1044" xr:uid="{00000000-0005-0000-0000-00000E040000}"/>
    <cellStyle name="40% - Accent3 5 3" xfId="1045" xr:uid="{00000000-0005-0000-0000-00000F040000}"/>
    <cellStyle name="40% - Accent3 5 3 2" xfId="1046" xr:uid="{00000000-0005-0000-0000-000010040000}"/>
    <cellStyle name="40% - Accent3 5 4" xfId="1047" xr:uid="{00000000-0005-0000-0000-000011040000}"/>
    <cellStyle name="40% - Accent3 5 5" xfId="1048" xr:uid="{00000000-0005-0000-0000-000012040000}"/>
    <cellStyle name="40% - Accent3 6" xfId="1049" xr:uid="{00000000-0005-0000-0000-000013040000}"/>
    <cellStyle name="40% - Accent3 6 2" xfId="1050" xr:uid="{00000000-0005-0000-0000-000014040000}"/>
    <cellStyle name="40% - Accent3 6 2 2" xfId="1051" xr:uid="{00000000-0005-0000-0000-000015040000}"/>
    <cellStyle name="40% - Accent3 6 3" xfId="1052" xr:uid="{00000000-0005-0000-0000-000016040000}"/>
    <cellStyle name="40% - Accent3 6 3 2" xfId="1053" xr:uid="{00000000-0005-0000-0000-000017040000}"/>
    <cellStyle name="40% - Accent3 6 4" xfId="1054" xr:uid="{00000000-0005-0000-0000-000018040000}"/>
    <cellStyle name="40% - Accent3 6 5" xfId="1055" xr:uid="{00000000-0005-0000-0000-000019040000}"/>
    <cellStyle name="40% - Accent3 7" xfId="1056" xr:uid="{00000000-0005-0000-0000-00001A040000}"/>
    <cellStyle name="40% - Accent3 7 2" xfId="1057" xr:uid="{00000000-0005-0000-0000-00001B040000}"/>
    <cellStyle name="40% - Accent3 7 2 2" xfId="1058" xr:uid="{00000000-0005-0000-0000-00001C040000}"/>
    <cellStyle name="40% - Accent3 7 3" xfId="1059" xr:uid="{00000000-0005-0000-0000-00001D040000}"/>
    <cellStyle name="40% - Accent3 7 3 2" xfId="1060" xr:uid="{00000000-0005-0000-0000-00001E040000}"/>
    <cellStyle name="40% - Accent3 7 4" xfId="1061" xr:uid="{00000000-0005-0000-0000-00001F040000}"/>
    <cellStyle name="40% - Accent3 7 5" xfId="1062" xr:uid="{00000000-0005-0000-0000-000020040000}"/>
    <cellStyle name="40% - Accent3 8" xfId="1063" xr:uid="{00000000-0005-0000-0000-000021040000}"/>
    <cellStyle name="40% - Accent3 8 2" xfId="1064" xr:uid="{00000000-0005-0000-0000-000022040000}"/>
    <cellStyle name="40% - Accent3 8 2 2" xfId="1065" xr:uid="{00000000-0005-0000-0000-000023040000}"/>
    <cellStyle name="40% - Accent3 8 3" xfId="1066" xr:uid="{00000000-0005-0000-0000-000024040000}"/>
    <cellStyle name="40% - Accent3 8 3 2" xfId="1067" xr:uid="{00000000-0005-0000-0000-000025040000}"/>
    <cellStyle name="40% - Accent3 8 4" xfId="1068" xr:uid="{00000000-0005-0000-0000-000026040000}"/>
    <cellStyle name="40% - Accent3 8 5" xfId="1069" xr:uid="{00000000-0005-0000-0000-000027040000}"/>
    <cellStyle name="40% - Accent3 9" xfId="1070" xr:uid="{00000000-0005-0000-0000-000028040000}"/>
    <cellStyle name="40% - Accent3 9 2" xfId="1071" xr:uid="{00000000-0005-0000-0000-000029040000}"/>
    <cellStyle name="40% - Accent3 9 2 2" xfId="1072" xr:uid="{00000000-0005-0000-0000-00002A040000}"/>
    <cellStyle name="40% - Accent3 9 3" xfId="1073" xr:uid="{00000000-0005-0000-0000-00002B040000}"/>
    <cellStyle name="40% - Accent3 9 3 2" xfId="1074" xr:uid="{00000000-0005-0000-0000-00002C040000}"/>
    <cellStyle name="40% - Accent3 9 4" xfId="1075" xr:uid="{00000000-0005-0000-0000-00002D040000}"/>
    <cellStyle name="40% - Accent3 9 5" xfId="1076" xr:uid="{00000000-0005-0000-0000-00002E040000}"/>
    <cellStyle name="40% - Accent4 10" xfId="1077" xr:uid="{00000000-0005-0000-0000-00002F040000}"/>
    <cellStyle name="40% - Accent4 10 2" xfId="1078" xr:uid="{00000000-0005-0000-0000-000030040000}"/>
    <cellStyle name="40% - Accent4 10 2 2" xfId="1079" xr:uid="{00000000-0005-0000-0000-000031040000}"/>
    <cellStyle name="40% - Accent4 10 3" xfId="1080" xr:uid="{00000000-0005-0000-0000-000032040000}"/>
    <cellStyle name="40% - Accent4 10 3 2" xfId="1081" xr:uid="{00000000-0005-0000-0000-000033040000}"/>
    <cellStyle name="40% - Accent4 10 4" xfId="1082" xr:uid="{00000000-0005-0000-0000-000034040000}"/>
    <cellStyle name="40% - Accent4 10 5" xfId="1083" xr:uid="{00000000-0005-0000-0000-000035040000}"/>
    <cellStyle name="40% - Accent4 11" xfId="1084" xr:uid="{00000000-0005-0000-0000-000036040000}"/>
    <cellStyle name="40% - Accent4 11 2" xfId="1085" xr:uid="{00000000-0005-0000-0000-000037040000}"/>
    <cellStyle name="40% - Accent4 11 2 2" xfId="1086" xr:uid="{00000000-0005-0000-0000-000038040000}"/>
    <cellStyle name="40% - Accent4 11 3" xfId="1087" xr:uid="{00000000-0005-0000-0000-000039040000}"/>
    <cellStyle name="40% - Accent4 11 3 2" xfId="1088" xr:uid="{00000000-0005-0000-0000-00003A040000}"/>
    <cellStyle name="40% - Accent4 11 4" xfId="1089" xr:uid="{00000000-0005-0000-0000-00003B040000}"/>
    <cellStyle name="40% - Accent4 11 5" xfId="1090" xr:uid="{00000000-0005-0000-0000-00003C040000}"/>
    <cellStyle name="40% - Accent4 12" xfId="1091" xr:uid="{00000000-0005-0000-0000-00003D040000}"/>
    <cellStyle name="40% - Accent4 12 2" xfId="1092" xr:uid="{00000000-0005-0000-0000-00003E040000}"/>
    <cellStyle name="40% - Accent4 12 2 2" xfId="1093" xr:uid="{00000000-0005-0000-0000-00003F040000}"/>
    <cellStyle name="40% - Accent4 12 3" xfId="1094" xr:uid="{00000000-0005-0000-0000-000040040000}"/>
    <cellStyle name="40% - Accent4 12 3 2" xfId="1095" xr:uid="{00000000-0005-0000-0000-000041040000}"/>
    <cellStyle name="40% - Accent4 12 4" xfId="1096" xr:uid="{00000000-0005-0000-0000-000042040000}"/>
    <cellStyle name="40% - Accent4 12 5" xfId="1097" xr:uid="{00000000-0005-0000-0000-000043040000}"/>
    <cellStyle name="40% - Accent4 13" xfId="1098" xr:uid="{00000000-0005-0000-0000-000044040000}"/>
    <cellStyle name="40% - Accent4 13 2" xfId="1099" xr:uid="{00000000-0005-0000-0000-000045040000}"/>
    <cellStyle name="40% - Accent4 13 2 2" xfId="1100" xr:uid="{00000000-0005-0000-0000-000046040000}"/>
    <cellStyle name="40% - Accent4 13 3" xfId="1101" xr:uid="{00000000-0005-0000-0000-000047040000}"/>
    <cellStyle name="40% - Accent4 13 4" xfId="1102" xr:uid="{00000000-0005-0000-0000-000048040000}"/>
    <cellStyle name="40% - Accent4 14" xfId="1103" xr:uid="{00000000-0005-0000-0000-000049040000}"/>
    <cellStyle name="40% - Accent4 14 2" xfId="1104" xr:uid="{00000000-0005-0000-0000-00004A040000}"/>
    <cellStyle name="40% - Accent4 14 2 2" xfId="1105" xr:uid="{00000000-0005-0000-0000-00004B040000}"/>
    <cellStyle name="40% - Accent4 14 3" xfId="1106" xr:uid="{00000000-0005-0000-0000-00004C040000}"/>
    <cellStyle name="40% - Accent4 14 4" xfId="1107" xr:uid="{00000000-0005-0000-0000-00004D040000}"/>
    <cellStyle name="40% - Accent4 15" xfId="1108" xr:uid="{00000000-0005-0000-0000-00004E040000}"/>
    <cellStyle name="40% - Accent4 16" xfId="1109" xr:uid="{00000000-0005-0000-0000-00004F040000}"/>
    <cellStyle name="40% - Accent4 17" xfId="1110" xr:uid="{00000000-0005-0000-0000-000050040000}"/>
    <cellStyle name="40% - Accent4 18" xfId="1111" xr:uid="{00000000-0005-0000-0000-000051040000}"/>
    <cellStyle name="40% - Accent4 19" xfId="1112" xr:uid="{00000000-0005-0000-0000-000052040000}"/>
    <cellStyle name="40% - Accent4 2" xfId="1113" xr:uid="{00000000-0005-0000-0000-000053040000}"/>
    <cellStyle name="40% - Accent4 2 10" xfId="1114" xr:uid="{00000000-0005-0000-0000-000054040000}"/>
    <cellStyle name="40% - Accent4 2 11" xfId="1115" xr:uid="{00000000-0005-0000-0000-000055040000}"/>
    <cellStyle name="40% - Accent4 2 12" xfId="1116" xr:uid="{00000000-0005-0000-0000-000056040000}"/>
    <cellStyle name="40% - Accent4 2 13" xfId="1117" xr:uid="{00000000-0005-0000-0000-000057040000}"/>
    <cellStyle name="40% - Accent4 2 14" xfId="1118" xr:uid="{00000000-0005-0000-0000-000058040000}"/>
    <cellStyle name="40% - Accent4 2 2" xfId="1119" xr:uid="{00000000-0005-0000-0000-000059040000}"/>
    <cellStyle name="40% - Accent4 2 2 2" xfId="1120" xr:uid="{00000000-0005-0000-0000-00005A040000}"/>
    <cellStyle name="40% - Accent4 2 3" xfId="1121" xr:uid="{00000000-0005-0000-0000-00005B040000}"/>
    <cellStyle name="40% - Accent4 2 3 2" xfId="1122" xr:uid="{00000000-0005-0000-0000-00005C040000}"/>
    <cellStyle name="40% - Accent4 2 4" xfId="1123" xr:uid="{00000000-0005-0000-0000-00005D040000}"/>
    <cellStyle name="40% - Accent4 2 4 2" xfId="1124" xr:uid="{00000000-0005-0000-0000-00005E040000}"/>
    <cellStyle name="40% - Accent4 2 5" xfId="1125" xr:uid="{00000000-0005-0000-0000-00005F040000}"/>
    <cellStyle name="40% - Accent4 2 5 2" xfId="1126" xr:uid="{00000000-0005-0000-0000-000060040000}"/>
    <cellStyle name="40% - Accent4 2 6" xfId="1127" xr:uid="{00000000-0005-0000-0000-000061040000}"/>
    <cellStyle name="40% - Accent4 2 7" xfId="1128" xr:uid="{00000000-0005-0000-0000-000062040000}"/>
    <cellStyle name="40% - Accent4 2 8" xfId="1129" xr:uid="{00000000-0005-0000-0000-000063040000}"/>
    <cellStyle name="40% - Accent4 2 9" xfId="1130" xr:uid="{00000000-0005-0000-0000-000064040000}"/>
    <cellStyle name="40% - Accent4 20" xfId="1131" xr:uid="{00000000-0005-0000-0000-000065040000}"/>
    <cellStyle name="40% - Accent4 21" xfId="1132" xr:uid="{00000000-0005-0000-0000-000066040000}"/>
    <cellStyle name="40% - Accent4 22" xfId="1133" xr:uid="{00000000-0005-0000-0000-000067040000}"/>
    <cellStyle name="40% - Accent4 23" xfId="1134" xr:uid="{00000000-0005-0000-0000-000068040000}"/>
    <cellStyle name="40% - Accent4 3" xfId="1135" xr:uid="{00000000-0005-0000-0000-000069040000}"/>
    <cellStyle name="40% - Accent4 3 2" xfId="1136" xr:uid="{00000000-0005-0000-0000-00006A040000}"/>
    <cellStyle name="40% - Accent4 3 2 2" xfId="1137" xr:uid="{00000000-0005-0000-0000-00006B040000}"/>
    <cellStyle name="40% - Accent4 3 3" xfId="1138" xr:uid="{00000000-0005-0000-0000-00006C040000}"/>
    <cellStyle name="40% - Accent4 3 3 2" xfId="1139" xr:uid="{00000000-0005-0000-0000-00006D040000}"/>
    <cellStyle name="40% - Accent4 3 4" xfId="1140" xr:uid="{00000000-0005-0000-0000-00006E040000}"/>
    <cellStyle name="40% - Accent4 3 4 2" xfId="1141" xr:uid="{00000000-0005-0000-0000-00006F040000}"/>
    <cellStyle name="40% - Accent4 3 5" xfId="1142" xr:uid="{00000000-0005-0000-0000-000070040000}"/>
    <cellStyle name="40% - Accent4 3 5 2" xfId="1143" xr:uid="{00000000-0005-0000-0000-000071040000}"/>
    <cellStyle name="40% - Accent4 3 6" xfId="1144" xr:uid="{00000000-0005-0000-0000-000072040000}"/>
    <cellStyle name="40% - Accent4 3 7" xfId="1145" xr:uid="{00000000-0005-0000-0000-000073040000}"/>
    <cellStyle name="40% - Accent4 3 8" xfId="1146" xr:uid="{00000000-0005-0000-0000-000074040000}"/>
    <cellStyle name="40% - Accent4 3 9" xfId="1147" xr:uid="{00000000-0005-0000-0000-000075040000}"/>
    <cellStyle name="40% - Accent4 4" xfId="1148" xr:uid="{00000000-0005-0000-0000-000076040000}"/>
    <cellStyle name="40% - Accent4 4 2" xfId="1149" xr:uid="{00000000-0005-0000-0000-000077040000}"/>
    <cellStyle name="40% - Accent4 4 2 2" xfId="1150" xr:uid="{00000000-0005-0000-0000-000078040000}"/>
    <cellStyle name="40% - Accent4 4 3" xfId="1151" xr:uid="{00000000-0005-0000-0000-000079040000}"/>
    <cellStyle name="40% - Accent4 4 3 2" xfId="1152" xr:uid="{00000000-0005-0000-0000-00007A040000}"/>
    <cellStyle name="40% - Accent4 4 4" xfId="1153" xr:uid="{00000000-0005-0000-0000-00007B040000}"/>
    <cellStyle name="40% - Accent4 4 4 2" xfId="1154" xr:uid="{00000000-0005-0000-0000-00007C040000}"/>
    <cellStyle name="40% - Accent4 4 5" xfId="1155" xr:uid="{00000000-0005-0000-0000-00007D040000}"/>
    <cellStyle name="40% - Accent4 4 5 2" xfId="1156" xr:uid="{00000000-0005-0000-0000-00007E040000}"/>
    <cellStyle name="40% - Accent4 4 6" xfId="1157" xr:uid="{00000000-0005-0000-0000-00007F040000}"/>
    <cellStyle name="40% - Accent4 4 7" xfId="1158" xr:uid="{00000000-0005-0000-0000-000080040000}"/>
    <cellStyle name="40% - Accent4 4 8" xfId="1159" xr:uid="{00000000-0005-0000-0000-000081040000}"/>
    <cellStyle name="40% - Accent4 4 9" xfId="1160" xr:uid="{00000000-0005-0000-0000-000082040000}"/>
    <cellStyle name="40% - Accent4 5" xfId="1161" xr:uid="{00000000-0005-0000-0000-000083040000}"/>
    <cellStyle name="40% - Accent4 5 2" xfId="1162" xr:uid="{00000000-0005-0000-0000-000084040000}"/>
    <cellStyle name="40% - Accent4 5 2 2" xfId="1163" xr:uid="{00000000-0005-0000-0000-000085040000}"/>
    <cellStyle name="40% - Accent4 5 3" xfId="1164" xr:uid="{00000000-0005-0000-0000-000086040000}"/>
    <cellStyle name="40% - Accent4 5 3 2" xfId="1165" xr:uid="{00000000-0005-0000-0000-000087040000}"/>
    <cellStyle name="40% - Accent4 5 4" xfId="1166" xr:uid="{00000000-0005-0000-0000-000088040000}"/>
    <cellStyle name="40% - Accent4 5 5" xfId="1167" xr:uid="{00000000-0005-0000-0000-000089040000}"/>
    <cellStyle name="40% - Accent4 6" xfId="1168" xr:uid="{00000000-0005-0000-0000-00008A040000}"/>
    <cellStyle name="40% - Accent4 6 2" xfId="1169" xr:uid="{00000000-0005-0000-0000-00008B040000}"/>
    <cellStyle name="40% - Accent4 6 2 2" xfId="1170" xr:uid="{00000000-0005-0000-0000-00008C040000}"/>
    <cellStyle name="40% - Accent4 6 3" xfId="1171" xr:uid="{00000000-0005-0000-0000-00008D040000}"/>
    <cellStyle name="40% - Accent4 6 3 2" xfId="1172" xr:uid="{00000000-0005-0000-0000-00008E040000}"/>
    <cellStyle name="40% - Accent4 6 4" xfId="1173" xr:uid="{00000000-0005-0000-0000-00008F040000}"/>
    <cellStyle name="40% - Accent4 6 5" xfId="1174" xr:uid="{00000000-0005-0000-0000-000090040000}"/>
    <cellStyle name="40% - Accent4 7" xfId="1175" xr:uid="{00000000-0005-0000-0000-000091040000}"/>
    <cellStyle name="40% - Accent4 7 2" xfId="1176" xr:uid="{00000000-0005-0000-0000-000092040000}"/>
    <cellStyle name="40% - Accent4 7 2 2" xfId="1177" xr:uid="{00000000-0005-0000-0000-000093040000}"/>
    <cellStyle name="40% - Accent4 7 3" xfId="1178" xr:uid="{00000000-0005-0000-0000-000094040000}"/>
    <cellStyle name="40% - Accent4 7 3 2" xfId="1179" xr:uid="{00000000-0005-0000-0000-000095040000}"/>
    <cellStyle name="40% - Accent4 7 4" xfId="1180" xr:uid="{00000000-0005-0000-0000-000096040000}"/>
    <cellStyle name="40% - Accent4 7 5" xfId="1181" xr:uid="{00000000-0005-0000-0000-000097040000}"/>
    <cellStyle name="40% - Accent4 8" xfId="1182" xr:uid="{00000000-0005-0000-0000-000098040000}"/>
    <cellStyle name="40% - Accent4 8 2" xfId="1183" xr:uid="{00000000-0005-0000-0000-000099040000}"/>
    <cellStyle name="40% - Accent4 8 2 2" xfId="1184" xr:uid="{00000000-0005-0000-0000-00009A040000}"/>
    <cellStyle name="40% - Accent4 8 3" xfId="1185" xr:uid="{00000000-0005-0000-0000-00009B040000}"/>
    <cellStyle name="40% - Accent4 8 3 2" xfId="1186" xr:uid="{00000000-0005-0000-0000-00009C040000}"/>
    <cellStyle name="40% - Accent4 8 4" xfId="1187" xr:uid="{00000000-0005-0000-0000-00009D040000}"/>
    <cellStyle name="40% - Accent4 8 5" xfId="1188" xr:uid="{00000000-0005-0000-0000-00009E040000}"/>
    <cellStyle name="40% - Accent4 9" xfId="1189" xr:uid="{00000000-0005-0000-0000-00009F040000}"/>
    <cellStyle name="40% - Accent4 9 2" xfId="1190" xr:uid="{00000000-0005-0000-0000-0000A0040000}"/>
    <cellStyle name="40% - Accent4 9 2 2" xfId="1191" xr:uid="{00000000-0005-0000-0000-0000A1040000}"/>
    <cellStyle name="40% - Accent4 9 3" xfId="1192" xr:uid="{00000000-0005-0000-0000-0000A2040000}"/>
    <cellStyle name="40% - Accent4 9 3 2" xfId="1193" xr:uid="{00000000-0005-0000-0000-0000A3040000}"/>
    <cellStyle name="40% - Accent4 9 4" xfId="1194" xr:uid="{00000000-0005-0000-0000-0000A4040000}"/>
    <cellStyle name="40% - Accent4 9 5" xfId="1195" xr:uid="{00000000-0005-0000-0000-0000A5040000}"/>
    <cellStyle name="40% - Accent5 10" xfId="1196" xr:uid="{00000000-0005-0000-0000-0000A6040000}"/>
    <cellStyle name="40% - Accent5 10 2" xfId="1197" xr:uid="{00000000-0005-0000-0000-0000A7040000}"/>
    <cellStyle name="40% - Accent5 10 2 2" xfId="1198" xr:uid="{00000000-0005-0000-0000-0000A8040000}"/>
    <cellStyle name="40% - Accent5 10 3" xfId="1199" xr:uid="{00000000-0005-0000-0000-0000A9040000}"/>
    <cellStyle name="40% - Accent5 10 3 2" xfId="1200" xr:uid="{00000000-0005-0000-0000-0000AA040000}"/>
    <cellStyle name="40% - Accent5 10 4" xfId="1201" xr:uid="{00000000-0005-0000-0000-0000AB040000}"/>
    <cellStyle name="40% - Accent5 10 5" xfId="1202" xr:uid="{00000000-0005-0000-0000-0000AC040000}"/>
    <cellStyle name="40% - Accent5 11" xfId="1203" xr:uid="{00000000-0005-0000-0000-0000AD040000}"/>
    <cellStyle name="40% - Accent5 11 2" xfId="1204" xr:uid="{00000000-0005-0000-0000-0000AE040000}"/>
    <cellStyle name="40% - Accent5 11 2 2" xfId="1205" xr:uid="{00000000-0005-0000-0000-0000AF040000}"/>
    <cellStyle name="40% - Accent5 11 3" xfId="1206" xr:uid="{00000000-0005-0000-0000-0000B0040000}"/>
    <cellStyle name="40% - Accent5 11 3 2" xfId="1207" xr:uid="{00000000-0005-0000-0000-0000B1040000}"/>
    <cellStyle name="40% - Accent5 11 4" xfId="1208" xr:uid="{00000000-0005-0000-0000-0000B2040000}"/>
    <cellStyle name="40% - Accent5 11 5" xfId="1209" xr:uid="{00000000-0005-0000-0000-0000B3040000}"/>
    <cellStyle name="40% - Accent5 12" xfId="1210" xr:uid="{00000000-0005-0000-0000-0000B4040000}"/>
    <cellStyle name="40% - Accent5 12 2" xfId="1211" xr:uid="{00000000-0005-0000-0000-0000B5040000}"/>
    <cellStyle name="40% - Accent5 12 2 2" xfId="1212" xr:uid="{00000000-0005-0000-0000-0000B6040000}"/>
    <cellStyle name="40% - Accent5 12 3" xfId="1213" xr:uid="{00000000-0005-0000-0000-0000B7040000}"/>
    <cellStyle name="40% - Accent5 12 3 2" xfId="1214" xr:uid="{00000000-0005-0000-0000-0000B8040000}"/>
    <cellStyle name="40% - Accent5 12 4" xfId="1215" xr:uid="{00000000-0005-0000-0000-0000B9040000}"/>
    <cellStyle name="40% - Accent5 12 5" xfId="1216" xr:uid="{00000000-0005-0000-0000-0000BA040000}"/>
    <cellStyle name="40% - Accent5 13" xfId="1217" xr:uid="{00000000-0005-0000-0000-0000BB040000}"/>
    <cellStyle name="40% - Accent5 13 2" xfId="1218" xr:uid="{00000000-0005-0000-0000-0000BC040000}"/>
    <cellStyle name="40% - Accent5 13 2 2" xfId="1219" xr:uid="{00000000-0005-0000-0000-0000BD040000}"/>
    <cellStyle name="40% - Accent5 13 3" xfId="1220" xr:uid="{00000000-0005-0000-0000-0000BE040000}"/>
    <cellStyle name="40% - Accent5 13 4" xfId="1221" xr:uid="{00000000-0005-0000-0000-0000BF040000}"/>
    <cellStyle name="40% - Accent5 14" xfId="1222" xr:uid="{00000000-0005-0000-0000-0000C0040000}"/>
    <cellStyle name="40% - Accent5 14 2" xfId="1223" xr:uid="{00000000-0005-0000-0000-0000C1040000}"/>
    <cellStyle name="40% - Accent5 14 2 2" xfId="1224" xr:uid="{00000000-0005-0000-0000-0000C2040000}"/>
    <cellStyle name="40% - Accent5 14 3" xfId="1225" xr:uid="{00000000-0005-0000-0000-0000C3040000}"/>
    <cellStyle name="40% - Accent5 14 4" xfId="1226" xr:uid="{00000000-0005-0000-0000-0000C4040000}"/>
    <cellStyle name="40% - Accent5 15" xfId="1227" xr:uid="{00000000-0005-0000-0000-0000C5040000}"/>
    <cellStyle name="40% - Accent5 16" xfId="1228" xr:uid="{00000000-0005-0000-0000-0000C6040000}"/>
    <cellStyle name="40% - Accent5 17" xfId="1229" xr:uid="{00000000-0005-0000-0000-0000C7040000}"/>
    <cellStyle name="40% - Accent5 18" xfId="1230" xr:uid="{00000000-0005-0000-0000-0000C8040000}"/>
    <cellStyle name="40% - Accent5 19" xfId="1231" xr:uid="{00000000-0005-0000-0000-0000C9040000}"/>
    <cellStyle name="40% - Accent5 2" xfId="1232" xr:uid="{00000000-0005-0000-0000-0000CA040000}"/>
    <cellStyle name="40% - Accent5 2 10" xfId="1233" xr:uid="{00000000-0005-0000-0000-0000CB040000}"/>
    <cellStyle name="40% - Accent5 2 11" xfId="1234" xr:uid="{00000000-0005-0000-0000-0000CC040000}"/>
    <cellStyle name="40% - Accent5 2 12" xfId="1235" xr:uid="{00000000-0005-0000-0000-0000CD040000}"/>
    <cellStyle name="40% - Accent5 2 13" xfId="1236" xr:uid="{00000000-0005-0000-0000-0000CE040000}"/>
    <cellStyle name="40% - Accent5 2 14" xfId="1237" xr:uid="{00000000-0005-0000-0000-0000CF040000}"/>
    <cellStyle name="40% - Accent5 2 2" xfId="1238" xr:uid="{00000000-0005-0000-0000-0000D0040000}"/>
    <cellStyle name="40% - Accent5 2 2 2" xfId="1239" xr:uid="{00000000-0005-0000-0000-0000D1040000}"/>
    <cellStyle name="40% - Accent5 2 3" xfId="1240" xr:uid="{00000000-0005-0000-0000-0000D2040000}"/>
    <cellStyle name="40% - Accent5 2 3 2" xfId="1241" xr:uid="{00000000-0005-0000-0000-0000D3040000}"/>
    <cellStyle name="40% - Accent5 2 4" xfId="1242" xr:uid="{00000000-0005-0000-0000-0000D4040000}"/>
    <cellStyle name="40% - Accent5 2 4 2" xfId="1243" xr:uid="{00000000-0005-0000-0000-0000D5040000}"/>
    <cellStyle name="40% - Accent5 2 5" xfId="1244" xr:uid="{00000000-0005-0000-0000-0000D6040000}"/>
    <cellStyle name="40% - Accent5 2 5 2" xfId="1245" xr:uid="{00000000-0005-0000-0000-0000D7040000}"/>
    <cellStyle name="40% - Accent5 2 6" xfId="1246" xr:uid="{00000000-0005-0000-0000-0000D8040000}"/>
    <cellStyle name="40% - Accent5 2 7" xfId="1247" xr:uid="{00000000-0005-0000-0000-0000D9040000}"/>
    <cellStyle name="40% - Accent5 2 8" xfId="1248" xr:uid="{00000000-0005-0000-0000-0000DA040000}"/>
    <cellStyle name="40% - Accent5 2 9" xfId="1249" xr:uid="{00000000-0005-0000-0000-0000DB040000}"/>
    <cellStyle name="40% - Accent5 20" xfId="1250" xr:uid="{00000000-0005-0000-0000-0000DC040000}"/>
    <cellStyle name="40% - Accent5 21" xfId="1251" xr:uid="{00000000-0005-0000-0000-0000DD040000}"/>
    <cellStyle name="40% - Accent5 22" xfId="1252" xr:uid="{00000000-0005-0000-0000-0000DE040000}"/>
    <cellStyle name="40% - Accent5 23" xfId="1253" xr:uid="{00000000-0005-0000-0000-0000DF040000}"/>
    <cellStyle name="40% - Accent5 3" xfId="1254" xr:uid="{00000000-0005-0000-0000-0000E0040000}"/>
    <cellStyle name="40% - Accent5 3 2" xfId="1255" xr:uid="{00000000-0005-0000-0000-0000E1040000}"/>
    <cellStyle name="40% - Accent5 3 2 2" xfId="1256" xr:uid="{00000000-0005-0000-0000-0000E2040000}"/>
    <cellStyle name="40% - Accent5 3 3" xfId="1257" xr:uid="{00000000-0005-0000-0000-0000E3040000}"/>
    <cellStyle name="40% - Accent5 3 3 2" xfId="1258" xr:uid="{00000000-0005-0000-0000-0000E4040000}"/>
    <cellStyle name="40% - Accent5 3 4" xfId="1259" xr:uid="{00000000-0005-0000-0000-0000E5040000}"/>
    <cellStyle name="40% - Accent5 3 4 2" xfId="1260" xr:uid="{00000000-0005-0000-0000-0000E6040000}"/>
    <cellStyle name="40% - Accent5 3 5" xfId="1261" xr:uid="{00000000-0005-0000-0000-0000E7040000}"/>
    <cellStyle name="40% - Accent5 3 5 2" xfId="1262" xr:uid="{00000000-0005-0000-0000-0000E8040000}"/>
    <cellStyle name="40% - Accent5 3 6" xfId="1263" xr:uid="{00000000-0005-0000-0000-0000E9040000}"/>
    <cellStyle name="40% - Accent5 3 7" xfId="1264" xr:uid="{00000000-0005-0000-0000-0000EA040000}"/>
    <cellStyle name="40% - Accent5 3 8" xfId="1265" xr:uid="{00000000-0005-0000-0000-0000EB040000}"/>
    <cellStyle name="40% - Accent5 3 9" xfId="1266" xr:uid="{00000000-0005-0000-0000-0000EC040000}"/>
    <cellStyle name="40% - Accent5 4" xfId="1267" xr:uid="{00000000-0005-0000-0000-0000ED040000}"/>
    <cellStyle name="40% - Accent5 4 2" xfId="1268" xr:uid="{00000000-0005-0000-0000-0000EE040000}"/>
    <cellStyle name="40% - Accent5 4 2 2" xfId="1269" xr:uid="{00000000-0005-0000-0000-0000EF040000}"/>
    <cellStyle name="40% - Accent5 4 3" xfId="1270" xr:uid="{00000000-0005-0000-0000-0000F0040000}"/>
    <cellStyle name="40% - Accent5 4 3 2" xfId="1271" xr:uid="{00000000-0005-0000-0000-0000F1040000}"/>
    <cellStyle name="40% - Accent5 4 4" xfId="1272" xr:uid="{00000000-0005-0000-0000-0000F2040000}"/>
    <cellStyle name="40% - Accent5 4 4 2" xfId="1273" xr:uid="{00000000-0005-0000-0000-0000F3040000}"/>
    <cellStyle name="40% - Accent5 4 5" xfId="1274" xr:uid="{00000000-0005-0000-0000-0000F4040000}"/>
    <cellStyle name="40% - Accent5 4 5 2" xfId="1275" xr:uid="{00000000-0005-0000-0000-0000F5040000}"/>
    <cellStyle name="40% - Accent5 4 6" xfId="1276" xr:uid="{00000000-0005-0000-0000-0000F6040000}"/>
    <cellStyle name="40% - Accent5 4 7" xfId="1277" xr:uid="{00000000-0005-0000-0000-0000F7040000}"/>
    <cellStyle name="40% - Accent5 4 8" xfId="1278" xr:uid="{00000000-0005-0000-0000-0000F8040000}"/>
    <cellStyle name="40% - Accent5 4 9" xfId="1279" xr:uid="{00000000-0005-0000-0000-0000F9040000}"/>
    <cellStyle name="40% - Accent5 5" xfId="1280" xr:uid="{00000000-0005-0000-0000-0000FA040000}"/>
    <cellStyle name="40% - Accent5 5 2" xfId="1281" xr:uid="{00000000-0005-0000-0000-0000FB040000}"/>
    <cellStyle name="40% - Accent5 5 2 2" xfId="1282" xr:uid="{00000000-0005-0000-0000-0000FC040000}"/>
    <cellStyle name="40% - Accent5 5 3" xfId="1283" xr:uid="{00000000-0005-0000-0000-0000FD040000}"/>
    <cellStyle name="40% - Accent5 5 3 2" xfId="1284" xr:uid="{00000000-0005-0000-0000-0000FE040000}"/>
    <cellStyle name="40% - Accent5 5 4" xfId="1285" xr:uid="{00000000-0005-0000-0000-0000FF040000}"/>
    <cellStyle name="40% - Accent5 5 5" xfId="1286" xr:uid="{00000000-0005-0000-0000-000000050000}"/>
    <cellStyle name="40% - Accent5 6" xfId="1287" xr:uid="{00000000-0005-0000-0000-000001050000}"/>
    <cellStyle name="40% - Accent5 6 2" xfId="1288" xr:uid="{00000000-0005-0000-0000-000002050000}"/>
    <cellStyle name="40% - Accent5 6 2 2" xfId="1289" xr:uid="{00000000-0005-0000-0000-000003050000}"/>
    <cellStyle name="40% - Accent5 6 3" xfId="1290" xr:uid="{00000000-0005-0000-0000-000004050000}"/>
    <cellStyle name="40% - Accent5 6 3 2" xfId="1291" xr:uid="{00000000-0005-0000-0000-000005050000}"/>
    <cellStyle name="40% - Accent5 6 4" xfId="1292" xr:uid="{00000000-0005-0000-0000-000006050000}"/>
    <cellStyle name="40% - Accent5 6 5" xfId="1293" xr:uid="{00000000-0005-0000-0000-000007050000}"/>
    <cellStyle name="40% - Accent5 7" xfId="1294" xr:uid="{00000000-0005-0000-0000-000008050000}"/>
    <cellStyle name="40% - Accent5 7 2" xfId="1295" xr:uid="{00000000-0005-0000-0000-000009050000}"/>
    <cellStyle name="40% - Accent5 7 2 2" xfId="1296" xr:uid="{00000000-0005-0000-0000-00000A050000}"/>
    <cellStyle name="40% - Accent5 7 3" xfId="1297" xr:uid="{00000000-0005-0000-0000-00000B050000}"/>
    <cellStyle name="40% - Accent5 7 3 2" xfId="1298" xr:uid="{00000000-0005-0000-0000-00000C050000}"/>
    <cellStyle name="40% - Accent5 7 4" xfId="1299" xr:uid="{00000000-0005-0000-0000-00000D050000}"/>
    <cellStyle name="40% - Accent5 7 5" xfId="1300" xr:uid="{00000000-0005-0000-0000-00000E050000}"/>
    <cellStyle name="40% - Accent5 8" xfId="1301" xr:uid="{00000000-0005-0000-0000-00000F050000}"/>
    <cellStyle name="40% - Accent5 8 2" xfId="1302" xr:uid="{00000000-0005-0000-0000-000010050000}"/>
    <cellStyle name="40% - Accent5 8 2 2" xfId="1303" xr:uid="{00000000-0005-0000-0000-000011050000}"/>
    <cellStyle name="40% - Accent5 8 3" xfId="1304" xr:uid="{00000000-0005-0000-0000-000012050000}"/>
    <cellStyle name="40% - Accent5 8 3 2" xfId="1305" xr:uid="{00000000-0005-0000-0000-000013050000}"/>
    <cellStyle name="40% - Accent5 8 4" xfId="1306" xr:uid="{00000000-0005-0000-0000-000014050000}"/>
    <cellStyle name="40% - Accent5 8 5" xfId="1307" xr:uid="{00000000-0005-0000-0000-000015050000}"/>
    <cellStyle name="40% - Accent5 9" xfId="1308" xr:uid="{00000000-0005-0000-0000-000016050000}"/>
    <cellStyle name="40% - Accent5 9 2" xfId="1309" xr:uid="{00000000-0005-0000-0000-000017050000}"/>
    <cellStyle name="40% - Accent5 9 2 2" xfId="1310" xr:uid="{00000000-0005-0000-0000-000018050000}"/>
    <cellStyle name="40% - Accent5 9 3" xfId="1311" xr:uid="{00000000-0005-0000-0000-000019050000}"/>
    <cellStyle name="40% - Accent5 9 3 2" xfId="1312" xr:uid="{00000000-0005-0000-0000-00001A050000}"/>
    <cellStyle name="40% - Accent5 9 4" xfId="1313" xr:uid="{00000000-0005-0000-0000-00001B050000}"/>
    <cellStyle name="40% - Accent5 9 5" xfId="1314" xr:uid="{00000000-0005-0000-0000-00001C050000}"/>
    <cellStyle name="40% - Accent6 10" xfId="1315" xr:uid="{00000000-0005-0000-0000-00001D050000}"/>
    <cellStyle name="40% - Accent6 10 2" xfId="1316" xr:uid="{00000000-0005-0000-0000-00001E050000}"/>
    <cellStyle name="40% - Accent6 10 2 2" xfId="1317" xr:uid="{00000000-0005-0000-0000-00001F050000}"/>
    <cellStyle name="40% - Accent6 10 3" xfId="1318" xr:uid="{00000000-0005-0000-0000-000020050000}"/>
    <cellStyle name="40% - Accent6 10 3 2" xfId="1319" xr:uid="{00000000-0005-0000-0000-000021050000}"/>
    <cellStyle name="40% - Accent6 10 4" xfId="1320" xr:uid="{00000000-0005-0000-0000-000022050000}"/>
    <cellStyle name="40% - Accent6 10 5" xfId="1321" xr:uid="{00000000-0005-0000-0000-000023050000}"/>
    <cellStyle name="40% - Accent6 11" xfId="1322" xr:uid="{00000000-0005-0000-0000-000024050000}"/>
    <cellStyle name="40% - Accent6 11 2" xfId="1323" xr:uid="{00000000-0005-0000-0000-000025050000}"/>
    <cellStyle name="40% - Accent6 11 2 2" xfId="1324" xr:uid="{00000000-0005-0000-0000-000026050000}"/>
    <cellStyle name="40% - Accent6 11 3" xfId="1325" xr:uid="{00000000-0005-0000-0000-000027050000}"/>
    <cellStyle name="40% - Accent6 11 3 2" xfId="1326" xr:uid="{00000000-0005-0000-0000-000028050000}"/>
    <cellStyle name="40% - Accent6 11 4" xfId="1327" xr:uid="{00000000-0005-0000-0000-000029050000}"/>
    <cellStyle name="40% - Accent6 11 5" xfId="1328" xr:uid="{00000000-0005-0000-0000-00002A050000}"/>
    <cellStyle name="40% - Accent6 12" xfId="1329" xr:uid="{00000000-0005-0000-0000-00002B050000}"/>
    <cellStyle name="40% - Accent6 12 2" xfId="1330" xr:uid="{00000000-0005-0000-0000-00002C050000}"/>
    <cellStyle name="40% - Accent6 12 2 2" xfId="1331" xr:uid="{00000000-0005-0000-0000-00002D050000}"/>
    <cellStyle name="40% - Accent6 12 3" xfId="1332" xr:uid="{00000000-0005-0000-0000-00002E050000}"/>
    <cellStyle name="40% - Accent6 12 3 2" xfId="1333" xr:uid="{00000000-0005-0000-0000-00002F050000}"/>
    <cellStyle name="40% - Accent6 12 4" xfId="1334" xr:uid="{00000000-0005-0000-0000-000030050000}"/>
    <cellStyle name="40% - Accent6 12 5" xfId="1335" xr:uid="{00000000-0005-0000-0000-000031050000}"/>
    <cellStyle name="40% - Accent6 13" xfId="1336" xr:uid="{00000000-0005-0000-0000-000032050000}"/>
    <cellStyle name="40% - Accent6 13 2" xfId="1337" xr:uid="{00000000-0005-0000-0000-000033050000}"/>
    <cellStyle name="40% - Accent6 13 2 2" xfId="1338" xr:uid="{00000000-0005-0000-0000-000034050000}"/>
    <cellStyle name="40% - Accent6 13 3" xfId="1339" xr:uid="{00000000-0005-0000-0000-000035050000}"/>
    <cellStyle name="40% - Accent6 13 4" xfId="1340" xr:uid="{00000000-0005-0000-0000-000036050000}"/>
    <cellStyle name="40% - Accent6 14" xfId="1341" xr:uid="{00000000-0005-0000-0000-000037050000}"/>
    <cellStyle name="40% - Accent6 14 2" xfId="1342" xr:uid="{00000000-0005-0000-0000-000038050000}"/>
    <cellStyle name="40% - Accent6 14 2 2" xfId="1343" xr:uid="{00000000-0005-0000-0000-000039050000}"/>
    <cellStyle name="40% - Accent6 14 3" xfId="1344" xr:uid="{00000000-0005-0000-0000-00003A050000}"/>
    <cellStyle name="40% - Accent6 14 4" xfId="1345" xr:uid="{00000000-0005-0000-0000-00003B050000}"/>
    <cellStyle name="40% - Accent6 15" xfId="1346" xr:uid="{00000000-0005-0000-0000-00003C050000}"/>
    <cellStyle name="40% - Accent6 16" xfId="1347" xr:uid="{00000000-0005-0000-0000-00003D050000}"/>
    <cellStyle name="40% - Accent6 17" xfId="1348" xr:uid="{00000000-0005-0000-0000-00003E050000}"/>
    <cellStyle name="40% - Accent6 18" xfId="1349" xr:uid="{00000000-0005-0000-0000-00003F050000}"/>
    <cellStyle name="40% - Accent6 19" xfId="1350" xr:uid="{00000000-0005-0000-0000-000040050000}"/>
    <cellStyle name="40% - Accent6 2" xfId="1351" xr:uid="{00000000-0005-0000-0000-000041050000}"/>
    <cellStyle name="40% - Accent6 2 10" xfId="1352" xr:uid="{00000000-0005-0000-0000-000042050000}"/>
    <cellStyle name="40% - Accent6 2 11" xfId="1353" xr:uid="{00000000-0005-0000-0000-000043050000}"/>
    <cellStyle name="40% - Accent6 2 12" xfId="1354" xr:uid="{00000000-0005-0000-0000-000044050000}"/>
    <cellStyle name="40% - Accent6 2 13" xfId="1355" xr:uid="{00000000-0005-0000-0000-000045050000}"/>
    <cellStyle name="40% - Accent6 2 14" xfId="1356" xr:uid="{00000000-0005-0000-0000-000046050000}"/>
    <cellStyle name="40% - Accent6 2 2" xfId="1357" xr:uid="{00000000-0005-0000-0000-000047050000}"/>
    <cellStyle name="40% - Accent6 2 2 2" xfId="1358" xr:uid="{00000000-0005-0000-0000-000048050000}"/>
    <cellStyle name="40% - Accent6 2 3" xfId="1359" xr:uid="{00000000-0005-0000-0000-000049050000}"/>
    <cellStyle name="40% - Accent6 2 3 2" xfId="1360" xr:uid="{00000000-0005-0000-0000-00004A050000}"/>
    <cellStyle name="40% - Accent6 2 4" xfId="1361" xr:uid="{00000000-0005-0000-0000-00004B050000}"/>
    <cellStyle name="40% - Accent6 2 4 2" xfId="1362" xr:uid="{00000000-0005-0000-0000-00004C050000}"/>
    <cellStyle name="40% - Accent6 2 5" xfId="1363" xr:uid="{00000000-0005-0000-0000-00004D050000}"/>
    <cellStyle name="40% - Accent6 2 5 2" xfId="1364" xr:uid="{00000000-0005-0000-0000-00004E050000}"/>
    <cellStyle name="40% - Accent6 2 6" xfId="1365" xr:uid="{00000000-0005-0000-0000-00004F050000}"/>
    <cellStyle name="40% - Accent6 2 7" xfId="1366" xr:uid="{00000000-0005-0000-0000-000050050000}"/>
    <cellStyle name="40% - Accent6 2 8" xfId="1367" xr:uid="{00000000-0005-0000-0000-000051050000}"/>
    <cellStyle name="40% - Accent6 2 9" xfId="1368" xr:uid="{00000000-0005-0000-0000-000052050000}"/>
    <cellStyle name="40% - Accent6 20" xfId="1369" xr:uid="{00000000-0005-0000-0000-000053050000}"/>
    <cellStyle name="40% - Accent6 21" xfId="1370" xr:uid="{00000000-0005-0000-0000-000054050000}"/>
    <cellStyle name="40% - Accent6 22" xfId="1371" xr:uid="{00000000-0005-0000-0000-000055050000}"/>
    <cellStyle name="40% - Accent6 23" xfId="1372" xr:uid="{00000000-0005-0000-0000-000056050000}"/>
    <cellStyle name="40% - Accent6 3" xfId="1373" xr:uid="{00000000-0005-0000-0000-000057050000}"/>
    <cellStyle name="40% - Accent6 3 2" xfId="1374" xr:uid="{00000000-0005-0000-0000-000058050000}"/>
    <cellStyle name="40% - Accent6 3 2 2" xfId="1375" xr:uid="{00000000-0005-0000-0000-000059050000}"/>
    <cellStyle name="40% - Accent6 3 3" xfId="1376" xr:uid="{00000000-0005-0000-0000-00005A050000}"/>
    <cellStyle name="40% - Accent6 3 3 2" xfId="1377" xr:uid="{00000000-0005-0000-0000-00005B050000}"/>
    <cellStyle name="40% - Accent6 3 4" xfId="1378" xr:uid="{00000000-0005-0000-0000-00005C050000}"/>
    <cellStyle name="40% - Accent6 3 4 2" xfId="1379" xr:uid="{00000000-0005-0000-0000-00005D050000}"/>
    <cellStyle name="40% - Accent6 3 5" xfId="1380" xr:uid="{00000000-0005-0000-0000-00005E050000}"/>
    <cellStyle name="40% - Accent6 3 5 2" xfId="1381" xr:uid="{00000000-0005-0000-0000-00005F050000}"/>
    <cellStyle name="40% - Accent6 3 6" xfId="1382" xr:uid="{00000000-0005-0000-0000-000060050000}"/>
    <cellStyle name="40% - Accent6 3 7" xfId="1383" xr:uid="{00000000-0005-0000-0000-000061050000}"/>
    <cellStyle name="40% - Accent6 3 8" xfId="1384" xr:uid="{00000000-0005-0000-0000-000062050000}"/>
    <cellStyle name="40% - Accent6 3 9" xfId="1385" xr:uid="{00000000-0005-0000-0000-000063050000}"/>
    <cellStyle name="40% - Accent6 4" xfId="1386" xr:uid="{00000000-0005-0000-0000-000064050000}"/>
    <cellStyle name="40% - Accent6 4 2" xfId="1387" xr:uid="{00000000-0005-0000-0000-000065050000}"/>
    <cellStyle name="40% - Accent6 4 2 2" xfId="1388" xr:uid="{00000000-0005-0000-0000-000066050000}"/>
    <cellStyle name="40% - Accent6 4 3" xfId="1389" xr:uid="{00000000-0005-0000-0000-000067050000}"/>
    <cellStyle name="40% - Accent6 4 3 2" xfId="1390" xr:uid="{00000000-0005-0000-0000-000068050000}"/>
    <cellStyle name="40% - Accent6 4 4" xfId="1391" xr:uid="{00000000-0005-0000-0000-000069050000}"/>
    <cellStyle name="40% - Accent6 4 4 2" xfId="1392" xr:uid="{00000000-0005-0000-0000-00006A050000}"/>
    <cellStyle name="40% - Accent6 4 5" xfId="1393" xr:uid="{00000000-0005-0000-0000-00006B050000}"/>
    <cellStyle name="40% - Accent6 4 5 2" xfId="1394" xr:uid="{00000000-0005-0000-0000-00006C050000}"/>
    <cellStyle name="40% - Accent6 4 6" xfId="1395" xr:uid="{00000000-0005-0000-0000-00006D050000}"/>
    <cellStyle name="40% - Accent6 4 7" xfId="1396" xr:uid="{00000000-0005-0000-0000-00006E050000}"/>
    <cellStyle name="40% - Accent6 4 8" xfId="1397" xr:uid="{00000000-0005-0000-0000-00006F050000}"/>
    <cellStyle name="40% - Accent6 4 9" xfId="1398" xr:uid="{00000000-0005-0000-0000-000070050000}"/>
    <cellStyle name="40% - Accent6 5" xfId="1399" xr:uid="{00000000-0005-0000-0000-000071050000}"/>
    <cellStyle name="40% - Accent6 5 2" xfId="1400" xr:uid="{00000000-0005-0000-0000-000072050000}"/>
    <cellStyle name="40% - Accent6 5 2 2" xfId="1401" xr:uid="{00000000-0005-0000-0000-000073050000}"/>
    <cellStyle name="40% - Accent6 5 3" xfId="1402" xr:uid="{00000000-0005-0000-0000-000074050000}"/>
    <cellStyle name="40% - Accent6 5 3 2" xfId="1403" xr:uid="{00000000-0005-0000-0000-000075050000}"/>
    <cellStyle name="40% - Accent6 5 4" xfId="1404" xr:uid="{00000000-0005-0000-0000-000076050000}"/>
    <cellStyle name="40% - Accent6 5 5" xfId="1405" xr:uid="{00000000-0005-0000-0000-000077050000}"/>
    <cellStyle name="40% - Accent6 6" xfId="1406" xr:uid="{00000000-0005-0000-0000-000078050000}"/>
    <cellStyle name="40% - Accent6 6 2" xfId="1407" xr:uid="{00000000-0005-0000-0000-000079050000}"/>
    <cellStyle name="40% - Accent6 6 2 2" xfId="1408" xr:uid="{00000000-0005-0000-0000-00007A050000}"/>
    <cellStyle name="40% - Accent6 6 3" xfId="1409" xr:uid="{00000000-0005-0000-0000-00007B050000}"/>
    <cellStyle name="40% - Accent6 6 3 2" xfId="1410" xr:uid="{00000000-0005-0000-0000-00007C050000}"/>
    <cellStyle name="40% - Accent6 6 4" xfId="1411" xr:uid="{00000000-0005-0000-0000-00007D050000}"/>
    <cellStyle name="40% - Accent6 6 5" xfId="1412" xr:uid="{00000000-0005-0000-0000-00007E050000}"/>
    <cellStyle name="40% - Accent6 7" xfId="1413" xr:uid="{00000000-0005-0000-0000-00007F050000}"/>
    <cellStyle name="40% - Accent6 7 2" xfId="1414" xr:uid="{00000000-0005-0000-0000-000080050000}"/>
    <cellStyle name="40% - Accent6 7 2 2" xfId="1415" xr:uid="{00000000-0005-0000-0000-000081050000}"/>
    <cellStyle name="40% - Accent6 7 3" xfId="1416" xr:uid="{00000000-0005-0000-0000-000082050000}"/>
    <cellStyle name="40% - Accent6 7 3 2" xfId="1417" xr:uid="{00000000-0005-0000-0000-000083050000}"/>
    <cellStyle name="40% - Accent6 7 4" xfId="1418" xr:uid="{00000000-0005-0000-0000-000084050000}"/>
    <cellStyle name="40% - Accent6 7 5" xfId="1419" xr:uid="{00000000-0005-0000-0000-000085050000}"/>
    <cellStyle name="40% - Accent6 8" xfId="1420" xr:uid="{00000000-0005-0000-0000-000086050000}"/>
    <cellStyle name="40% - Accent6 8 2" xfId="1421" xr:uid="{00000000-0005-0000-0000-000087050000}"/>
    <cellStyle name="40% - Accent6 8 2 2" xfId="1422" xr:uid="{00000000-0005-0000-0000-000088050000}"/>
    <cellStyle name="40% - Accent6 8 3" xfId="1423" xr:uid="{00000000-0005-0000-0000-000089050000}"/>
    <cellStyle name="40% - Accent6 8 3 2" xfId="1424" xr:uid="{00000000-0005-0000-0000-00008A050000}"/>
    <cellStyle name="40% - Accent6 8 4" xfId="1425" xr:uid="{00000000-0005-0000-0000-00008B050000}"/>
    <cellStyle name="40% - Accent6 8 5" xfId="1426" xr:uid="{00000000-0005-0000-0000-00008C050000}"/>
    <cellStyle name="40% - Accent6 9" xfId="1427" xr:uid="{00000000-0005-0000-0000-00008D050000}"/>
    <cellStyle name="40% - Accent6 9 2" xfId="1428" xr:uid="{00000000-0005-0000-0000-00008E050000}"/>
    <cellStyle name="40% - Accent6 9 2 2" xfId="1429" xr:uid="{00000000-0005-0000-0000-00008F050000}"/>
    <cellStyle name="40% - Accent6 9 3" xfId="1430" xr:uid="{00000000-0005-0000-0000-000090050000}"/>
    <cellStyle name="40% - Accent6 9 3 2" xfId="1431" xr:uid="{00000000-0005-0000-0000-000091050000}"/>
    <cellStyle name="40% - Accent6 9 4" xfId="1432" xr:uid="{00000000-0005-0000-0000-000092050000}"/>
    <cellStyle name="40% - Accent6 9 5" xfId="1433" xr:uid="{00000000-0005-0000-0000-000093050000}"/>
    <cellStyle name="60% - Accent1 10" xfId="1434" xr:uid="{00000000-0005-0000-0000-000094050000}"/>
    <cellStyle name="60% - Accent1 11" xfId="1435" xr:uid="{00000000-0005-0000-0000-000095050000}"/>
    <cellStyle name="60% - Accent1 12" xfId="1436" xr:uid="{00000000-0005-0000-0000-000096050000}"/>
    <cellStyle name="60% - Accent1 2" xfId="1437" xr:uid="{00000000-0005-0000-0000-000097050000}"/>
    <cellStyle name="60% - Accent1 2 10" xfId="1438" xr:uid="{00000000-0005-0000-0000-000098050000}"/>
    <cellStyle name="60% - Accent1 2 2" xfId="1439" xr:uid="{00000000-0005-0000-0000-000099050000}"/>
    <cellStyle name="60% - Accent1 2 2 2" xfId="1440" xr:uid="{00000000-0005-0000-0000-00009A050000}"/>
    <cellStyle name="60% - Accent1 2 2 2 2" xfId="1441" xr:uid="{00000000-0005-0000-0000-00009B050000}"/>
    <cellStyle name="60% - Accent1 2 2 2 2 2" xfId="1442" xr:uid="{00000000-0005-0000-0000-00009C050000}"/>
    <cellStyle name="60% - Accent1 2 2 2 3" xfId="1443" xr:uid="{00000000-0005-0000-0000-00009D050000}"/>
    <cellStyle name="60% - Accent1 2 2 2 3 2" xfId="1444" xr:uid="{00000000-0005-0000-0000-00009E050000}"/>
    <cellStyle name="60% - Accent1 2 2 2 4" xfId="1445" xr:uid="{00000000-0005-0000-0000-00009F050000}"/>
    <cellStyle name="60% - Accent1 2 2 2 5" xfId="1446" xr:uid="{00000000-0005-0000-0000-0000A0050000}"/>
    <cellStyle name="60% - Accent1 2 2 2 6" xfId="1447" xr:uid="{00000000-0005-0000-0000-0000A1050000}"/>
    <cellStyle name="60% - Accent1 2 2 2 7" xfId="1448" xr:uid="{00000000-0005-0000-0000-0000A2050000}"/>
    <cellStyle name="60% - Accent1 2 2 2 8" xfId="1449" xr:uid="{00000000-0005-0000-0000-0000A3050000}"/>
    <cellStyle name="60% - Accent1 2 2 2 9" xfId="1450" xr:uid="{00000000-0005-0000-0000-0000A4050000}"/>
    <cellStyle name="60% - Accent1 2 2 3" xfId="1451" xr:uid="{00000000-0005-0000-0000-0000A5050000}"/>
    <cellStyle name="60% - Accent1 2 2 3 2" xfId="1452" xr:uid="{00000000-0005-0000-0000-0000A6050000}"/>
    <cellStyle name="60% - Accent1 2 2 4" xfId="1453" xr:uid="{00000000-0005-0000-0000-0000A7050000}"/>
    <cellStyle name="60% - Accent1 2 2 5" xfId="1454" xr:uid="{00000000-0005-0000-0000-0000A8050000}"/>
    <cellStyle name="60% - Accent1 2 2 6" xfId="1455" xr:uid="{00000000-0005-0000-0000-0000A9050000}"/>
    <cellStyle name="60% - Accent1 2 2 7" xfId="1456" xr:uid="{00000000-0005-0000-0000-0000AA050000}"/>
    <cellStyle name="60% - Accent1 2 2 8" xfId="1457" xr:uid="{00000000-0005-0000-0000-0000AB050000}"/>
    <cellStyle name="60% - Accent1 2 2 9" xfId="1458" xr:uid="{00000000-0005-0000-0000-0000AC050000}"/>
    <cellStyle name="60% - Accent1 2 3" xfId="1459" xr:uid="{00000000-0005-0000-0000-0000AD050000}"/>
    <cellStyle name="60% - Accent1 2 3 2" xfId="1460" xr:uid="{00000000-0005-0000-0000-0000AE050000}"/>
    <cellStyle name="60% - Accent1 2 4" xfId="1461" xr:uid="{00000000-0005-0000-0000-0000AF050000}"/>
    <cellStyle name="60% - Accent1 2 4 2" xfId="1462" xr:uid="{00000000-0005-0000-0000-0000B0050000}"/>
    <cellStyle name="60% - Accent1 2 5" xfId="1463" xr:uid="{00000000-0005-0000-0000-0000B1050000}"/>
    <cellStyle name="60% - Accent1 2 6" xfId="1464" xr:uid="{00000000-0005-0000-0000-0000B2050000}"/>
    <cellStyle name="60% - Accent1 2 7" xfId="1465" xr:uid="{00000000-0005-0000-0000-0000B3050000}"/>
    <cellStyle name="60% - Accent1 2 8" xfId="1466" xr:uid="{00000000-0005-0000-0000-0000B4050000}"/>
    <cellStyle name="60% - Accent1 2 9" xfId="1467" xr:uid="{00000000-0005-0000-0000-0000B5050000}"/>
    <cellStyle name="60% - Accent1 3" xfId="1468" xr:uid="{00000000-0005-0000-0000-0000B6050000}"/>
    <cellStyle name="60% - Accent1 3 2" xfId="1469" xr:uid="{00000000-0005-0000-0000-0000B7050000}"/>
    <cellStyle name="60% - Accent1 4" xfId="1470" xr:uid="{00000000-0005-0000-0000-0000B8050000}"/>
    <cellStyle name="60% - Accent1 4 2" xfId="1471" xr:uid="{00000000-0005-0000-0000-0000B9050000}"/>
    <cellStyle name="60% - Accent1 5" xfId="1472" xr:uid="{00000000-0005-0000-0000-0000BA050000}"/>
    <cellStyle name="60% - Accent1 5 2" xfId="1473" xr:uid="{00000000-0005-0000-0000-0000BB050000}"/>
    <cellStyle name="60% - Accent1 6" xfId="1474" xr:uid="{00000000-0005-0000-0000-0000BC050000}"/>
    <cellStyle name="60% - Accent1 7" xfId="1475" xr:uid="{00000000-0005-0000-0000-0000BD050000}"/>
    <cellStyle name="60% - Accent1 8" xfId="1476" xr:uid="{00000000-0005-0000-0000-0000BE050000}"/>
    <cellStyle name="60% - Accent1 9" xfId="1477" xr:uid="{00000000-0005-0000-0000-0000BF050000}"/>
    <cellStyle name="60% - Accent2 10" xfId="1478" xr:uid="{00000000-0005-0000-0000-0000C0050000}"/>
    <cellStyle name="60% - Accent2 11" xfId="1479" xr:uid="{00000000-0005-0000-0000-0000C1050000}"/>
    <cellStyle name="60% - Accent2 12" xfId="1480" xr:uid="{00000000-0005-0000-0000-0000C2050000}"/>
    <cellStyle name="60% - Accent2 2" xfId="1481" xr:uid="{00000000-0005-0000-0000-0000C3050000}"/>
    <cellStyle name="60% - Accent2 2 10" xfId="1482" xr:uid="{00000000-0005-0000-0000-0000C4050000}"/>
    <cellStyle name="60% - Accent2 2 2" xfId="1483" xr:uid="{00000000-0005-0000-0000-0000C5050000}"/>
    <cellStyle name="60% - Accent2 2 2 2" xfId="1484" xr:uid="{00000000-0005-0000-0000-0000C6050000}"/>
    <cellStyle name="60% - Accent2 2 2 2 2" xfId="1485" xr:uid="{00000000-0005-0000-0000-0000C7050000}"/>
    <cellStyle name="60% - Accent2 2 2 2 2 2" xfId="1486" xr:uid="{00000000-0005-0000-0000-0000C8050000}"/>
    <cellStyle name="60% - Accent2 2 2 2 3" xfId="1487" xr:uid="{00000000-0005-0000-0000-0000C9050000}"/>
    <cellStyle name="60% - Accent2 2 2 2 3 2" xfId="1488" xr:uid="{00000000-0005-0000-0000-0000CA050000}"/>
    <cellStyle name="60% - Accent2 2 2 2 4" xfId="1489" xr:uid="{00000000-0005-0000-0000-0000CB050000}"/>
    <cellStyle name="60% - Accent2 2 2 2 5" xfId="1490" xr:uid="{00000000-0005-0000-0000-0000CC050000}"/>
    <cellStyle name="60% - Accent2 2 2 2 6" xfId="1491" xr:uid="{00000000-0005-0000-0000-0000CD050000}"/>
    <cellStyle name="60% - Accent2 2 2 2 7" xfId="1492" xr:uid="{00000000-0005-0000-0000-0000CE050000}"/>
    <cellStyle name="60% - Accent2 2 2 2 8" xfId="1493" xr:uid="{00000000-0005-0000-0000-0000CF050000}"/>
    <cellStyle name="60% - Accent2 2 2 2 9" xfId="1494" xr:uid="{00000000-0005-0000-0000-0000D0050000}"/>
    <cellStyle name="60% - Accent2 2 2 3" xfId="1495" xr:uid="{00000000-0005-0000-0000-0000D1050000}"/>
    <cellStyle name="60% - Accent2 2 2 3 2" xfId="1496" xr:uid="{00000000-0005-0000-0000-0000D2050000}"/>
    <cellStyle name="60% - Accent2 2 2 4" xfId="1497" xr:uid="{00000000-0005-0000-0000-0000D3050000}"/>
    <cellStyle name="60% - Accent2 2 2 5" xfId="1498" xr:uid="{00000000-0005-0000-0000-0000D4050000}"/>
    <cellStyle name="60% - Accent2 2 2 6" xfId="1499" xr:uid="{00000000-0005-0000-0000-0000D5050000}"/>
    <cellStyle name="60% - Accent2 2 2 7" xfId="1500" xr:uid="{00000000-0005-0000-0000-0000D6050000}"/>
    <cellStyle name="60% - Accent2 2 2 8" xfId="1501" xr:uid="{00000000-0005-0000-0000-0000D7050000}"/>
    <cellStyle name="60% - Accent2 2 2 9" xfId="1502" xr:uid="{00000000-0005-0000-0000-0000D8050000}"/>
    <cellStyle name="60% - Accent2 2 3" xfId="1503" xr:uid="{00000000-0005-0000-0000-0000D9050000}"/>
    <cellStyle name="60% - Accent2 2 3 2" xfId="1504" xr:uid="{00000000-0005-0000-0000-0000DA050000}"/>
    <cellStyle name="60% - Accent2 2 4" xfId="1505" xr:uid="{00000000-0005-0000-0000-0000DB050000}"/>
    <cellStyle name="60% - Accent2 2 4 2" xfId="1506" xr:uid="{00000000-0005-0000-0000-0000DC050000}"/>
    <cellStyle name="60% - Accent2 2 5" xfId="1507" xr:uid="{00000000-0005-0000-0000-0000DD050000}"/>
    <cellStyle name="60% - Accent2 2 6" xfId="1508" xr:uid="{00000000-0005-0000-0000-0000DE050000}"/>
    <cellStyle name="60% - Accent2 2 7" xfId="1509" xr:uid="{00000000-0005-0000-0000-0000DF050000}"/>
    <cellStyle name="60% - Accent2 2 8" xfId="1510" xr:uid="{00000000-0005-0000-0000-0000E0050000}"/>
    <cellStyle name="60% - Accent2 2 9" xfId="1511" xr:uid="{00000000-0005-0000-0000-0000E1050000}"/>
    <cellStyle name="60% - Accent2 3" xfId="1512" xr:uid="{00000000-0005-0000-0000-0000E2050000}"/>
    <cellStyle name="60% - Accent2 3 2" xfId="1513" xr:uid="{00000000-0005-0000-0000-0000E3050000}"/>
    <cellStyle name="60% - Accent2 4" xfId="1514" xr:uid="{00000000-0005-0000-0000-0000E4050000}"/>
    <cellStyle name="60% - Accent2 4 2" xfId="1515" xr:uid="{00000000-0005-0000-0000-0000E5050000}"/>
    <cellStyle name="60% - Accent2 5" xfId="1516" xr:uid="{00000000-0005-0000-0000-0000E6050000}"/>
    <cellStyle name="60% - Accent2 5 2" xfId="1517" xr:uid="{00000000-0005-0000-0000-0000E7050000}"/>
    <cellStyle name="60% - Accent2 6" xfId="1518" xr:uid="{00000000-0005-0000-0000-0000E8050000}"/>
    <cellStyle name="60% - Accent2 7" xfId="1519" xr:uid="{00000000-0005-0000-0000-0000E9050000}"/>
    <cellStyle name="60% - Accent2 8" xfId="1520" xr:uid="{00000000-0005-0000-0000-0000EA050000}"/>
    <cellStyle name="60% - Accent2 9" xfId="1521" xr:uid="{00000000-0005-0000-0000-0000EB050000}"/>
    <cellStyle name="60% - Accent3 10" xfId="1522" xr:uid="{00000000-0005-0000-0000-0000EC050000}"/>
    <cellStyle name="60% - Accent3 11" xfId="1523" xr:uid="{00000000-0005-0000-0000-0000ED050000}"/>
    <cellStyle name="60% - Accent3 12" xfId="1524" xr:uid="{00000000-0005-0000-0000-0000EE050000}"/>
    <cellStyle name="60% - Accent3 2" xfId="1525" xr:uid="{00000000-0005-0000-0000-0000EF050000}"/>
    <cellStyle name="60% - Accent3 2 10" xfId="1526" xr:uid="{00000000-0005-0000-0000-0000F0050000}"/>
    <cellStyle name="60% - Accent3 2 2" xfId="1527" xr:uid="{00000000-0005-0000-0000-0000F1050000}"/>
    <cellStyle name="60% - Accent3 2 2 2" xfId="1528" xr:uid="{00000000-0005-0000-0000-0000F2050000}"/>
    <cellStyle name="60% - Accent3 2 2 2 2" xfId="1529" xr:uid="{00000000-0005-0000-0000-0000F3050000}"/>
    <cellStyle name="60% - Accent3 2 2 2 2 2" xfId="1530" xr:uid="{00000000-0005-0000-0000-0000F4050000}"/>
    <cellStyle name="60% - Accent3 2 2 2 3" xfId="1531" xr:uid="{00000000-0005-0000-0000-0000F5050000}"/>
    <cellStyle name="60% - Accent3 2 2 2 3 2" xfId="1532" xr:uid="{00000000-0005-0000-0000-0000F6050000}"/>
    <cellStyle name="60% - Accent3 2 2 2 4" xfId="1533" xr:uid="{00000000-0005-0000-0000-0000F7050000}"/>
    <cellStyle name="60% - Accent3 2 2 2 5" xfId="1534" xr:uid="{00000000-0005-0000-0000-0000F8050000}"/>
    <cellStyle name="60% - Accent3 2 2 2 6" xfId="1535" xr:uid="{00000000-0005-0000-0000-0000F9050000}"/>
    <cellStyle name="60% - Accent3 2 2 2 7" xfId="1536" xr:uid="{00000000-0005-0000-0000-0000FA050000}"/>
    <cellStyle name="60% - Accent3 2 2 2 8" xfId="1537" xr:uid="{00000000-0005-0000-0000-0000FB050000}"/>
    <cellStyle name="60% - Accent3 2 2 2 9" xfId="1538" xr:uid="{00000000-0005-0000-0000-0000FC050000}"/>
    <cellStyle name="60% - Accent3 2 2 3" xfId="1539" xr:uid="{00000000-0005-0000-0000-0000FD050000}"/>
    <cellStyle name="60% - Accent3 2 2 3 2" xfId="1540" xr:uid="{00000000-0005-0000-0000-0000FE050000}"/>
    <cellStyle name="60% - Accent3 2 2 4" xfId="1541" xr:uid="{00000000-0005-0000-0000-0000FF050000}"/>
    <cellStyle name="60% - Accent3 2 2 5" xfId="1542" xr:uid="{00000000-0005-0000-0000-000000060000}"/>
    <cellStyle name="60% - Accent3 2 2 6" xfId="1543" xr:uid="{00000000-0005-0000-0000-000001060000}"/>
    <cellStyle name="60% - Accent3 2 2 7" xfId="1544" xr:uid="{00000000-0005-0000-0000-000002060000}"/>
    <cellStyle name="60% - Accent3 2 2 8" xfId="1545" xr:uid="{00000000-0005-0000-0000-000003060000}"/>
    <cellStyle name="60% - Accent3 2 2 9" xfId="1546" xr:uid="{00000000-0005-0000-0000-000004060000}"/>
    <cellStyle name="60% - Accent3 2 3" xfId="1547" xr:uid="{00000000-0005-0000-0000-000005060000}"/>
    <cellStyle name="60% - Accent3 2 3 2" xfId="1548" xr:uid="{00000000-0005-0000-0000-000006060000}"/>
    <cellStyle name="60% - Accent3 2 4" xfId="1549" xr:uid="{00000000-0005-0000-0000-000007060000}"/>
    <cellStyle name="60% - Accent3 2 4 2" xfId="1550" xr:uid="{00000000-0005-0000-0000-000008060000}"/>
    <cellStyle name="60% - Accent3 2 5" xfId="1551" xr:uid="{00000000-0005-0000-0000-000009060000}"/>
    <cellStyle name="60% - Accent3 2 6" xfId="1552" xr:uid="{00000000-0005-0000-0000-00000A060000}"/>
    <cellStyle name="60% - Accent3 2 7" xfId="1553" xr:uid="{00000000-0005-0000-0000-00000B060000}"/>
    <cellStyle name="60% - Accent3 2 8" xfId="1554" xr:uid="{00000000-0005-0000-0000-00000C060000}"/>
    <cellStyle name="60% - Accent3 2 9" xfId="1555" xr:uid="{00000000-0005-0000-0000-00000D060000}"/>
    <cellStyle name="60% - Accent3 3" xfId="1556" xr:uid="{00000000-0005-0000-0000-00000E060000}"/>
    <cellStyle name="60% - Accent3 3 2" xfId="1557" xr:uid="{00000000-0005-0000-0000-00000F060000}"/>
    <cellStyle name="60% - Accent3 4" xfId="1558" xr:uid="{00000000-0005-0000-0000-000010060000}"/>
    <cellStyle name="60% - Accent3 4 2" xfId="1559" xr:uid="{00000000-0005-0000-0000-000011060000}"/>
    <cellStyle name="60% - Accent3 5" xfId="1560" xr:uid="{00000000-0005-0000-0000-000012060000}"/>
    <cellStyle name="60% - Accent3 5 2" xfId="1561" xr:uid="{00000000-0005-0000-0000-000013060000}"/>
    <cellStyle name="60% - Accent3 6" xfId="1562" xr:uid="{00000000-0005-0000-0000-000014060000}"/>
    <cellStyle name="60% - Accent3 7" xfId="1563" xr:uid="{00000000-0005-0000-0000-000015060000}"/>
    <cellStyle name="60% - Accent3 8" xfId="1564" xr:uid="{00000000-0005-0000-0000-000016060000}"/>
    <cellStyle name="60% - Accent3 9" xfId="1565" xr:uid="{00000000-0005-0000-0000-000017060000}"/>
    <cellStyle name="60% - Accent4 10" xfId="1566" xr:uid="{00000000-0005-0000-0000-000018060000}"/>
    <cellStyle name="60% - Accent4 11" xfId="1567" xr:uid="{00000000-0005-0000-0000-000019060000}"/>
    <cellStyle name="60% - Accent4 12" xfId="1568" xr:uid="{00000000-0005-0000-0000-00001A060000}"/>
    <cellStyle name="60% - Accent4 2" xfId="1569" xr:uid="{00000000-0005-0000-0000-00001B060000}"/>
    <cellStyle name="60% - Accent4 2 10" xfId="1570" xr:uid="{00000000-0005-0000-0000-00001C060000}"/>
    <cellStyle name="60% - Accent4 2 2" xfId="1571" xr:uid="{00000000-0005-0000-0000-00001D060000}"/>
    <cellStyle name="60% - Accent4 2 2 2" xfId="1572" xr:uid="{00000000-0005-0000-0000-00001E060000}"/>
    <cellStyle name="60% - Accent4 2 2 2 2" xfId="1573" xr:uid="{00000000-0005-0000-0000-00001F060000}"/>
    <cellStyle name="60% - Accent4 2 2 2 2 2" xfId="1574" xr:uid="{00000000-0005-0000-0000-000020060000}"/>
    <cellStyle name="60% - Accent4 2 2 2 3" xfId="1575" xr:uid="{00000000-0005-0000-0000-000021060000}"/>
    <cellStyle name="60% - Accent4 2 2 2 3 2" xfId="1576" xr:uid="{00000000-0005-0000-0000-000022060000}"/>
    <cellStyle name="60% - Accent4 2 2 2 4" xfId="1577" xr:uid="{00000000-0005-0000-0000-000023060000}"/>
    <cellStyle name="60% - Accent4 2 2 2 5" xfId="1578" xr:uid="{00000000-0005-0000-0000-000024060000}"/>
    <cellStyle name="60% - Accent4 2 2 2 6" xfId="1579" xr:uid="{00000000-0005-0000-0000-000025060000}"/>
    <cellStyle name="60% - Accent4 2 2 2 7" xfId="1580" xr:uid="{00000000-0005-0000-0000-000026060000}"/>
    <cellStyle name="60% - Accent4 2 2 2 8" xfId="1581" xr:uid="{00000000-0005-0000-0000-000027060000}"/>
    <cellStyle name="60% - Accent4 2 2 2 9" xfId="1582" xr:uid="{00000000-0005-0000-0000-000028060000}"/>
    <cellStyle name="60% - Accent4 2 2 3" xfId="1583" xr:uid="{00000000-0005-0000-0000-000029060000}"/>
    <cellStyle name="60% - Accent4 2 2 3 2" xfId="1584" xr:uid="{00000000-0005-0000-0000-00002A060000}"/>
    <cellStyle name="60% - Accent4 2 2 4" xfId="1585" xr:uid="{00000000-0005-0000-0000-00002B060000}"/>
    <cellStyle name="60% - Accent4 2 2 5" xfId="1586" xr:uid="{00000000-0005-0000-0000-00002C060000}"/>
    <cellStyle name="60% - Accent4 2 2 6" xfId="1587" xr:uid="{00000000-0005-0000-0000-00002D060000}"/>
    <cellStyle name="60% - Accent4 2 2 7" xfId="1588" xr:uid="{00000000-0005-0000-0000-00002E060000}"/>
    <cellStyle name="60% - Accent4 2 2 8" xfId="1589" xr:uid="{00000000-0005-0000-0000-00002F060000}"/>
    <cellStyle name="60% - Accent4 2 2 9" xfId="1590" xr:uid="{00000000-0005-0000-0000-000030060000}"/>
    <cellStyle name="60% - Accent4 2 3" xfId="1591" xr:uid="{00000000-0005-0000-0000-000031060000}"/>
    <cellStyle name="60% - Accent4 2 3 2" xfId="1592" xr:uid="{00000000-0005-0000-0000-000032060000}"/>
    <cellStyle name="60% - Accent4 2 4" xfId="1593" xr:uid="{00000000-0005-0000-0000-000033060000}"/>
    <cellStyle name="60% - Accent4 2 4 2" xfId="1594" xr:uid="{00000000-0005-0000-0000-000034060000}"/>
    <cellStyle name="60% - Accent4 2 5" xfId="1595" xr:uid="{00000000-0005-0000-0000-000035060000}"/>
    <cellStyle name="60% - Accent4 2 6" xfId="1596" xr:uid="{00000000-0005-0000-0000-000036060000}"/>
    <cellStyle name="60% - Accent4 2 7" xfId="1597" xr:uid="{00000000-0005-0000-0000-000037060000}"/>
    <cellStyle name="60% - Accent4 2 8" xfId="1598" xr:uid="{00000000-0005-0000-0000-000038060000}"/>
    <cellStyle name="60% - Accent4 2 9" xfId="1599" xr:uid="{00000000-0005-0000-0000-000039060000}"/>
    <cellStyle name="60% - Accent4 3" xfId="1600" xr:uid="{00000000-0005-0000-0000-00003A060000}"/>
    <cellStyle name="60% - Accent4 3 2" xfId="1601" xr:uid="{00000000-0005-0000-0000-00003B060000}"/>
    <cellStyle name="60% - Accent4 4" xfId="1602" xr:uid="{00000000-0005-0000-0000-00003C060000}"/>
    <cellStyle name="60% - Accent4 4 2" xfId="1603" xr:uid="{00000000-0005-0000-0000-00003D060000}"/>
    <cellStyle name="60% - Accent4 5" xfId="1604" xr:uid="{00000000-0005-0000-0000-00003E060000}"/>
    <cellStyle name="60% - Accent4 5 2" xfId="1605" xr:uid="{00000000-0005-0000-0000-00003F060000}"/>
    <cellStyle name="60% - Accent4 6" xfId="1606" xr:uid="{00000000-0005-0000-0000-000040060000}"/>
    <cellStyle name="60% - Accent4 7" xfId="1607" xr:uid="{00000000-0005-0000-0000-000041060000}"/>
    <cellStyle name="60% - Accent4 8" xfId="1608" xr:uid="{00000000-0005-0000-0000-000042060000}"/>
    <cellStyle name="60% - Accent4 9" xfId="1609" xr:uid="{00000000-0005-0000-0000-000043060000}"/>
    <cellStyle name="60% - Accent5 10" xfId="1610" xr:uid="{00000000-0005-0000-0000-000044060000}"/>
    <cellStyle name="60% - Accent5 11" xfId="1611" xr:uid="{00000000-0005-0000-0000-000045060000}"/>
    <cellStyle name="60% - Accent5 12" xfId="1612" xr:uid="{00000000-0005-0000-0000-000046060000}"/>
    <cellStyle name="60% - Accent5 2" xfId="1613" xr:uid="{00000000-0005-0000-0000-000047060000}"/>
    <cellStyle name="60% - Accent5 2 10" xfId="1614" xr:uid="{00000000-0005-0000-0000-000048060000}"/>
    <cellStyle name="60% - Accent5 2 2" xfId="1615" xr:uid="{00000000-0005-0000-0000-000049060000}"/>
    <cellStyle name="60% - Accent5 2 2 2" xfId="1616" xr:uid="{00000000-0005-0000-0000-00004A060000}"/>
    <cellStyle name="60% - Accent5 2 2 2 2" xfId="1617" xr:uid="{00000000-0005-0000-0000-00004B060000}"/>
    <cellStyle name="60% - Accent5 2 2 2 2 2" xfId="1618" xr:uid="{00000000-0005-0000-0000-00004C060000}"/>
    <cellStyle name="60% - Accent5 2 2 2 3" xfId="1619" xr:uid="{00000000-0005-0000-0000-00004D060000}"/>
    <cellStyle name="60% - Accent5 2 2 2 3 2" xfId="1620" xr:uid="{00000000-0005-0000-0000-00004E060000}"/>
    <cellStyle name="60% - Accent5 2 2 2 4" xfId="1621" xr:uid="{00000000-0005-0000-0000-00004F060000}"/>
    <cellStyle name="60% - Accent5 2 2 2 5" xfId="1622" xr:uid="{00000000-0005-0000-0000-000050060000}"/>
    <cellStyle name="60% - Accent5 2 2 2 6" xfId="1623" xr:uid="{00000000-0005-0000-0000-000051060000}"/>
    <cellStyle name="60% - Accent5 2 2 2 7" xfId="1624" xr:uid="{00000000-0005-0000-0000-000052060000}"/>
    <cellStyle name="60% - Accent5 2 2 2 8" xfId="1625" xr:uid="{00000000-0005-0000-0000-000053060000}"/>
    <cellStyle name="60% - Accent5 2 2 2 9" xfId="1626" xr:uid="{00000000-0005-0000-0000-000054060000}"/>
    <cellStyle name="60% - Accent5 2 2 3" xfId="1627" xr:uid="{00000000-0005-0000-0000-000055060000}"/>
    <cellStyle name="60% - Accent5 2 2 3 2" xfId="1628" xr:uid="{00000000-0005-0000-0000-000056060000}"/>
    <cellStyle name="60% - Accent5 2 2 4" xfId="1629" xr:uid="{00000000-0005-0000-0000-000057060000}"/>
    <cellStyle name="60% - Accent5 2 2 5" xfId="1630" xr:uid="{00000000-0005-0000-0000-000058060000}"/>
    <cellStyle name="60% - Accent5 2 2 6" xfId="1631" xr:uid="{00000000-0005-0000-0000-000059060000}"/>
    <cellStyle name="60% - Accent5 2 2 7" xfId="1632" xr:uid="{00000000-0005-0000-0000-00005A060000}"/>
    <cellStyle name="60% - Accent5 2 2 8" xfId="1633" xr:uid="{00000000-0005-0000-0000-00005B060000}"/>
    <cellStyle name="60% - Accent5 2 2 9" xfId="1634" xr:uid="{00000000-0005-0000-0000-00005C060000}"/>
    <cellStyle name="60% - Accent5 2 3" xfId="1635" xr:uid="{00000000-0005-0000-0000-00005D060000}"/>
    <cellStyle name="60% - Accent5 2 3 2" xfId="1636" xr:uid="{00000000-0005-0000-0000-00005E060000}"/>
    <cellStyle name="60% - Accent5 2 4" xfId="1637" xr:uid="{00000000-0005-0000-0000-00005F060000}"/>
    <cellStyle name="60% - Accent5 2 4 2" xfId="1638" xr:uid="{00000000-0005-0000-0000-000060060000}"/>
    <cellStyle name="60% - Accent5 2 5" xfId="1639" xr:uid="{00000000-0005-0000-0000-000061060000}"/>
    <cellStyle name="60% - Accent5 2 6" xfId="1640" xr:uid="{00000000-0005-0000-0000-000062060000}"/>
    <cellStyle name="60% - Accent5 2 7" xfId="1641" xr:uid="{00000000-0005-0000-0000-000063060000}"/>
    <cellStyle name="60% - Accent5 2 8" xfId="1642" xr:uid="{00000000-0005-0000-0000-000064060000}"/>
    <cellStyle name="60% - Accent5 2 9" xfId="1643" xr:uid="{00000000-0005-0000-0000-000065060000}"/>
    <cellStyle name="60% - Accent5 3" xfId="1644" xr:uid="{00000000-0005-0000-0000-000066060000}"/>
    <cellStyle name="60% - Accent5 3 2" xfId="1645" xr:uid="{00000000-0005-0000-0000-000067060000}"/>
    <cellStyle name="60% - Accent5 4" xfId="1646" xr:uid="{00000000-0005-0000-0000-000068060000}"/>
    <cellStyle name="60% - Accent5 4 2" xfId="1647" xr:uid="{00000000-0005-0000-0000-000069060000}"/>
    <cellStyle name="60% - Accent5 5" xfId="1648" xr:uid="{00000000-0005-0000-0000-00006A060000}"/>
    <cellStyle name="60% - Accent5 5 2" xfId="1649" xr:uid="{00000000-0005-0000-0000-00006B060000}"/>
    <cellStyle name="60% - Accent5 6" xfId="1650" xr:uid="{00000000-0005-0000-0000-00006C060000}"/>
    <cellStyle name="60% - Accent5 7" xfId="1651" xr:uid="{00000000-0005-0000-0000-00006D060000}"/>
    <cellStyle name="60% - Accent5 8" xfId="1652" xr:uid="{00000000-0005-0000-0000-00006E060000}"/>
    <cellStyle name="60% - Accent5 9" xfId="1653" xr:uid="{00000000-0005-0000-0000-00006F060000}"/>
    <cellStyle name="60% - Accent6 10" xfId="1654" xr:uid="{00000000-0005-0000-0000-000070060000}"/>
    <cellStyle name="60% - Accent6 11" xfId="1655" xr:uid="{00000000-0005-0000-0000-000071060000}"/>
    <cellStyle name="60% - Accent6 12" xfId="1656" xr:uid="{00000000-0005-0000-0000-000072060000}"/>
    <cellStyle name="60% - Accent6 2" xfId="1657" xr:uid="{00000000-0005-0000-0000-000073060000}"/>
    <cellStyle name="60% - Accent6 2 10" xfId="1658" xr:uid="{00000000-0005-0000-0000-000074060000}"/>
    <cellStyle name="60% - Accent6 2 2" xfId="1659" xr:uid="{00000000-0005-0000-0000-000075060000}"/>
    <cellStyle name="60% - Accent6 2 2 2" xfId="1660" xr:uid="{00000000-0005-0000-0000-000076060000}"/>
    <cellStyle name="60% - Accent6 2 2 2 2" xfId="1661" xr:uid="{00000000-0005-0000-0000-000077060000}"/>
    <cellStyle name="60% - Accent6 2 2 2 2 2" xfId="1662" xr:uid="{00000000-0005-0000-0000-000078060000}"/>
    <cellStyle name="60% - Accent6 2 2 2 3" xfId="1663" xr:uid="{00000000-0005-0000-0000-000079060000}"/>
    <cellStyle name="60% - Accent6 2 2 2 3 2" xfId="1664" xr:uid="{00000000-0005-0000-0000-00007A060000}"/>
    <cellStyle name="60% - Accent6 2 2 2 4" xfId="1665" xr:uid="{00000000-0005-0000-0000-00007B060000}"/>
    <cellStyle name="60% - Accent6 2 2 2 5" xfId="1666" xr:uid="{00000000-0005-0000-0000-00007C060000}"/>
    <cellStyle name="60% - Accent6 2 2 2 6" xfId="1667" xr:uid="{00000000-0005-0000-0000-00007D060000}"/>
    <cellStyle name="60% - Accent6 2 2 2 7" xfId="1668" xr:uid="{00000000-0005-0000-0000-00007E060000}"/>
    <cellStyle name="60% - Accent6 2 2 2 8" xfId="1669" xr:uid="{00000000-0005-0000-0000-00007F060000}"/>
    <cellStyle name="60% - Accent6 2 2 2 9" xfId="1670" xr:uid="{00000000-0005-0000-0000-000080060000}"/>
    <cellStyle name="60% - Accent6 2 2 3" xfId="1671" xr:uid="{00000000-0005-0000-0000-000081060000}"/>
    <cellStyle name="60% - Accent6 2 2 3 2" xfId="1672" xr:uid="{00000000-0005-0000-0000-000082060000}"/>
    <cellStyle name="60% - Accent6 2 2 4" xfId="1673" xr:uid="{00000000-0005-0000-0000-000083060000}"/>
    <cellStyle name="60% - Accent6 2 2 5" xfId="1674" xr:uid="{00000000-0005-0000-0000-000084060000}"/>
    <cellStyle name="60% - Accent6 2 2 6" xfId="1675" xr:uid="{00000000-0005-0000-0000-000085060000}"/>
    <cellStyle name="60% - Accent6 2 2 7" xfId="1676" xr:uid="{00000000-0005-0000-0000-000086060000}"/>
    <cellStyle name="60% - Accent6 2 2 8" xfId="1677" xr:uid="{00000000-0005-0000-0000-000087060000}"/>
    <cellStyle name="60% - Accent6 2 2 9" xfId="1678" xr:uid="{00000000-0005-0000-0000-000088060000}"/>
    <cellStyle name="60% - Accent6 2 3" xfId="1679" xr:uid="{00000000-0005-0000-0000-000089060000}"/>
    <cellStyle name="60% - Accent6 2 3 2" xfId="1680" xr:uid="{00000000-0005-0000-0000-00008A060000}"/>
    <cellStyle name="60% - Accent6 2 4" xfId="1681" xr:uid="{00000000-0005-0000-0000-00008B060000}"/>
    <cellStyle name="60% - Accent6 2 4 2" xfId="1682" xr:uid="{00000000-0005-0000-0000-00008C060000}"/>
    <cellStyle name="60% - Accent6 2 5" xfId="1683" xr:uid="{00000000-0005-0000-0000-00008D060000}"/>
    <cellStyle name="60% - Accent6 2 6" xfId="1684" xr:uid="{00000000-0005-0000-0000-00008E060000}"/>
    <cellStyle name="60% - Accent6 2 7" xfId="1685" xr:uid="{00000000-0005-0000-0000-00008F060000}"/>
    <cellStyle name="60% - Accent6 2 8" xfId="1686" xr:uid="{00000000-0005-0000-0000-000090060000}"/>
    <cellStyle name="60% - Accent6 2 9" xfId="1687" xr:uid="{00000000-0005-0000-0000-000091060000}"/>
    <cellStyle name="60% - Accent6 3" xfId="1688" xr:uid="{00000000-0005-0000-0000-000092060000}"/>
    <cellStyle name="60% - Accent6 3 2" xfId="1689" xr:uid="{00000000-0005-0000-0000-000093060000}"/>
    <cellStyle name="60% - Accent6 4" xfId="1690" xr:uid="{00000000-0005-0000-0000-000094060000}"/>
    <cellStyle name="60% - Accent6 4 2" xfId="1691" xr:uid="{00000000-0005-0000-0000-000095060000}"/>
    <cellStyle name="60% - Accent6 5" xfId="1692" xr:uid="{00000000-0005-0000-0000-000096060000}"/>
    <cellStyle name="60% - Accent6 5 2" xfId="1693" xr:uid="{00000000-0005-0000-0000-000097060000}"/>
    <cellStyle name="60% - Accent6 6" xfId="1694" xr:uid="{00000000-0005-0000-0000-000098060000}"/>
    <cellStyle name="60% - Accent6 7" xfId="1695" xr:uid="{00000000-0005-0000-0000-000099060000}"/>
    <cellStyle name="60% - Accent6 8" xfId="1696" xr:uid="{00000000-0005-0000-0000-00009A060000}"/>
    <cellStyle name="60% - Accent6 9" xfId="1697" xr:uid="{00000000-0005-0000-0000-00009B060000}"/>
    <cellStyle name="Accent1 10" xfId="1698" xr:uid="{00000000-0005-0000-0000-00009C060000}"/>
    <cellStyle name="Accent1 11" xfId="1699" xr:uid="{00000000-0005-0000-0000-00009D060000}"/>
    <cellStyle name="Accent1 12" xfId="1700" xr:uid="{00000000-0005-0000-0000-00009E060000}"/>
    <cellStyle name="Accent1 2" xfId="1701" xr:uid="{00000000-0005-0000-0000-00009F060000}"/>
    <cellStyle name="Accent1 2 10" xfId="1702" xr:uid="{00000000-0005-0000-0000-0000A0060000}"/>
    <cellStyle name="Accent1 2 2" xfId="1703" xr:uid="{00000000-0005-0000-0000-0000A1060000}"/>
    <cellStyle name="Accent1 2 2 2" xfId="1704" xr:uid="{00000000-0005-0000-0000-0000A2060000}"/>
    <cellStyle name="Accent1 2 2 2 2" xfId="1705" xr:uid="{00000000-0005-0000-0000-0000A3060000}"/>
    <cellStyle name="Accent1 2 2 2 2 2" xfId="1706" xr:uid="{00000000-0005-0000-0000-0000A4060000}"/>
    <cellStyle name="Accent1 2 2 2 3" xfId="1707" xr:uid="{00000000-0005-0000-0000-0000A5060000}"/>
    <cellStyle name="Accent1 2 2 2 3 2" xfId="1708" xr:uid="{00000000-0005-0000-0000-0000A6060000}"/>
    <cellStyle name="Accent1 2 2 2 4" xfId="1709" xr:uid="{00000000-0005-0000-0000-0000A7060000}"/>
    <cellStyle name="Accent1 2 2 2 5" xfId="1710" xr:uid="{00000000-0005-0000-0000-0000A8060000}"/>
    <cellStyle name="Accent1 2 2 2 6" xfId="1711" xr:uid="{00000000-0005-0000-0000-0000A9060000}"/>
    <cellStyle name="Accent1 2 2 2 7" xfId="1712" xr:uid="{00000000-0005-0000-0000-0000AA060000}"/>
    <cellStyle name="Accent1 2 2 2 8" xfId="1713" xr:uid="{00000000-0005-0000-0000-0000AB060000}"/>
    <cellStyle name="Accent1 2 2 2 9" xfId="1714" xr:uid="{00000000-0005-0000-0000-0000AC060000}"/>
    <cellStyle name="Accent1 2 2 3" xfId="1715" xr:uid="{00000000-0005-0000-0000-0000AD060000}"/>
    <cellStyle name="Accent1 2 2 3 2" xfId="1716" xr:uid="{00000000-0005-0000-0000-0000AE060000}"/>
    <cellStyle name="Accent1 2 2 4" xfId="1717" xr:uid="{00000000-0005-0000-0000-0000AF060000}"/>
    <cellStyle name="Accent1 2 2 5" xfId="1718" xr:uid="{00000000-0005-0000-0000-0000B0060000}"/>
    <cellStyle name="Accent1 2 2 6" xfId="1719" xr:uid="{00000000-0005-0000-0000-0000B1060000}"/>
    <cellStyle name="Accent1 2 2 7" xfId="1720" xr:uid="{00000000-0005-0000-0000-0000B2060000}"/>
    <cellStyle name="Accent1 2 2 8" xfId="1721" xr:uid="{00000000-0005-0000-0000-0000B3060000}"/>
    <cellStyle name="Accent1 2 2 9" xfId="1722" xr:uid="{00000000-0005-0000-0000-0000B4060000}"/>
    <cellStyle name="Accent1 2 3" xfId="1723" xr:uid="{00000000-0005-0000-0000-0000B5060000}"/>
    <cellStyle name="Accent1 2 3 2" xfId="1724" xr:uid="{00000000-0005-0000-0000-0000B6060000}"/>
    <cellStyle name="Accent1 2 4" xfId="1725" xr:uid="{00000000-0005-0000-0000-0000B7060000}"/>
    <cellStyle name="Accent1 2 4 2" xfId="1726" xr:uid="{00000000-0005-0000-0000-0000B8060000}"/>
    <cellStyle name="Accent1 2 5" xfId="1727" xr:uid="{00000000-0005-0000-0000-0000B9060000}"/>
    <cellStyle name="Accent1 2 6" xfId="1728" xr:uid="{00000000-0005-0000-0000-0000BA060000}"/>
    <cellStyle name="Accent1 2 7" xfId="1729" xr:uid="{00000000-0005-0000-0000-0000BB060000}"/>
    <cellStyle name="Accent1 2 8" xfId="1730" xr:uid="{00000000-0005-0000-0000-0000BC060000}"/>
    <cellStyle name="Accent1 2 9" xfId="1731" xr:uid="{00000000-0005-0000-0000-0000BD060000}"/>
    <cellStyle name="Accent1 3" xfId="1732" xr:uid="{00000000-0005-0000-0000-0000BE060000}"/>
    <cellStyle name="Accent1 3 2" xfId="1733" xr:uid="{00000000-0005-0000-0000-0000BF060000}"/>
    <cellStyle name="Accent1 4" xfId="1734" xr:uid="{00000000-0005-0000-0000-0000C0060000}"/>
    <cellStyle name="Accent1 4 2" xfId="1735" xr:uid="{00000000-0005-0000-0000-0000C1060000}"/>
    <cellStyle name="Accent1 5" xfId="1736" xr:uid="{00000000-0005-0000-0000-0000C2060000}"/>
    <cellStyle name="Accent1 5 2" xfId="1737" xr:uid="{00000000-0005-0000-0000-0000C3060000}"/>
    <cellStyle name="Accent1 6" xfId="1738" xr:uid="{00000000-0005-0000-0000-0000C4060000}"/>
    <cellStyle name="Accent1 7" xfId="1739" xr:uid="{00000000-0005-0000-0000-0000C5060000}"/>
    <cellStyle name="Accent1 8" xfId="1740" xr:uid="{00000000-0005-0000-0000-0000C6060000}"/>
    <cellStyle name="Accent1 9" xfId="1741" xr:uid="{00000000-0005-0000-0000-0000C7060000}"/>
    <cellStyle name="Accent2 10" xfId="1742" xr:uid="{00000000-0005-0000-0000-0000C8060000}"/>
    <cellStyle name="Accent2 11" xfId="1743" xr:uid="{00000000-0005-0000-0000-0000C9060000}"/>
    <cellStyle name="Accent2 12" xfId="1744" xr:uid="{00000000-0005-0000-0000-0000CA060000}"/>
    <cellStyle name="Accent2 2" xfId="1745" xr:uid="{00000000-0005-0000-0000-0000CB060000}"/>
    <cellStyle name="Accent2 2 10" xfId="1746" xr:uid="{00000000-0005-0000-0000-0000CC060000}"/>
    <cellStyle name="Accent2 2 2" xfId="1747" xr:uid="{00000000-0005-0000-0000-0000CD060000}"/>
    <cellStyle name="Accent2 2 2 2" xfId="1748" xr:uid="{00000000-0005-0000-0000-0000CE060000}"/>
    <cellStyle name="Accent2 2 2 2 2" xfId="1749" xr:uid="{00000000-0005-0000-0000-0000CF060000}"/>
    <cellStyle name="Accent2 2 2 2 2 2" xfId="1750" xr:uid="{00000000-0005-0000-0000-0000D0060000}"/>
    <cellStyle name="Accent2 2 2 2 3" xfId="1751" xr:uid="{00000000-0005-0000-0000-0000D1060000}"/>
    <cellStyle name="Accent2 2 2 2 3 2" xfId="1752" xr:uid="{00000000-0005-0000-0000-0000D2060000}"/>
    <cellStyle name="Accent2 2 2 2 4" xfId="1753" xr:uid="{00000000-0005-0000-0000-0000D3060000}"/>
    <cellStyle name="Accent2 2 2 2 5" xfId="1754" xr:uid="{00000000-0005-0000-0000-0000D4060000}"/>
    <cellStyle name="Accent2 2 2 2 6" xfId="1755" xr:uid="{00000000-0005-0000-0000-0000D5060000}"/>
    <cellStyle name="Accent2 2 2 2 7" xfId="1756" xr:uid="{00000000-0005-0000-0000-0000D6060000}"/>
    <cellStyle name="Accent2 2 2 2 8" xfId="1757" xr:uid="{00000000-0005-0000-0000-0000D7060000}"/>
    <cellStyle name="Accent2 2 2 2 9" xfId="1758" xr:uid="{00000000-0005-0000-0000-0000D8060000}"/>
    <cellStyle name="Accent2 2 2 3" xfId="1759" xr:uid="{00000000-0005-0000-0000-0000D9060000}"/>
    <cellStyle name="Accent2 2 2 3 2" xfId="1760" xr:uid="{00000000-0005-0000-0000-0000DA060000}"/>
    <cellStyle name="Accent2 2 2 4" xfId="1761" xr:uid="{00000000-0005-0000-0000-0000DB060000}"/>
    <cellStyle name="Accent2 2 2 5" xfId="1762" xr:uid="{00000000-0005-0000-0000-0000DC060000}"/>
    <cellStyle name="Accent2 2 2 6" xfId="1763" xr:uid="{00000000-0005-0000-0000-0000DD060000}"/>
    <cellStyle name="Accent2 2 2 7" xfId="1764" xr:uid="{00000000-0005-0000-0000-0000DE060000}"/>
    <cellStyle name="Accent2 2 2 8" xfId="1765" xr:uid="{00000000-0005-0000-0000-0000DF060000}"/>
    <cellStyle name="Accent2 2 2 9" xfId="1766" xr:uid="{00000000-0005-0000-0000-0000E0060000}"/>
    <cellStyle name="Accent2 2 3" xfId="1767" xr:uid="{00000000-0005-0000-0000-0000E1060000}"/>
    <cellStyle name="Accent2 2 3 2" xfId="1768" xr:uid="{00000000-0005-0000-0000-0000E2060000}"/>
    <cellStyle name="Accent2 2 4" xfId="1769" xr:uid="{00000000-0005-0000-0000-0000E3060000}"/>
    <cellStyle name="Accent2 2 4 2" xfId="1770" xr:uid="{00000000-0005-0000-0000-0000E4060000}"/>
    <cellStyle name="Accent2 2 5" xfId="1771" xr:uid="{00000000-0005-0000-0000-0000E5060000}"/>
    <cellStyle name="Accent2 2 6" xfId="1772" xr:uid="{00000000-0005-0000-0000-0000E6060000}"/>
    <cellStyle name="Accent2 2 7" xfId="1773" xr:uid="{00000000-0005-0000-0000-0000E7060000}"/>
    <cellStyle name="Accent2 2 8" xfId="1774" xr:uid="{00000000-0005-0000-0000-0000E8060000}"/>
    <cellStyle name="Accent2 2 9" xfId="1775" xr:uid="{00000000-0005-0000-0000-0000E9060000}"/>
    <cellStyle name="Accent2 3" xfId="1776" xr:uid="{00000000-0005-0000-0000-0000EA060000}"/>
    <cellStyle name="Accent2 3 2" xfId="1777" xr:uid="{00000000-0005-0000-0000-0000EB060000}"/>
    <cellStyle name="Accent2 4" xfId="1778" xr:uid="{00000000-0005-0000-0000-0000EC060000}"/>
    <cellStyle name="Accent2 4 2" xfId="1779" xr:uid="{00000000-0005-0000-0000-0000ED060000}"/>
    <cellStyle name="Accent2 5" xfId="1780" xr:uid="{00000000-0005-0000-0000-0000EE060000}"/>
    <cellStyle name="Accent2 5 2" xfId="1781" xr:uid="{00000000-0005-0000-0000-0000EF060000}"/>
    <cellStyle name="Accent2 6" xfId="1782" xr:uid="{00000000-0005-0000-0000-0000F0060000}"/>
    <cellStyle name="Accent2 7" xfId="1783" xr:uid="{00000000-0005-0000-0000-0000F1060000}"/>
    <cellStyle name="Accent2 8" xfId="1784" xr:uid="{00000000-0005-0000-0000-0000F2060000}"/>
    <cellStyle name="Accent2 9" xfId="1785" xr:uid="{00000000-0005-0000-0000-0000F3060000}"/>
    <cellStyle name="Accent3 10" xfId="1786" xr:uid="{00000000-0005-0000-0000-0000F4060000}"/>
    <cellStyle name="Accent3 11" xfId="1787" xr:uid="{00000000-0005-0000-0000-0000F5060000}"/>
    <cellStyle name="Accent3 12" xfId="1788" xr:uid="{00000000-0005-0000-0000-0000F6060000}"/>
    <cellStyle name="Accent3 2" xfId="1789" xr:uid="{00000000-0005-0000-0000-0000F7060000}"/>
    <cellStyle name="Accent3 2 10" xfId="1790" xr:uid="{00000000-0005-0000-0000-0000F8060000}"/>
    <cellStyle name="Accent3 2 2" xfId="1791" xr:uid="{00000000-0005-0000-0000-0000F9060000}"/>
    <cellStyle name="Accent3 2 2 2" xfId="1792" xr:uid="{00000000-0005-0000-0000-0000FA060000}"/>
    <cellStyle name="Accent3 2 2 2 2" xfId="1793" xr:uid="{00000000-0005-0000-0000-0000FB060000}"/>
    <cellStyle name="Accent3 2 2 2 2 2" xfId="1794" xr:uid="{00000000-0005-0000-0000-0000FC060000}"/>
    <cellStyle name="Accent3 2 2 2 3" xfId="1795" xr:uid="{00000000-0005-0000-0000-0000FD060000}"/>
    <cellStyle name="Accent3 2 2 2 3 2" xfId="1796" xr:uid="{00000000-0005-0000-0000-0000FE060000}"/>
    <cellStyle name="Accent3 2 2 2 4" xfId="1797" xr:uid="{00000000-0005-0000-0000-0000FF060000}"/>
    <cellStyle name="Accent3 2 2 2 5" xfId="1798" xr:uid="{00000000-0005-0000-0000-000000070000}"/>
    <cellStyle name="Accent3 2 2 2 6" xfId="1799" xr:uid="{00000000-0005-0000-0000-000001070000}"/>
    <cellStyle name="Accent3 2 2 2 7" xfId="1800" xr:uid="{00000000-0005-0000-0000-000002070000}"/>
    <cellStyle name="Accent3 2 2 2 8" xfId="1801" xr:uid="{00000000-0005-0000-0000-000003070000}"/>
    <cellStyle name="Accent3 2 2 2 9" xfId="1802" xr:uid="{00000000-0005-0000-0000-000004070000}"/>
    <cellStyle name="Accent3 2 2 3" xfId="1803" xr:uid="{00000000-0005-0000-0000-000005070000}"/>
    <cellStyle name="Accent3 2 2 3 2" xfId="1804" xr:uid="{00000000-0005-0000-0000-000006070000}"/>
    <cellStyle name="Accent3 2 2 4" xfId="1805" xr:uid="{00000000-0005-0000-0000-000007070000}"/>
    <cellStyle name="Accent3 2 2 5" xfId="1806" xr:uid="{00000000-0005-0000-0000-000008070000}"/>
    <cellStyle name="Accent3 2 2 6" xfId="1807" xr:uid="{00000000-0005-0000-0000-000009070000}"/>
    <cellStyle name="Accent3 2 2 7" xfId="1808" xr:uid="{00000000-0005-0000-0000-00000A070000}"/>
    <cellStyle name="Accent3 2 2 8" xfId="1809" xr:uid="{00000000-0005-0000-0000-00000B070000}"/>
    <cellStyle name="Accent3 2 2 9" xfId="1810" xr:uid="{00000000-0005-0000-0000-00000C070000}"/>
    <cellStyle name="Accent3 2 3" xfId="1811" xr:uid="{00000000-0005-0000-0000-00000D070000}"/>
    <cellStyle name="Accent3 2 3 2" xfId="1812" xr:uid="{00000000-0005-0000-0000-00000E070000}"/>
    <cellStyle name="Accent3 2 4" xfId="1813" xr:uid="{00000000-0005-0000-0000-00000F070000}"/>
    <cellStyle name="Accent3 2 4 2" xfId="1814" xr:uid="{00000000-0005-0000-0000-000010070000}"/>
    <cellStyle name="Accent3 2 5" xfId="1815" xr:uid="{00000000-0005-0000-0000-000011070000}"/>
    <cellStyle name="Accent3 2 6" xfId="1816" xr:uid="{00000000-0005-0000-0000-000012070000}"/>
    <cellStyle name="Accent3 2 7" xfId="1817" xr:uid="{00000000-0005-0000-0000-000013070000}"/>
    <cellStyle name="Accent3 2 8" xfId="1818" xr:uid="{00000000-0005-0000-0000-000014070000}"/>
    <cellStyle name="Accent3 2 9" xfId="1819" xr:uid="{00000000-0005-0000-0000-000015070000}"/>
    <cellStyle name="Accent3 3" xfId="1820" xr:uid="{00000000-0005-0000-0000-000016070000}"/>
    <cellStyle name="Accent3 3 2" xfId="1821" xr:uid="{00000000-0005-0000-0000-000017070000}"/>
    <cellStyle name="Accent3 4" xfId="1822" xr:uid="{00000000-0005-0000-0000-000018070000}"/>
    <cellStyle name="Accent3 4 2" xfId="1823" xr:uid="{00000000-0005-0000-0000-000019070000}"/>
    <cellStyle name="Accent3 5" xfId="1824" xr:uid="{00000000-0005-0000-0000-00001A070000}"/>
    <cellStyle name="Accent3 5 2" xfId="1825" xr:uid="{00000000-0005-0000-0000-00001B070000}"/>
    <cellStyle name="Accent3 6" xfId="1826" xr:uid="{00000000-0005-0000-0000-00001C070000}"/>
    <cellStyle name="Accent3 7" xfId="1827" xr:uid="{00000000-0005-0000-0000-00001D070000}"/>
    <cellStyle name="Accent3 8" xfId="1828" xr:uid="{00000000-0005-0000-0000-00001E070000}"/>
    <cellStyle name="Accent3 9" xfId="1829" xr:uid="{00000000-0005-0000-0000-00001F070000}"/>
    <cellStyle name="Accent4 10" xfId="1830" xr:uid="{00000000-0005-0000-0000-000020070000}"/>
    <cellStyle name="Accent4 11" xfId="1831" xr:uid="{00000000-0005-0000-0000-000021070000}"/>
    <cellStyle name="Accent4 12" xfId="1832" xr:uid="{00000000-0005-0000-0000-000022070000}"/>
    <cellStyle name="Accent4 2" xfId="1833" xr:uid="{00000000-0005-0000-0000-000023070000}"/>
    <cellStyle name="Accent4 2 10" xfId="1834" xr:uid="{00000000-0005-0000-0000-000024070000}"/>
    <cellStyle name="Accent4 2 2" xfId="1835" xr:uid="{00000000-0005-0000-0000-000025070000}"/>
    <cellStyle name="Accent4 2 2 2" xfId="1836" xr:uid="{00000000-0005-0000-0000-000026070000}"/>
    <cellStyle name="Accent4 2 2 2 2" xfId="1837" xr:uid="{00000000-0005-0000-0000-000027070000}"/>
    <cellStyle name="Accent4 2 2 2 2 2" xfId="1838" xr:uid="{00000000-0005-0000-0000-000028070000}"/>
    <cellStyle name="Accent4 2 2 2 3" xfId="1839" xr:uid="{00000000-0005-0000-0000-000029070000}"/>
    <cellStyle name="Accent4 2 2 2 3 2" xfId="1840" xr:uid="{00000000-0005-0000-0000-00002A070000}"/>
    <cellStyle name="Accent4 2 2 2 4" xfId="1841" xr:uid="{00000000-0005-0000-0000-00002B070000}"/>
    <cellStyle name="Accent4 2 2 2 5" xfId="1842" xr:uid="{00000000-0005-0000-0000-00002C070000}"/>
    <cellStyle name="Accent4 2 2 2 6" xfId="1843" xr:uid="{00000000-0005-0000-0000-00002D070000}"/>
    <cellStyle name="Accent4 2 2 2 7" xfId="1844" xr:uid="{00000000-0005-0000-0000-00002E070000}"/>
    <cellStyle name="Accent4 2 2 2 8" xfId="1845" xr:uid="{00000000-0005-0000-0000-00002F070000}"/>
    <cellStyle name="Accent4 2 2 2 9" xfId="1846" xr:uid="{00000000-0005-0000-0000-000030070000}"/>
    <cellStyle name="Accent4 2 2 3" xfId="1847" xr:uid="{00000000-0005-0000-0000-000031070000}"/>
    <cellStyle name="Accent4 2 2 3 2" xfId="1848" xr:uid="{00000000-0005-0000-0000-000032070000}"/>
    <cellStyle name="Accent4 2 2 4" xfId="1849" xr:uid="{00000000-0005-0000-0000-000033070000}"/>
    <cellStyle name="Accent4 2 2 5" xfId="1850" xr:uid="{00000000-0005-0000-0000-000034070000}"/>
    <cellStyle name="Accent4 2 2 6" xfId="1851" xr:uid="{00000000-0005-0000-0000-000035070000}"/>
    <cellStyle name="Accent4 2 2 7" xfId="1852" xr:uid="{00000000-0005-0000-0000-000036070000}"/>
    <cellStyle name="Accent4 2 2 8" xfId="1853" xr:uid="{00000000-0005-0000-0000-000037070000}"/>
    <cellStyle name="Accent4 2 2 9" xfId="1854" xr:uid="{00000000-0005-0000-0000-000038070000}"/>
    <cellStyle name="Accent4 2 3" xfId="1855" xr:uid="{00000000-0005-0000-0000-000039070000}"/>
    <cellStyle name="Accent4 2 3 2" xfId="1856" xr:uid="{00000000-0005-0000-0000-00003A070000}"/>
    <cellStyle name="Accent4 2 4" xfId="1857" xr:uid="{00000000-0005-0000-0000-00003B070000}"/>
    <cellStyle name="Accent4 2 4 2" xfId="1858" xr:uid="{00000000-0005-0000-0000-00003C070000}"/>
    <cellStyle name="Accent4 2 5" xfId="1859" xr:uid="{00000000-0005-0000-0000-00003D070000}"/>
    <cellStyle name="Accent4 2 6" xfId="1860" xr:uid="{00000000-0005-0000-0000-00003E070000}"/>
    <cellStyle name="Accent4 2 7" xfId="1861" xr:uid="{00000000-0005-0000-0000-00003F070000}"/>
    <cellStyle name="Accent4 2 8" xfId="1862" xr:uid="{00000000-0005-0000-0000-000040070000}"/>
    <cellStyle name="Accent4 2 9" xfId="1863" xr:uid="{00000000-0005-0000-0000-000041070000}"/>
    <cellStyle name="Accent4 3" xfId="1864" xr:uid="{00000000-0005-0000-0000-000042070000}"/>
    <cellStyle name="Accent4 3 2" xfId="1865" xr:uid="{00000000-0005-0000-0000-000043070000}"/>
    <cellStyle name="Accent4 4" xfId="1866" xr:uid="{00000000-0005-0000-0000-000044070000}"/>
    <cellStyle name="Accent4 4 2" xfId="1867" xr:uid="{00000000-0005-0000-0000-000045070000}"/>
    <cellStyle name="Accent4 5" xfId="1868" xr:uid="{00000000-0005-0000-0000-000046070000}"/>
    <cellStyle name="Accent4 5 2" xfId="1869" xr:uid="{00000000-0005-0000-0000-000047070000}"/>
    <cellStyle name="Accent4 6" xfId="1870" xr:uid="{00000000-0005-0000-0000-000048070000}"/>
    <cellStyle name="Accent4 7" xfId="1871" xr:uid="{00000000-0005-0000-0000-000049070000}"/>
    <cellStyle name="Accent4 8" xfId="1872" xr:uid="{00000000-0005-0000-0000-00004A070000}"/>
    <cellStyle name="Accent4 9" xfId="1873" xr:uid="{00000000-0005-0000-0000-00004B070000}"/>
    <cellStyle name="Accent5 10" xfId="1874" xr:uid="{00000000-0005-0000-0000-00004C070000}"/>
    <cellStyle name="Accent5 11" xfId="1875" xr:uid="{00000000-0005-0000-0000-00004D070000}"/>
    <cellStyle name="Accent5 12" xfId="1876" xr:uid="{00000000-0005-0000-0000-00004E070000}"/>
    <cellStyle name="Accent5 2" xfId="1877" xr:uid="{00000000-0005-0000-0000-00004F070000}"/>
    <cellStyle name="Accent5 2 10" xfId="1878" xr:uid="{00000000-0005-0000-0000-000050070000}"/>
    <cellStyle name="Accent5 2 2" xfId="1879" xr:uid="{00000000-0005-0000-0000-000051070000}"/>
    <cellStyle name="Accent5 2 2 2" xfId="1880" xr:uid="{00000000-0005-0000-0000-000052070000}"/>
    <cellStyle name="Accent5 2 2 2 2" xfId="1881" xr:uid="{00000000-0005-0000-0000-000053070000}"/>
    <cellStyle name="Accent5 2 2 2 2 2" xfId="1882" xr:uid="{00000000-0005-0000-0000-000054070000}"/>
    <cellStyle name="Accent5 2 2 2 3" xfId="1883" xr:uid="{00000000-0005-0000-0000-000055070000}"/>
    <cellStyle name="Accent5 2 2 2 3 2" xfId="1884" xr:uid="{00000000-0005-0000-0000-000056070000}"/>
    <cellStyle name="Accent5 2 2 2 4" xfId="1885" xr:uid="{00000000-0005-0000-0000-000057070000}"/>
    <cellStyle name="Accent5 2 2 2 5" xfId="1886" xr:uid="{00000000-0005-0000-0000-000058070000}"/>
    <cellStyle name="Accent5 2 2 2 6" xfId="1887" xr:uid="{00000000-0005-0000-0000-000059070000}"/>
    <cellStyle name="Accent5 2 2 2 7" xfId="1888" xr:uid="{00000000-0005-0000-0000-00005A070000}"/>
    <cellStyle name="Accent5 2 2 2 8" xfId="1889" xr:uid="{00000000-0005-0000-0000-00005B070000}"/>
    <cellStyle name="Accent5 2 2 2 9" xfId="1890" xr:uid="{00000000-0005-0000-0000-00005C070000}"/>
    <cellStyle name="Accent5 2 2 3" xfId="1891" xr:uid="{00000000-0005-0000-0000-00005D070000}"/>
    <cellStyle name="Accent5 2 2 3 2" xfId="1892" xr:uid="{00000000-0005-0000-0000-00005E070000}"/>
    <cellStyle name="Accent5 2 2 4" xfId="1893" xr:uid="{00000000-0005-0000-0000-00005F070000}"/>
    <cellStyle name="Accent5 2 2 5" xfId="1894" xr:uid="{00000000-0005-0000-0000-000060070000}"/>
    <cellStyle name="Accent5 2 2 6" xfId="1895" xr:uid="{00000000-0005-0000-0000-000061070000}"/>
    <cellStyle name="Accent5 2 2 7" xfId="1896" xr:uid="{00000000-0005-0000-0000-000062070000}"/>
    <cellStyle name="Accent5 2 2 8" xfId="1897" xr:uid="{00000000-0005-0000-0000-000063070000}"/>
    <cellStyle name="Accent5 2 2 9" xfId="1898" xr:uid="{00000000-0005-0000-0000-000064070000}"/>
    <cellStyle name="Accent5 2 3" xfId="1899" xr:uid="{00000000-0005-0000-0000-000065070000}"/>
    <cellStyle name="Accent5 2 3 2" xfId="1900" xr:uid="{00000000-0005-0000-0000-000066070000}"/>
    <cellStyle name="Accent5 2 4" xfId="1901" xr:uid="{00000000-0005-0000-0000-000067070000}"/>
    <cellStyle name="Accent5 2 4 2" xfId="1902" xr:uid="{00000000-0005-0000-0000-000068070000}"/>
    <cellStyle name="Accent5 2 5" xfId="1903" xr:uid="{00000000-0005-0000-0000-000069070000}"/>
    <cellStyle name="Accent5 2 6" xfId="1904" xr:uid="{00000000-0005-0000-0000-00006A070000}"/>
    <cellStyle name="Accent5 2 7" xfId="1905" xr:uid="{00000000-0005-0000-0000-00006B070000}"/>
    <cellStyle name="Accent5 2 8" xfId="1906" xr:uid="{00000000-0005-0000-0000-00006C070000}"/>
    <cellStyle name="Accent5 2 9" xfId="1907" xr:uid="{00000000-0005-0000-0000-00006D070000}"/>
    <cellStyle name="Accent5 3" xfId="1908" xr:uid="{00000000-0005-0000-0000-00006E070000}"/>
    <cellStyle name="Accent5 3 2" xfId="1909" xr:uid="{00000000-0005-0000-0000-00006F070000}"/>
    <cellStyle name="Accent5 4" xfId="1910" xr:uid="{00000000-0005-0000-0000-000070070000}"/>
    <cellStyle name="Accent5 4 2" xfId="1911" xr:uid="{00000000-0005-0000-0000-000071070000}"/>
    <cellStyle name="Accent5 5" xfId="1912" xr:uid="{00000000-0005-0000-0000-000072070000}"/>
    <cellStyle name="Accent5 5 2" xfId="1913" xr:uid="{00000000-0005-0000-0000-000073070000}"/>
    <cellStyle name="Accent5 6" xfId="1914" xr:uid="{00000000-0005-0000-0000-000074070000}"/>
    <cellStyle name="Accent5 7" xfId="1915" xr:uid="{00000000-0005-0000-0000-000075070000}"/>
    <cellStyle name="Accent5 8" xfId="1916" xr:uid="{00000000-0005-0000-0000-000076070000}"/>
    <cellStyle name="Accent5 9" xfId="1917" xr:uid="{00000000-0005-0000-0000-000077070000}"/>
    <cellStyle name="Accent6 10" xfId="1918" xr:uid="{00000000-0005-0000-0000-000078070000}"/>
    <cellStyle name="Accent6 11" xfId="1919" xr:uid="{00000000-0005-0000-0000-000079070000}"/>
    <cellStyle name="Accent6 12" xfId="1920" xr:uid="{00000000-0005-0000-0000-00007A070000}"/>
    <cellStyle name="Accent6 2" xfId="1921" xr:uid="{00000000-0005-0000-0000-00007B070000}"/>
    <cellStyle name="Accent6 2 10" xfId="1922" xr:uid="{00000000-0005-0000-0000-00007C070000}"/>
    <cellStyle name="Accent6 2 2" xfId="1923" xr:uid="{00000000-0005-0000-0000-00007D070000}"/>
    <cellStyle name="Accent6 2 2 2" xfId="1924" xr:uid="{00000000-0005-0000-0000-00007E070000}"/>
    <cellStyle name="Accent6 2 2 2 2" xfId="1925" xr:uid="{00000000-0005-0000-0000-00007F070000}"/>
    <cellStyle name="Accent6 2 2 2 2 2" xfId="1926" xr:uid="{00000000-0005-0000-0000-000080070000}"/>
    <cellStyle name="Accent6 2 2 2 3" xfId="1927" xr:uid="{00000000-0005-0000-0000-000081070000}"/>
    <cellStyle name="Accent6 2 2 2 3 2" xfId="1928" xr:uid="{00000000-0005-0000-0000-000082070000}"/>
    <cellStyle name="Accent6 2 2 2 4" xfId="1929" xr:uid="{00000000-0005-0000-0000-000083070000}"/>
    <cellStyle name="Accent6 2 2 2 5" xfId="1930" xr:uid="{00000000-0005-0000-0000-000084070000}"/>
    <cellStyle name="Accent6 2 2 2 6" xfId="1931" xr:uid="{00000000-0005-0000-0000-000085070000}"/>
    <cellStyle name="Accent6 2 2 2 7" xfId="1932" xr:uid="{00000000-0005-0000-0000-000086070000}"/>
    <cellStyle name="Accent6 2 2 2 8" xfId="1933" xr:uid="{00000000-0005-0000-0000-000087070000}"/>
    <cellStyle name="Accent6 2 2 2 9" xfId="1934" xr:uid="{00000000-0005-0000-0000-000088070000}"/>
    <cellStyle name="Accent6 2 2 3" xfId="1935" xr:uid="{00000000-0005-0000-0000-000089070000}"/>
    <cellStyle name="Accent6 2 2 3 2" xfId="1936" xr:uid="{00000000-0005-0000-0000-00008A070000}"/>
    <cellStyle name="Accent6 2 2 4" xfId="1937" xr:uid="{00000000-0005-0000-0000-00008B070000}"/>
    <cellStyle name="Accent6 2 2 5" xfId="1938" xr:uid="{00000000-0005-0000-0000-00008C070000}"/>
    <cellStyle name="Accent6 2 2 6" xfId="1939" xr:uid="{00000000-0005-0000-0000-00008D070000}"/>
    <cellStyle name="Accent6 2 2 7" xfId="1940" xr:uid="{00000000-0005-0000-0000-00008E070000}"/>
    <cellStyle name="Accent6 2 2 8" xfId="1941" xr:uid="{00000000-0005-0000-0000-00008F070000}"/>
    <cellStyle name="Accent6 2 2 9" xfId="1942" xr:uid="{00000000-0005-0000-0000-000090070000}"/>
    <cellStyle name="Accent6 2 3" xfId="1943" xr:uid="{00000000-0005-0000-0000-000091070000}"/>
    <cellStyle name="Accent6 2 3 2" xfId="1944" xr:uid="{00000000-0005-0000-0000-000092070000}"/>
    <cellStyle name="Accent6 2 4" xfId="1945" xr:uid="{00000000-0005-0000-0000-000093070000}"/>
    <cellStyle name="Accent6 2 4 2" xfId="1946" xr:uid="{00000000-0005-0000-0000-000094070000}"/>
    <cellStyle name="Accent6 2 5" xfId="1947" xr:uid="{00000000-0005-0000-0000-000095070000}"/>
    <cellStyle name="Accent6 2 6" xfId="1948" xr:uid="{00000000-0005-0000-0000-000096070000}"/>
    <cellStyle name="Accent6 2 7" xfId="1949" xr:uid="{00000000-0005-0000-0000-000097070000}"/>
    <cellStyle name="Accent6 2 8" xfId="1950" xr:uid="{00000000-0005-0000-0000-000098070000}"/>
    <cellStyle name="Accent6 2 9" xfId="1951" xr:uid="{00000000-0005-0000-0000-000099070000}"/>
    <cellStyle name="Accent6 3" xfId="1952" xr:uid="{00000000-0005-0000-0000-00009A070000}"/>
    <cellStyle name="Accent6 3 2" xfId="1953" xr:uid="{00000000-0005-0000-0000-00009B070000}"/>
    <cellStyle name="Accent6 4" xfId="1954" xr:uid="{00000000-0005-0000-0000-00009C070000}"/>
    <cellStyle name="Accent6 4 2" xfId="1955" xr:uid="{00000000-0005-0000-0000-00009D070000}"/>
    <cellStyle name="Accent6 5" xfId="1956" xr:uid="{00000000-0005-0000-0000-00009E070000}"/>
    <cellStyle name="Accent6 5 2" xfId="1957" xr:uid="{00000000-0005-0000-0000-00009F070000}"/>
    <cellStyle name="Accent6 6" xfId="1958" xr:uid="{00000000-0005-0000-0000-0000A0070000}"/>
    <cellStyle name="Accent6 7" xfId="1959" xr:uid="{00000000-0005-0000-0000-0000A1070000}"/>
    <cellStyle name="Accent6 8" xfId="1960" xr:uid="{00000000-0005-0000-0000-0000A2070000}"/>
    <cellStyle name="Accent6 9" xfId="1961" xr:uid="{00000000-0005-0000-0000-0000A3070000}"/>
    <cellStyle name="Bad 10" xfId="1962" xr:uid="{00000000-0005-0000-0000-0000A4070000}"/>
    <cellStyle name="Bad 11" xfId="1963" xr:uid="{00000000-0005-0000-0000-0000A5070000}"/>
    <cellStyle name="Bad 12" xfId="1964" xr:uid="{00000000-0005-0000-0000-0000A6070000}"/>
    <cellStyle name="Bad 2" xfId="1965" xr:uid="{00000000-0005-0000-0000-0000A7070000}"/>
    <cellStyle name="Bad 2 10" xfId="1966" xr:uid="{00000000-0005-0000-0000-0000A8070000}"/>
    <cellStyle name="Bad 2 2" xfId="1967" xr:uid="{00000000-0005-0000-0000-0000A9070000}"/>
    <cellStyle name="Bad 2 2 2" xfId="1968" xr:uid="{00000000-0005-0000-0000-0000AA070000}"/>
    <cellStyle name="Bad 2 2 2 2" xfId="1969" xr:uid="{00000000-0005-0000-0000-0000AB070000}"/>
    <cellStyle name="Bad 2 2 2 2 2" xfId="1970" xr:uid="{00000000-0005-0000-0000-0000AC070000}"/>
    <cellStyle name="Bad 2 2 2 3" xfId="1971" xr:uid="{00000000-0005-0000-0000-0000AD070000}"/>
    <cellStyle name="Bad 2 2 2 3 2" xfId="1972" xr:uid="{00000000-0005-0000-0000-0000AE070000}"/>
    <cellStyle name="Bad 2 2 2 4" xfId="1973" xr:uid="{00000000-0005-0000-0000-0000AF070000}"/>
    <cellStyle name="Bad 2 2 2 5" xfId="1974" xr:uid="{00000000-0005-0000-0000-0000B0070000}"/>
    <cellStyle name="Bad 2 2 2 6" xfId="1975" xr:uid="{00000000-0005-0000-0000-0000B1070000}"/>
    <cellStyle name="Bad 2 2 2 7" xfId="1976" xr:uid="{00000000-0005-0000-0000-0000B2070000}"/>
    <cellStyle name="Bad 2 2 2 8" xfId="1977" xr:uid="{00000000-0005-0000-0000-0000B3070000}"/>
    <cellStyle name="Bad 2 2 2 9" xfId="1978" xr:uid="{00000000-0005-0000-0000-0000B4070000}"/>
    <cellStyle name="Bad 2 2 3" xfId="1979" xr:uid="{00000000-0005-0000-0000-0000B5070000}"/>
    <cellStyle name="Bad 2 2 3 2" xfId="1980" xr:uid="{00000000-0005-0000-0000-0000B6070000}"/>
    <cellStyle name="Bad 2 2 4" xfId="1981" xr:uid="{00000000-0005-0000-0000-0000B7070000}"/>
    <cellStyle name="Bad 2 2 5" xfId="1982" xr:uid="{00000000-0005-0000-0000-0000B8070000}"/>
    <cellStyle name="Bad 2 2 6" xfId="1983" xr:uid="{00000000-0005-0000-0000-0000B9070000}"/>
    <cellStyle name="Bad 2 2 7" xfId="1984" xr:uid="{00000000-0005-0000-0000-0000BA070000}"/>
    <cellStyle name="Bad 2 2 8" xfId="1985" xr:uid="{00000000-0005-0000-0000-0000BB070000}"/>
    <cellStyle name="Bad 2 2 9" xfId="1986" xr:uid="{00000000-0005-0000-0000-0000BC070000}"/>
    <cellStyle name="Bad 2 3" xfId="1987" xr:uid="{00000000-0005-0000-0000-0000BD070000}"/>
    <cellStyle name="Bad 2 3 2" xfId="1988" xr:uid="{00000000-0005-0000-0000-0000BE070000}"/>
    <cellStyle name="Bad 2 4" xfId="1989" xr:uid="{00000000-0005-0000-0000-0000BF070000}"/>
    <cellStyle name="Bad 2 4 2" xfId="1990" xr:uid="{00000000-0005-0000-0000-0000C0070000}"/>
    <cellStyle name="Bad 2 5" xfId="1991" xr:uid="{00000000-0005-0000-0000-0000C1070000}"/>
    <cellStyle name="Bad 2 6" xfId="1992" xr:uid="{00000000-0005-0000-0000-0000C2070000}"/>
    <cellStyle name="Bad 2 7" xfId="1993" xr:uid="{00000000-0005-0000-0000-0000C3070000}"/>
    <cellStyle name="Bad 2 8" xfId="1994" xr:uid="{00000000-0005-0000-0000-0000C4070000}"/>
    <cellStyle name="Bad 2 9" xfId="1995" xr:uid="{00000000-0005-0000-0000-0000C5070000}"/>
    <cellStyle name="Bad 3" xfId="1996" xr:uid="{00000000-0005-0000-0000-0000C6070000}"/>
    <cellStyle name="Bad 3 2" xfId="1997" xr:uid="{00000000-0005-0000-0000-0000C7070000}"/>
    <cellStyle name="Bad 4" xfId="1998" xr:uid="{00000000-0005-0000-0000-0000C8070000}"/>
    <cellStyle name="Bad 4 2" xfId="1999" xr:uid="{00000000-0005-0000-0000-0000C9070000}"/>
    <cellStyle name="Bad 5" xfId="2000" xr:uid="{00000000-0005-0000-0000-0000CA070000}"/>
    <cellStyle name="Bad 5 2" xfId="2001" xr:uid="{00000000-0005-0000-0000-0000CB070000}"/>
    <cellStyle name="Bad 6" xfId="2002" xr:uid="{00000000-0005-0000-0000-0000CC070000}"/>
    <cellStyle name="Bad 7" xfId="2003" xr:uid="{00000000-0005-0000-0000-0000CD070000}"/>
    <cellStyle name="Bad 8" xfId="2004" xr:uid="{00000000-0005-0000-0000-0000CE070000}"/>
    <cellStyle name="Bad 9" xfId="2005" xr:uid="{00000000-0005-0000-0000-0000CF070000}"/>
    <cellStyle name="Calc Currency (0)" xfId="2006" xr:uid="{00000000-0005-0000-0000-0000D0070000}"/>
    <cellStyle name="Calc Currency (0) 2" xfId="2007" xr:uid="{00000000-0005-0000-0000-0000D1070000}"/>
    <cellStyle name="Calc Currency (2)" xfId="2008" xr:uid="{00000000-0005-0000-0000-0000D2070000}"/>
    <cellStyle name="Calc Currency (2) 2" xfId="2009" xr:uid="{00000000-0005-0000-0000-0000D3070000}"/>
    <cellStyle name="Calc Percent (0)" xfId="2010" xr:uid="{00000000-0005-0000-0000-0000D4070000}"/>
    <cellStyle name="Calc Percent (0) 2" xfId="2011" xr:uid="{00000000-0005-0000-0000-0000D5070000}"/>
    <cellStyle name="Calc Percent (1)" xfId="2012" xr:uid="{00000000-0005-0000-0000-0000D6070000}"/>
    <cellStyle name="Calc Percent (1) 2" xfId="2013" xr:uid="{00000000-0005-0000-0000-0000D7070000}"/>
    <cellStyle name="Calc Percent (2)" xfId="2014" xr:uid="{00000000-0005-0000-0000-0000D8070000}"/>
    <cellStyle name="Calc Percent (2) 2" xfId="2015" xr:uid="{00000000-0005-0000-0000-0000D9070000}"/>
    <cellStyle name="Calc Units (0)" xfId="2016" xr:uid="{00000000-0005-0000-0000-0000DA070000}"/>
    <cellStyle name="Calc Units (0) 2" xfId="2017" xr:uid="{00000000-0005-0000-0000-0000DB070000}"/>
    <cellStyle name="Calc Units (1)" xfId="2018" xr:uid="{00000000-0005-0000-0000-0000DC070000}"/>
    <cellStyle name="Calc Units (1) 2" xfId="2019" xr:uid="{00000000-0005-0000-0000-0000DD070000}"/>
    <cellStyle name="Calc Units (2)" xfId="2020" xr:uid="{00000000-0005-0000-0000-0000DE070000}"/>
    <cellStyle name="Calc Units (2) 2" xfId="2021" xr:uid="{00000000-0005-0000-0000-0000DF070000}"/>
    <cellStyle name="Calculation 10" xfId="2022" xr:uid="{00000000-0005-0000-0000-0000E0070000}"/>
    <cellStyle name="Calculation 11" xfId="2023" xr:uid="{00000000-0005-0000-0000-0000E1070000}"/>
    <cellStyle name="Calculation 12" xfId="2024" xr:uid="{00000000-0005-0000-0000-0000E2070000}"/>
    <cellStyle name="Calculation 2" xfId="2025" xr:uid="{00000000-0005-0000-0000-0000E3070000}"/>
    <cellStyle name="Calculation 2 10" xfId="2026" xr:uid="{00000000-0005-0000-0000-0000E4070000}"/>
    <cellStyle name="Calculation 2 2" xfId="2027" xr:uid="{00000000-0005-0000-0000-0000E5070000}"/>
    <cellStyle name="Calculation 2 2 2" xfId="2028" xr:uid="{00000000-0005-0000-0000-0000E6070000}"/>
    <cellStyle name="Calculation 2 2 2 2" xfId="2029" xr:uid="{00000000-0005-0000-0000-0000E7070000}"/>
    <cellStyle name="Calculation 2 2 2 2 2" xfId="2030" xr:uid="{00000000-0005-0000-0000-0000E8070000}"/>
    <cellStyle name="Calculation 2 2 2 3" xfId="2031" xr:uid="{00000000-0005-0000-0000-0000E9070000}"/>
    <cellStyle name="Calculation 2 2 2 3 2" xfId="2032" xr:uid="{00000000-0005-0000-0000-0000EA070000}"/>
    <cellStyle name="Calculation 2 2 2 4" xfId="2033" xr:uid="{00000000-0005-0000-0000-0000EB070000}"/>
    <cellStyle name="Calculation 2 2 2 5" xfId="2034" xr:uid="{00000000-0005-0000-0000-0000EC070000}"/>
    <cellStyle name="Calculation 2 2 2 6" xfId="2035" xr:uid="{00000000-0005-0000-0000-0000ED070000}"/>
    <cellStyle name="Calculation 2 2 2 7" xfId="2036" xr:uid="{00000000-0005-0000-0000-0000EE070000}"/>
    <cellStyle name="Calculation 2 2 2 8" xfId="2037" xr:uid="{00000000-0005-0000-0000-0000EF070000}"/>
    <cellStyle name="Calculation 2 2 2 9" xfId="2038" xr:uid="{00000000-0005-0000-0000-0000F0070000}"/>
    <cellStyle name="Calculation 2 2 3" xfId="2039" xr:uid="{00000000-0005-0000-0000-0000F1070000}"/>
    <cellStyle name="Calculation 2 2 3 2" xfId="2040" xr:uid="{00000000-0005-0000-0000-0000F2070000}"/>
    <cellStyle name="Calculation 2 2 4" xfId="2041" xr:uid="{00000000-0005-0000-0000-0000F3070000}"/>
    <cellStyle name="Calculation 2 2 5" xfId="2042" xr:uid="{00000000-0005-0000-0000-0000F4070000}"/>
    <cellStyle name="Calculation 2 2 6" xfId="2043" xr:uid="{00000000-0005-0000-0000-0000F5070000}"/>
    <cellStyle name="Calculation 2 2 7" xfId="2044" xr:uid="{00000000-0005-0000-0000-0000F6070000}"/>
    <cellStyle name="Calculation 2 2 8" xfId="2045" xr:uid="{00000000-0005-0000-0000-0000F7070000}"/>
    <cellStyle name="Calculation 2 2 9" xfId="2046" xr:uid="{00000000-0005-0000-0000-0000F8070000}"/>
    <cellStyle name="Calculation 2 3" xfId="2047" xr:uid="{00000000-0005-0000-0000-0000F9070000}"/>
    <cellStyle name="Calculation 2 3 2" xfId="2048" xr:uid="{00000000-0005-0000-0000-0000FA070000}"/>
    <cellStyle name="Calculation 2 4" xfId="2049" xr:uid="{00000000-0005-0000-0000-0000FB070000}"/>
    <cellStyle name="Calculation 2 4 2" xfId="2050" xr:uid="{00000000-0005-0000-0000-0000FC070000}"/>
    <cellStyle name="Calculation 2 5" xfId="2051" xr:uid="{00000000-0005-0000-0000-0000FD070000}"/>
    <cellStyle name="Calculation 2 6" xfId="2052" xr:uid="{00000000-0005-0000-0000-0000FE070000}"/>
    <cellStyle name="Calculation 2 7" xfId="2053" xr:uid="{00000000-0005-0000-0000-0000FF070000}"/>
    <cellStyle name="Calculation 2 8" xfId="2054" xr:uid="{00000000-0005-0000-0000-000000080000}"/>
    <cellStyle name="Calculation 2 9" xfId="2055" xr:uid="{00000000-0005-0000-0000-000001080000}"/>
    <cellStyle name="Calculation 3" xfId="2056" xr:uid="{00000000-0005-0000-0000-000002080000}"/>
    <cellStyle name="Calculation 3 2" xfId="2057" xr:uid="{00000000-0005-0000-0000-000003080000}"/>
    <cellStyle name="Calculation 4" xfId="2058" xr:uid="{00000000-0005-0000-0000-000004080000}"/>
    <cellStyle name="Calculation 4 2" xfId="2059" xr:uid="{00000000-0005-0000-0000-000005080000}"/>
    <cellStyle name="Calculation 5" xfId="2060" xr:uid="{00000000-0005-0000-0000-000006080000}"/>
    <cellStyle name="Calculation 5 2" xfId="2061" xr:uid="{00000000-0005-0000-0000-000007080000}"/>
    <cellStyle name="Calculation 6" xfId="2062" xr:uid="{00000000-0005-0000-0000-000008080000}"/>
    <cellStyle name="Calculation 7" xfId="2063" xr:uid="{00000000-0005-0000-0000-000009080000}"/>
    <cellStyle name="Calculation 8" xfId="2064" xr:uid="{00000000-0005-0000-0000-00000A080000}"/>
    <cellStyle name="Calculation 9" xfId="2065" xr:uid="{00000000-0005-0000-0000-00000B080000}"/>
    <cellStyle name="Cents" xfId="2066" xr:uid="{00000000-0005-0000-0000-00000C080000}"/>
    <cellStyle name="Check Cell 10" xfId="2067" xr:uid="{00000000-0005-0000-0000-00000D080000}"/>
    <cellStyle name="Check Cell 11" xfId="2068" xr:uid="{00000000-0005-0000-0000-00000E080000}"/>
    <cellStyle name="Check Cell 12" xfId="2069" xr:uid="{00000000-0005-0000-0000-00000F080000}"/>
    <cellStyle name="Check Cell 2" xfId="2070" xr:uid="{00000000-0005-0000-0000-000010080000}"/>
    <cellStyle name="Check Cell 2 10" xfId="2071" xr:uid="{00000000-0005-0000-0000-000011080000}"/>
    <cellStyle name="Check Cell 2 2" xfId="2072" xr:uid="{00000000-0005-0000-0000-000012080000}"/>
    <cellStyle name="Check Cell 2 2 2" xfId="2073" xr:uid="{00000000-0005-0000-0000-000013080000}"/>
    <cellStyle name="Check Cell 2 2 2 2" xfId="2074" xr:uid="{00000000-0005-0000-0000-000014080000}"/>
    <cellStyle name="Check Cell 2 2 2 2 2" xfId="2075" xr:uid="{00000000-0005-0000-0000-000015080000}"/>
    <cellStyle name="Check Cell 2 2 2 3" xfId="2076" xr:uid="{00000000-0005-0000-0000-000016080000}"/>
    <cellStyle name="Check Cell 2 2 2 3 2" xfId="2077" xr:uid="{00000000-0005-0000-0000-000017080000}"/>
    <cellStyle name="Check Cell 2 2 2 4" xfId="2078" xr:uid="{00000000-0005-0000-0000-000018080000}"/>
    <cellStyle name="Check Cell 2 2 2 5" xfId="2079" xr:uid="{00000000-0005-0000-0000-000019080000}"/>
    <cellStyle name="Check Cell 2 2 2 6" xfId="2080" xr:uid="{00000000-0005-0000-0000-00001A080000}"/>
    <cellStyle name="Check Cell 2 2 2 7" xfId="2081" xr:uid="{00000000-0005-0000-0000-00001B080000}"/>
    <cellStyle name="Check Cell 2 2 2 8" xfId="2082" xr:uid="{00000000-0005-0000-0000-00001C080000}"/>
    <cellStyle name="Check Cell 2 2 2 9" xfId="2083" xr:uid="{00000000-0005-0000-0000-00001D080000}"/>
    <cellStyle name="Check Cell 2 2 3" xfId="2084" xr:uid="{00000000-0005-0000-0000-00001E080000}"/>
    <cellStyle name="Check Cell 2 2 3 2" xfId="2085" xr:uid="{00000000-0005-0000-0000-00001F080000}"/>
    <cellStyle name="Check Cell 2 2 4" xfId="2086" xr:uid="{00000000-0005-0000-0000-000020080000}"/>
    <cellStyle name="Check Cell 2 2 5" xfId="2087" xr:uid="{00000000-0005-0000-0000-000021080000}"/>
    <cellStyle name="Check Cell 2 2 6" xfId="2088" xr:uid="{00000000-0005-0000-0000-000022080000}"/>
    <cellStyle name="Check Cell 2 2 7" xfId="2089" xr:uid="{00000000-0005-0000-0000-000023080000}"/>
    <cellStyle name="Check Cell 2 2 8" xfId="2090" xr:uid="{00000000-0005-0000-0000-000024080000}"/>
    <cellStyle name="Check Cell 2 2 9" xfId="2091" xr:uid="{00000000-0005-0000-0000-000025080000}"/>
    <cellStyle name="Check Cell 2 3" xfId="2092" xr:uid="{00000000-0005-0000-0000-000026080000}"/>
    <cellStyle name="Check Cell 2 3 2" xfId="2093" xr:uid="{00000000-0005-0000-0000-000027080000}"/>
    <cellStyle name="Check Cell 2 4" xfId="2094" xr:uid="{00000000-0005-0000-0000-000028080000}"/>
    <cellStyle name="Check Cell 2 4 2" xfId="2095" xr:uid="{00000000-0005-0000-0000-000029080000}"/>
    <cellStyle name="Check Cell 2 5" xfId="2096" xr:uid="{00000000-0005-0000-0000-00002A080000}"/>
    <cellStyle name="Check Cell 2 6" xfId="2097" xr:uid="{00000000-0005-0000-0000-00002B080000}"/>
    <cellStyle name="Check Cell 2 7" xfId="2098" xr:uid="{00000000-0005-0000-0000-00002C080000}"/>
    <cellStyle name="Check Cell 2 8" xfId="2099" xr:uid="{00000000-0005-0000-0000-00002D080000}"/>
    <cellStyle name="Check Cell 2 9" xfId="2100" xr:uid="{00000000-0005-0000-0000-00002E080000}"/>
    <cellStyle name="Check Cell 3" xfId="2101" xr:uid="{00000000-0005-0000-0000-00002F080000}"/>
    <cellStyle name="Check Cell 3 2" xfId="2102" xr:uid="{00000000-0005-0000-0000-000030080000}"/>
    <cellStyle name="Check Cell 4" xfId="2103" xr:uid="{00000000-0005-0000-0000-000031080000}"/>
    <cellStyle name="Check Cell 4 2" xfId="2104" xr:uid="{00000000-0005-0000-0000-000032080000}"/>
    <cellStyle name="Check Cell 5" xfId="2105" xr:uid="{00000000-0005-0000-0000-000033080000}"/>
    <cellStyle name="Check Cell 5 2" xfId="2106" xr:uid="{00000000-0005-0000-0000-000034080000}"/>
    <cellStyle name="Check Cell 6" xfId="2107" xr:uid="{00000000-0005-0000-0000-000035080000}"/>
    <cellStyle name="Check Cell 7" xfId="2108" xr:uid="{00000000-0005-0000-0000-000036080000}"/>
    <cellStyle name="Check Cell 8" xfId="2109" xr:uid="{00000000-0005-0000-0000-000037080000}"/>
    <cellStyle name="Check Cell 9" xfId="2110" xr:uid="{00000000-0005-0000-0000-000038080000}"/>
    <cellStyle name="ColumnAttributeAbovePrompt" xfId="2111" xr:uid="{00000000-0005-0000-0000-000039080000}"/>
    <cellStyle name="ColumnAttributeAbovePrompt 2" xfId="2112" xr:uid="{00000000-0005-0000-0000-00003A080000}"/>
    <cellStyle name="ColumnAttributePrompt" xfId="2113" xr:uid="{00000000-0005-0000-0000-00003B080000}"/>
    <cellStyle name="ColumnAttributePrompt 2" xfId="2114" xr:uid="{00000000-0005-0000-0000-00003C080000}"/>
    <cellStyle name="ColumnAttributeValue" xfId="2115" xr:uid="{00000000-0005-0000-0000-00003D080000}"/>
    <cellStyle name="ColumnAttributeValue 2" xfId="2116" xr:uid="{00000000-0005-0000-0000-00003E080000}"/>
    <cellStyle name="ColumnHeadingPrompt" xfId="2117" xr:uid="{00000000-0005-0000-0000-00003F080000}"/>
    <cellStyle name="ColumnHeadingPrompt 2" xfId="2118" xr:uid="{00000000-0005-0000-0000-000040080000}"/>
    <cellStyle name="ColumnHeadingValue" xfId="2119" xr:uid="{00000000-0005-0000-0000-000041080000}"/>
    <cellStyle name="ColumnHeadingValue 2" xfId="2120" xr:uid="{00000000-0005-0000-0000-000042080000}"/>
    <cellStyle name="Comma" xfId="1" builtinId="3"/>
    <cellStyle name="Comma [00]" xfId="2121" xr:uid="{00000000-0005-0000-0000-000044080000}"/>
    <cellStyle name="Comma [00] 2" xfId="2122" xr:uid="{00000000-0005-0000-0000-000045080000}"/>
    <cellStyle name="Comma 10" xfId="2123" xr:uid="{00000000-0005-0000-0000-000046080000}"/>
    <cellStyle name="Comma 10 10" xfId="2124" xr:uid="{00000000-0005-0000-0000-000047080000}"/>
    <cellStyle name="Comma 10 10 2" xfId="2125" xr:uid="{00000000-0005-0000-0000-000048080000}"/>
    <cellStyle name="Comma 10 10 2 2" xfId="2126" xr:uid="{00000000-0005-0000-0000-000049080000}"/>
    <cellStyle name="Comma 10 10 2 3" xfId="2127" xr:uid="{00000000-0005-0000-0000-00004A080000}"/>
    <cellStyle name="Comma 10 10 3" xfId="2128" xr:uid="{00000000-0005-0000-0000-00004B080000}"/>
    <cellStyle name="Comma 10 10 4" xfId="2129" xr:uid="{00000000-0005-0000-0000-00004C080000}"/>
    <cellStyle name="Comma 10 11" xfId="2130" xr:uid="{00000000-0005-0000-0000-00004D080000}"/>
    <cellStyle name="Comma 10 11 2" xfId="2131" xr:uid="{00000000-0005-0000-0000-00004E080000}"/>
    <cellStyle name="Comma 10 11 2 2" xfId="2132" xr:uid="{00000000-0005-0000-0000-00004F080000}"/>
    <cellStyle name="Comma 10 11 2 3" xfId="2133" xr:uid="{00000000-0005-0000-0000-000050080000}"/>
    <cellStyle name="Comma 10 11 3" xfId="2134" xr:uid="{00000000-0005-0000-0000-000051080000}"/>
    <cellStyle name="Comma 10 11 4" xfId="2135" xr:uid="{00000000-0005-0000-0000-000052080000}"/>
    <cellStyle name="Comma 10 12" xfId="2136" xr:uid="{00000000-0005-0000-0000-000053080000}"/>
    <cellStyle name="Comma 10 12 2" xfId="2137" xr:uid="{00000000-0005-0000-0000-000054080000}"/>
    <cellStyle name="Comma 10 12 2 2" xfId="2138" xr:uid="{00000000-0005-0000-0000-000055080000}"/>
    <cellStyle name="Comma 10 12 2 3" xfId="2139" xr:uid="{00000000-0005-0000-0000-000056080000}"/>
    <cellStyle name="Comma 10 12 3" xfId="2140" xr:uid="{00000000-0005-0000-0000-000057080000}"/>
    <cellStyle name="Comma 10 12 4" xfId="2141" xr:uid="{00000000-0005-0000-0000-000058080000}"/>
    <cellStyle name="Comma 10 13" xfId="2142" xr:uid="{00000000-0005-0000-0000-000059080000}"/>
    <cellStyle name="Comma 10 13 2" xfId="2143" xr:uid="{00000000-0005-0000-0000-00005A080000}"/>
    <cellStyle name="Comma 10 13 2 2" xfId="2144" xr:uid="{00000000-0005-0000-0000-00005B080000}"/>
    <cellStyle name="Comma 10 13 2 3" xfId="2145" xr:uid="{00000000-0005-0000-0000-00005C080000}"/>
    <cellStyle name="Comma 10 13 3" xfId="2146" xr:uid="{00000000-0005-0000-0000-00005D080000}"/>
    <cellStyle name="Comma 10 13 4" xfId="2147" xr:uid="{00000000-0005-0000-0000-00005E080000}"/>
    <cellStyle name="Comma 10 14" xfId="2148" xr:uid="{00000000-0005-0000-0000-00005F080000}"/>
    <cellStyle name="Comma 10 14 2" xfId="2149" xr:uid="{00000000-0005-0000-0000-000060080000}"/>
    <cellStyle name="Comma 10 14 2 2" xfId="2150" xr:uid="{00000000-0005-0000-0000-000061080000}"/>
    <cellStyle name="Comma 10 14 2 3" xfId="2151" xr:uid="{00000000-0005-0000-0000-000062080000}"/>
    <cellStyle name="Comma 10 14 3" xfId="2152" xr:uid="{00000000-0005-0000-0000-000063080000}"/>
    <cellStyle name="Comma 10 14 4" xfId="2153" xr:uid="{00000000-0005-0000-0000-000064080000}"/>
    <cellStyle name="Comma 10 15" xfId="2154" xr:uid="{00000000-0005-0000-0000-000065080000}"/>
    <cellStyle name="Comma 10 15 2" xfId="2155" xr:uid="{00000000-0005-0000-0000-000066080000}"/>
    <cellStyle name="Comma 10 15 2 2" xfId="2156" xr:uid="{00000000-0005-0000-0000-000067080000}"/>
    <cellStyle name="Comma 10 15 2 3" xfId="2157" xr:uid="{00000000-0005-0000-0000-000068080000}"/>
    <cellStyle name="Comma 10 15 3" xfId="2158" xr:uid="{00000000-0005-0000-0000-000069080000}"/>
    <cellStyle name="Comma 10 15 4" xfId="2159" xr:uid="{00000000-0005-0000-0000-00006A080000}"/>
    <cellStyle name="Comma 10 16" xfId="2160" xr:uid="{00000000-0005-0000-0000-00006B080000}"/>
    <cellStyle name="Comma 10 16 2" xfId="2161" xr:uid="{00000000-0005-0000-0000-00006C080000}"/>
    <cellStyle name="Comma 10 16 2 2" xfId="2162" xr:uid="{00000000-0005-0000-0000-00006D080000}"/>
    <cellStyle name="Comma 10 16 2 3" xfId="2163" xr:uid="{00000000-0005-0000-0000-00006E080000}"/>
    <cellStyle name="Comma 10 16 3" xfId="2164" xr:uid="{00000000-0005-0000-0000-00006F080000}"/>
    <cellStyle name="Comma 10 16 4" xfId="2165" xr:uid="{00000000-0005-0000-0000-000070080000}"/>
    <cellStyle name="Comma 10 17" xfId="2166" xr:uid="{00000000-0005-0000-0000-000071080000}"/>
    <cellStyle name="Comma 10 17 2" xfId="2167" xr:uid="{00000000-0005-0000-0000-000072080000}"/>
    <cellStyle name="Comma 10 17 2 2" xfId="2168" xr:uid="{00000000-0005-0000-0000-000073080000}"/>
    <cellStyle name="Comma 10 17 2 3" xfId="2169" xr:uid="{00000000-0005-0000-0000-000074080000}"/>
    <cellStyle name="Comma 10 17 3" xfId="2170" xr:uid="{00000000-0005-0000-0000-000075080000}"/>
    <cellStyle name="Comma 10 17 4" xfId="2171" xr:uid="{00000000-0005-0000-0000-000076080000}"/>
    <cellStyle name="Comma 10 18" xfId="2172" xr:uid="{00000000-0005-0000-0000-000077080000}"/>
    <cellStyle name="Comma 10 18 2" xfId="2173" xr:uid="{00000000-0005-0000-0000-000078080000}"/>
    <cellStyle name="Comma 10 18 2 2" xfId="2174" xr:uid="{00000000-0005-0000-0000-000079080000}"/>
    <cellStyle name="Comma 10 18 2 3" xfId="2175" xr:uid="{00000000-0005-0000-0000-00007A080000}"/>
    <cellStyle name="Comma 10 18 3" xfId="2176" xr:uid="{00000000-0005-0000-0000-00007B080000}"/>
    <cellStyle name="Comma 10 18 4" xfId="2177" xr:uid="{00000000-0005-0000-0000-00007C080000}"/>
    <cellStyle name="Comma 10 19" xfId="2178" xr:uid="{00000000-0005-0000-0000-00007D080000}"/>
    <cellStyle name="Comma 10 19 2" xfId="2179" xr:uid="{00000000-0005-0000-0000-00007E080000}"/>
    <cellStyle name="Comma 10 19 2 2" xfId="2180" xr:uid="{00000000-0005-0000-0000-00007F080000}"/>
    <cellStyle name="Comma 10 19 2 3" xfId="2181" xr:uid="{00000000-0005-0000-0000-000080080000}"/>
    <cellStyle name="Comma 10 19 3" xfId="2182" xr:uid="{00000000-0005-0000-0000-000081080000}"/>
    <cellStyle name="Comma 10 19 4" xfId="2183" xr:uid="{00000000-0005-0000-0000-000082080000}"/>
    <cellStyle name="Comma 10 2" xfId="2184" xr:uid="{00000000-0005-0000-0000-000083080000}"/>
    <cellStyle name="Comma 10 2 2" xfId="2185" xr:uid="{00000000-0005-0000-0000-000084080000}"/>
    <cellStyle name="Comma 10 2 2 2" xfId="2186" xr:uid="{00000000-0005-0000-0000-000085080000}"/>
    <cellStyle name="Comma 10 2 2 3" xfId="2187" xr:uid="{00000000-0005-0000-0000-000086080000}"/>
    <cellStyle name="Comma 10 2 3" xfId="2188" xr:uid="{00000000-0005-0000-0000-000087080000}"/>
    <cellStyle name="Comma 10 2 4" xfId="2189" xr:uid="{00000000-0005-0000-0000-000088080000}"/>
    <cellStyle name="Comma 10 20" xfId="2190" xr:uid="{00000000-0005-0000-0000-000089080000}"/>
    <cellStyle name="Comma 10 20 2" xfId="2191" xr:uid="{00000000-0005-0000-0000-00008A080000}"/>
    <cellStyle name="Comma 10 20 2 2" xfId="2192" xr:uid="{00000000-0005-0000-0000-00008B080000}"/>
    <cellStyle name="Comma 10 20 2 3" xfId="2193" xr:uid="{00000000-0005-0000-0000-00008C080000}"/>
    <cellStyle name="Comma 10 20 3" xfId="2194" xr:uid="{00000000-0005-0000-0000-00008D080000}"/>
    <cellStyle name="Comma 10 20 4" xfId="2195" xr:uid="{00000000-0005-0000-0000-00008E080000}"/>
    <cellStyle name="Comma 10 21" xfId="2196" xr:uid="{00000000-0005-0000-0000-00008F080000}"/>
    <cellStyle name="Comma 10 21 2" xfId="2197" xr:uid="{00000000-0005-0000-0000-000090080000}"/>
    <cellStyle name="Comma 10 21 2 2" xfId="2198" xr:uid="{00000000-0005-0000-0000-000091080000}"/>
    <cellStyle name="Comma 10 21 2 3" xfId="2199" xr:uid="{00000000-0005-0000-0000-000092080000}"/>
    <cellStyle name="Comma 10 21 3" xfId="2200" xr:uid="{00000000-0005-0000-0000-000093080000}"/>
    <cellStyle name="Comma 10 21 4" xfId="2201" xr:uid="{00000000-0005-0000-0000-000094080000}"/>
    <cellStyle name="Comma 10 22" xfId="2202" xr:uid="{00000000-0005-0000-0000-000095080000}"/>
    <cellStyle name="Comma 10 22 2" xfId="2203" xr:uid="{00000000-0005-0000-0000-000096080000}"/>
    <cellStyle name="Comma 10 22 2 2" xfId="2204" xr:uid="{00000000-0005-0000-0000-000097080000}"/>
    <cellStyle name="Comma 10 22 2 3" xfId="2205" xr:uid="{00000000-0005-0000-0000-000098080000}"/>
    <cellStyle name="Comma 10 22 3" xfId="2206" xr:uid="{00000000-0005-0000-0000-000099080000}"/>
    <cellStyle name="Comma 10 22 4" xfId="2207" xr:uid="{00000000-0005-0000-0000-00009A080000}"/>
    <cellStyle name="Comma 10 23" xfId="2208" xr:uid="{00000000-0005-0000-0000-00009B080000}"/>
    <cellStyle name="Comma 10 23 2" xfId="2209" xr:uid="{00000000-0005-0000-0000-00009C080000}"/>
    <cellStyle name="Comma 10 23 2 2" xfId="2210" xr:uid="{00000000-0005-0000-0000-00009D080000}"/>
    <cellStyle name="Comma 10 23 2 3" xfId="2211" xr:uid="{00000000-0005-0000-0000-00009E080000}"/>
    <cellStyle name="Comma 10 23 3" xfId="2212" xr:uid="{00000000-0005-0000-0000-00009F080000}"/>
    <cellStyle name="Comma 10 23 4" xfId="2213" xr:uid="{00000000-0005-0000-0000-0000A0080000}"/>
    <cellStyle name="Comma 10 24" xfId="2214" xr:uid="{00000000-0005-0000-0000-0000A1080000}"/>
    <cellStyle name="Comma 10 24 2" xfId="2215" xr:uid="{00000000-0005-0000-0000-0000A2080000}"/>
    <cellStyle name="Comma 10 24 2 2" xfId="2216" xr:uid="{00000000-0005-0000-0000-0000A3080000}"/>
    <cellStyle name="Comma 10 24 2 3" xfId="2217" xr:uid="{00000000-0005-0000-0000-0000A4080000}"/>
    <cellStyle name="Comma 10 24 3" xfId="2218" xr:uid="{00000000-0005-0000-0000-0000A5080000}"/>
    <cellStyle name="Comma 10 24 4" xfId="2219" xr:uid="{00000000-0005-0000-0000-0000A6080000}"/>
    <cellStyle name="Comma 10 3" xfId="2220" xr:uid="{00000000-0005-0000-0000-0000A7080000}"/>
    <cellStyle name="Comma 10 3 2" xfId="2221" xr:uid="{00000000-0005-0000-0000-0000A8080000}"/>
    <cellStyle name="Comma 10 3 2 2" xfId="2222" xr:uid="{00000000-0005-0000-0000-0000A9080000}"/>
    <cellStyle name="Comma 10 3 2 3" xfId="2223" xr:uid="{00000000-0005-0000-0000-0000AA080000}"/>
    <cellStyle name="Comma 10 3 3" xfId="2224" xr:uid="{00000000-0005-0000-0000-0000AB080000}"/>
    <cellStyle name="Comma 10 3 4" xfId="2225" xr:uid="{00000000-0005-0000-0000-0000AC080000}"/>
    <cellStyle name="Comma 10 4" xfId="2226" xr:uid="{00000000-0005-0000-0000-0000AD080000}"/>
    <cellStyle name="Comma 10 4 2" xfId="2227" xr:uid="{00000000-0005-0000-0000-0000AE080000}"/>
    <cellStyle name="Comma 10 4 2 2" xfId="2228" xr:uid="{00000000-0005-0000-0000-0000AF080000}"/>
    <cellStyle name="Comma 10 4 2 3" xfId="2229" xr:uid="{00000000-0005-0000-0000-0000B0080000}"/>
    <cellStyle name="Comma 10 4 3" xfId="2230" xr:uid="{00000000-0005-0000-0000-0000B1080000}"/>
    <cellStyle name="Comma 10 4 4" xfId="2231" xr:uid="{00000000-0005-0000-0000-0000B2080000}"/>
    <cellStyle name="Comma 10 5" xfId="2232" xr:uid="{00000000-0005-0000-0000-0000B3080000}"/>
    <cellStyle name="Comma 10 5 2" xfId="2233" xr:uid="{00000000-0005-0000-0000-0000B4080000}"/>
    <cellStyle name="Comma 10 5 2 2" xfId="2234" xr:uid="{00000000-0005-0000-0000-0000B5080000}"/>
    <cellStyle name="Comma 10 5 2 3" xfId="2235" xr:uid="{00000000-0005-0000-0000-0000B6080000}"/>
    <cellStyle name="Comma 10 5 3" xfId="2236" xr:uid="{00000000-0005-0000-0000-0000B7080000}"/>
    <cellStyle name="Comma 10 5 4" xfId="2237" xr:uid="{00000000-0005-0000-0000-0000B8080000}"/>
    <cellStyle name="Comma 10 6" xfId="2238" xr:uid="{00000000-0005-0000-0000-0000B9080000}"/>
    <cellStyle name="Comma 10 6 2" xfId="2239" xr:uid="{00000000-0005-0000-0000-0000BA080000}"/>
    <cellStyle name="Comma 10 6 2 2" xfId="2240" xr:uid="{00000000-0005-0000-0000-0000BB080000}"/>
    <cellStyle name="Comma 10 6 2 3" xfId="2241" xr:uid="{00000000-0005-0000-0000-0000BC080000}"/>
    <cellStyle name="Comma 10 6 3" xfId="2242" xr:uid="{00000000-0005-0000-0000-0000BD080000}"/>
    <cellStyle name="Comma 10 6 4" xfId="2243" xr:uid="{00000000-0005-0000-0000-0000BE080000}"/>
    <cellStyle name="Comma 10 7" xfId="2244" xr:uid="{00000000-0005-0000-0000-0000BF080000}"/>
    <cellStyle name="Comma 10 7 2" xfId="2245" xr:uid="{00000000-0005-0000-0000-0000C0080000}"/>
    <cellStyle name="Comma 10 7 2 2" xfId="2246" xr:uid="{00000000-0005-0000-0000-0000C1080000}"/>
    <cellStyle name="Comma 10 7 2 3" xfId="2247" xr:uid="{00000000-0005-0000-0000-0000C2080000}"/>
    <cellStyle name="Comma 10 7 3" xfId="2248" xr:uid="{00000000-0005-0000-0000-0000C3080000}"/>
    <cellStyle name="Comma 10 7 4" xfId="2249" xr:uid="{00000000-0005-0000-0000-0000C4080000}"/>
    <cellStyle name="Comma 10 8" xfId="2250" xr:uid="{00000000-0005-0000-0000-0000C5080000}"/>
    <cellStyle name="Comma 10 8 2" xfId="2251" xr:uid="{00000000-0005-0000-0000-0000C6080000}"/>
    <cellStyle name="Comma 10 8 2 2" xfId="2252" xr:uid="{00000000-0005-0000-0000-0000C7080000}"/>
    <cellStyle name="Comma 10 8 2 3" xfId="2253" xr:uid="{00000000-0005-0000-0000-0000C8080000}"/>
    <cellStyle name="Comma 10 8 3" xfId="2254" xr:uid="{00000000-0005-0000-0000-0000C9080000}"/>
    <cellStyle name="Comma 10 8 4" xfId="2255" xr:uid="{00000000-0005-0000-0000-0000CA080000}"/>
    <cellStyle name="Comma 10 9" xfId="2256" xr:uid="{00000000-0005-0000-0000-0000CB080000}"/>
    <cellStyle name="Comma 10 9 2" xfId="2257" xr:uid="{00000000-0005-0000-0000-0000CC080000}"/>
    <cellStyle name="Comma 10 9 2 2" xfId="2258" xr:uid="{00000000-0005-0000-0000-0000CD080000}"/>
    <cellStyle name="Comma 10 9 2 3" xfId="2259" xr:uid="{00000000-0005-0000-0000-0000CE080000}"/>
    <cellStyle name="Comma 10 9 3" xfId="2260" xr:uid="{00000000-0005-0000-0000-0000CF080000}"/>
    <cellStyle name="Comma 10 9 4" xfId="2261" xr:uid="{00000000-0005-0000-0000-0000D0080000}"/>
    <cellStyle name="Comma 11" xfId="2262" xr:uid="{00000000-0005-0000-0000-0000D1080000}"/>
    <cellStyle name="Comma 11 10" xfId="2263" xr:uid="{00000000-0005-0000-0000-0000D2080000}"/>
    <cellStyle name="Comma 11 10 2" xfId="2264" xr:uid="{00000000-0005-0000-0000-0000D3080000}"/>
    <cellStyle name="Comma 11 10 2 2" xfId="2265" xr:uid="{00000000-0005-0000-0000-0000D4080000}"/>
    <cellStyle name="Comma 11 10 2 3" xfId="2266" xr:uid="{00000000-0005-0000-0000-0000D5080000}"/>
    <cellStyle name="Comma 11 10 3" xfId="2267" xr:uid="{00000000-0005-0000-0000-0000D6080000}"/>
    <cellStyle name="Comma 11 10 4" xfId="2268" xr:uid="{00000000-0005-0000-0000-0000D7080000}"/>
    <cellStyle name="Comma 11 11" xfId="2269" xr:uid="{00000000-0005-0000-0000-0000D8080000}"/>
    <cellStyle name="Comma 11 11 2" xfId="2270" xr:uid="{00000000-0005-0000-0000-0000D9080000}"/>
    <cellStyle name="Comma 11 11 2 2" xfId="2271" xr:uid="{00000000-0005-0000-0000-0000DA080000}"/>
    <cellStyle name="Comma 11 11 2 3" xfId="2272" xr:uid="{00000000-0005-0000-0000-0000DB080000}"/>
    <cellStyle name="Comma 11 11 3" xfId="2273" xr:uid="{00000000-0005-0000-0000-0000DC080000}"/>
    <cellStyle name="Comma 11 11 4" xfId="2274" xr:uid="{00000000-0005-0000-0000-0000DD080000}"/>
    <cellStyle name="Comma 11 12" xfId="2275" xr:uid="{00000000-0005-0000-0000-0000DE080000}"/>
    <cellStyle name="Comma 11 12 2" xfId="2276" xr:uid="{00000000-0005-0000-0000-0000DF080000}"/>
    <cellStyle name="Comma 11 12 2 2" xfId="2277" xr:uid="{00000000-0005-0000-0000-0000E0080000}"/>
    <cellStyle name="Comma 11 12 2 3" xfId="2278" xr:uid="{00000000-0005-0000-0000-0000E1080000}"/>
    <cellStyle name="Comma 11 12 3" xfId="2279" xr:uid="{00000000-0005-0000-0000-0000E2080000}"/>
    <cellStyle name="Comma 11 12 4" xfId="2280" xr:uid="{00000000-0005-0000-0000-0000E3080000}"/>
    <cellStyle name="Comma 11 13" xfId="2281" xr:uid="{00000000-0005-0000-0000-0000E4080000}"/>
    <cellStyle name="Comma 11 13 2" xfId="2282" xr:uid="{00000000-0005-0000-0000-0000E5080000}"/>
    <cellStyle name="Comma 11 13 2 2" xfId="2283" xr:uid="{00000000-0005-0000-0000-0000E6080000}"/>
    <cellStyle name="Comma 11 13 2 3" xfId="2284" xr:uid="{00000000-0005-0000-0000-0000E7080000}"/>
    <cellStyle name="Comma 11 13 3" xfId="2285" xr:uid="{00000000-0005-0000-0000-0000E8080000}"/>
    <cellStyle name="Comma 11 13 4" xfId="2286" xr:uid="{00000000-0005-0000-0000-0000E9080000}"/>
    <cellStyle name="Comma 11 14" xfId="2287" xr:uid="{00000000-0005-0000-0000-0000EA080000}"/>
    <cellStyle name="Comma 11 14 2" xfId="2288" xr:uid="{00000000-0005-0000-0000-0000EB080000}"/>
    <cellStyle name="Comma 11 14 2 2" xfId="2289" xr:uid="{00000000-0005-0000-0000-0000EC080000}"/>
    <cellStyle name="Comma 11 14 2 3" xfId="2290" xr:uid="{00000000-0005-0000-0000-0000ED080000}"/>
    <cellStyle name="Comma 11 14 3" xfId="2291" xr:uid="{00000000-0005-0000-0000-0000EE080000}"/>
    <cellStyle name="Comma 11 14 4" xfId="2292" xr:uid="{00000000-0005-0000-0000-0000EF080000}"/>
    <cellStyle name="Comma 11 15" xfId="2293" xr:uid="{00000000-0005-0000-0000-0000F0080000}"/>
    <cellStyle name="Comma 11 15 2" xfId="2294" xr:uid="{00000000-0005-0000-0000-0000F1080000}"/>
    <cellStyle name="Comma 11 15 2 2" xfId="2295" xr:uid="{00000000-0005-0000-0000-0000F2080000}"/>
    <cellStyle name="Comma 11 15 2 3" xfId="2296" xr:uid="{00000000-0005-0000-0000-0000F3080000}"/>
    <cellStyle name="Comma 11 15 3" xfId="2297" xr:uid="{00000000-0005-0000-0000-0000F4080000}"/>
    <cellStyle name="Comma 11 15 4" xfId="2298" xr:uid="{00000000-0005-0000-0000-0000F5080000}"/>
    <cellStyle name="Comma 11 16" xfId="2299" xr:uid="{00000000-0005-0000-0000-0000F6080000}"/>
    <cellStyle name="Comma 11 16 2" xfId="2300" xr:uid="{00000000-0005-0000-0000-0000F7080000}"/>
    <cellStyle name="Comma 11 16 2 2" xfId="2301" xr:uid="{00000000-0005-0000-0000-0000F8080000}"/>
    <cellStyle name="Comma 11 16 2 3" xfId="2302" xr:uid="{00000000-0005-0000-0000-0000F9080000}"/>
    <cellStyle name="Comma 11 16 3" xfId="2303" xr:uid="{00000000-0005-0000-0000-0000FA080000}"/>
    <cellStyle name="Comma 11 16 4" xfId="2304" xr:uid="{00000000-0005-0000-0000-0000FB080000}"/>
    <cellStyle name="Comma 11 17" xfId="2305" xr:uid="{00000000-0005-0000-0000-0000FC080000}"/>
    <cellStyle name="Comma 11 17 2" xfId="2306" xr:uid="{00000000-0005-0000-0000-0000FD080000}"/>
    <cellStyle name="Comma 11 17 2 2" xfId="2307" xr:uid="{00000000-0005-0000-0000-0000FE080000}"/>
    <cellStyle name="Comma 11 17 2 3" xfId="2308" xr:uid="{00000000-0005-0000-0000-0000FF080000}"/>
    <cellStyle name="Comma 11 17 3" xfId="2309" xr:uid="{00000000-0005-0000-0000-000000090000}"/>
    <cellStyle name="Comma 11 17 4" xfId="2310" xr:uid="{00000000-0005-0000-0000-000001090000}"/>
    <cellStyle name="Comma 11 18" xfId="2311" xr:uid="{00000000-0005-0000-0000-000002090000}"/>
    <cellStyle name="Comma 11 18 2" xfId="2312" xr:uid="{00000000-0005-0000-0000-000003090000}"/>
    <cellStyle name="Comma 11 18 2 2" xfId="2313" xr:uid="{00000000-0005-0000-0000-000004090000}"/>
    <cellStyle name="Comma 11 18 2 3" xfId="2314" xr:uid="{00000000-0005-0000-0000-000005090000}"/>
    <cellStyle name="Comma 11 18 3" xfId="2315" xr:uid="{00000000-0005-0000-0000-000006090000}"/>
    <cellStyle name="Comma 11 18 4" xfId="2316" xr:uid="{00000000-0005-0000-0000-000007090000}"/>
    <cellStyle name="Comma 11 19" xfId="2317" xr:uid="{00000000-0005-0000-0000-000008090000}"/>
    <cellStyle name="Comma 11 19 2" xfId="2318" xr:uid="{00000000-0005-0000-0000-000009090000}"/>
    <cellStyle name="Comma 11 19 2 2" xfId="2319" xr:uid="{00000000-0005-0000-0000-00000A090000}"/>
    <cellStyle name="Comma 11 19 2 3" xfId="2320" xr:uid="{00000000-0005-0000-0000-00000B090000}"/>
    <cellStyle name="Comma 11 19 3" xfId="2321" xr:uid="{00000000-0005-0000-0000-00000C090000}"/>
    <cellStyle name="Comma 11 19 4" xfId="2322" xr:uid="{00000000-0005-0000-0000-00000D090000}"/>
    <cellStyle name="Comma 11 2" xfId="2323" xr:uid="{00000000-0005-0000-0000-00000E090000}"/>
    <cellStyle name="Comma 11 2 2" xfId="2324" xr:uid="{00000000-0005-0000-0000-00000F090000}"/>
    <cellStyle name="Comma 11 2 2 2" xfId="2325" xr:uid="{00000000-0005-0000-0000-000010090000}"/>
    <cellStyle name="Comma 11 2 2 3" xfId="2326" xr:uid="{00000000-0005-0000-0000-000011090000}"/>
    <cellStyle name="Comma 11 2 3" xfId="2327" xr:uid="{00000000-0005-0000-0000-000012090000}"/>
    <cellStyle name="Comma 11 2 4" xfId="2328" xr:uid="{00000000-0005-0000-0000-000013090000}"/>
    <cellStyle name="Comma 11 2 5" xfId="15615" xr:uid="{E0D47FCA-65C1-4481-B207-FEB8BDC691AA}"/>
    <cellStyle name="Comma 11 20" xfId="2329" xr:uid="{00000000-0005-0000-0000-000014090000}"/>
    <cellStyle name="Comma 11 20 2" xfId="2330" xr:uid="{00000000-0005-0000-0000-000015090000}"/>
    <cellStyle name="Comma 11 20 2 2" xfId="2331" xr:uid="{00000000-0005-0000-0000-000016090000}"/>
    <cellStyle name="Comma 11 20 2 3" xfId="2332" xr:uid="{00000000-0005-0000-0000-000017090000}"/>
    <cellStyle name="Comma 11 20 3" xfId="2333" xr:uid="{00000000-0005-0000-0000-000018090000}"/>
    <cellStyle name="Comma 11 20 4" xfId="2334" xr:uid="{00000000-0005-0000-0000-000019090000}"/>
    <cellStyle name="Comma 11 21" xfId="2335" xr:uid="{00000000-0005-0000-0000-00001A090000}"/>
    <cellStyle name="Comma 11 21 2" xfId="2336" xr:uid="{00000000-0005-0000-0000-00001B090000}"/>
    <cellStyle name="Comma 11 21 2 2" xfId="2337" xr:uid="{00000000-0005-0000-0000-00001C090000}"/>
    <cellStyle name="Comma 11 21 2 3" xfId="2338" xr:uid="{00000000-0005-0000-0000-00001D090000}"/>
    <cellStyle name="Comma 11 21 3" xfId="2339" xr:uid="{00000000-0005-0000-0000-00001E090000}"/>
    <cellStyle name="Comma 11 21 4" xfId="2340" xr:uid="{00000000-0005-0000-0000-00001F090000}"/>
    <cellStyle name="Comma 11 22" xfId="2341" xr:uid="{00000000-0005-0000-0000-000020090000}"/>
    <cellStyle name="Comma 11 22 2" xfId="2342" xr:uid="{00000000-0005-0000-0000-000021090000}"/>
    <cellStyle name="Comma 11 22 2 2" xfId="2343" xr:uid="{00000000-0005-0000-0000-000022090000}"/>
    <cellStyle name="Comma 11 22 2 3" xfId="2344" xr:uid="{00000000-0005-0000-0000-000023090000}"/>
    <cellStyle name="Comma 11 22 3" xfId="2345" xr:uid="{00000000-0005-0000-0000-000024090000}"/>
    <cellStyle name="Comma 11 22 4" xfId="2346" xr:uid="{00000000-0005-0000-0000-000025090000}"/>
    <cellStyle name="Comma 11 23" xfId="2347" xr:uid="{00000000-0005-0000-0000-000026090000}"/>
    <cellStyle name="Comma 11 23 2" xfId="2348" xr:uid="{00000000-0005-0000-0000-000027090000}"/>
    <cellStyle name="Comma 11 23 2 2" xfId="2349" xr:uid="{00000000-0005-0000-0000-000028090000}"/>
    <cellStyle name="Comma 11 23 2 3" xfId="2350" xr:uid="{00000000-0005-0000-0000-000029090000}"/>
    <cellStyle name="Comma 11 23 3" xfId="2351" xr:uid="{00000000-0005-0000-0000-00002A090000}"/>
    <cellStyle name="Comma 11 23 4" xfId="2352" xr:uid="{00000000-0005-0000-0000-00002B090000}"/>
    <cellStyle name="Comma 11 24" xfId="2353" xr:uid="{00000000-0005-0000-0000-00002C090000}"/>
    <cellStyle name="Comma 11 24 2" xfId="2354" xr:uid="{00000000-0005-0000-0000-00002D090000}"/>
    <cellStyle name="Comma 11 24 3" xfId="2355" xr:uid="{00000000-0005-0000-0000-00002E090000}"/>
    <cellStyle name="Comma 11 25" xfId="2356" xr:uid="{00000000-0005-0000-0000-00002F090000}"/>
    <cellStyle name="Comma 11 26" xfId="2357" xr:uid="{00000000-0005-0000-0000-000030090000}"/>
    <cellStyle name="Comma 11 3" xfId="2358" xr:uid="{00000000-0005-0000-0000-000031090000}"/>
    <cellStyle name="Comma 11 3 2" xfId="2359" xr:uid="{00000000-0005-0000-0000-000032090000}"/>
    <cellStyle name="Comma 11 3 2 2" xfId="2360" xr:uid="{00000000-0005-0000-0000-000033090000}"/>
    <cellStyle name="Comma 11 3 2 3" xfId="2361" xr:uid="{00000000-0005-0000-0000-000034090000}"/>
    <cellStyle name="Comma 11 3 3" xfId="2362" xr:uid="{00000000-0005-0000-0000-000035090000}"/>
    <cellStyle name="Comma 11 3 4" xfId="2363" xr:uid="{00000000-0005-0000-0000-000036090000}"/>
    <cellStyle name="Comma 11 4" xfId="2364" xr:uid="{00000000-0005-0000-0000-000037090000}"/>
    <cellStyle name="Comma 11 4 2" xfId="2365" xr:uid="{00000000-0005-0000-0000-000038090000}"/>
    <cellStyle name="Comma 11 4 2 2" xfId="2366" xr:uid="{00000000-0005-0000-0000-000039090000}"/>
    <cellStyle name="Comma 11 4 2 3" xfId="2367" xr:uid="{00000000-0005-0000-0000-00003A090000}"/>
    <cellStyle name="Comma 11 4 3" xfId="2368" xr:uid="{00000000-0005-0000-0000-00003B090000}"/>
    <cellStyle name="Comma 11 4 4" xfId="2369" xr:uid="{00000000-0005-0000-0000-00003C090000}"/>
    <cellStyle name="Comma 11 5" xfId="2370" xr:uid="{00000000-0005-0000-0000-00003D090000}"/>
    <cellStyle name="Comma 11 5 2" xfId="2371" xr:uid="{00000000-0005-0000-0000-00003E090000}"/>
    <cellStyle name="Comma 11 5 2 2" xfId="2372" xr:uid="{00000000-0005-0000-0000-00003F090000}"/>
    <cellStyle name="Comma 11 5 2 3" xfId="2373" xr:uid="{00000000-0005-0000-0000-000040090000}"/>
    <cellStyle name="Comma 11 5 3" xfId="2374" xr:uid="{00000000-0005-0000-0000-000041090000}"/>
    <cellStyle name="Comma 11 5 4" xfId="2375" xr:uid="{00000000-0005-0000-0000-000042090000}"/>
    <cellStyle name="Comma 11 6" xfId="2376" xr:uid="{00000000-0005-0000-0000-000043090000}"/>
    <cellStyle name="Comma 11 6 2" xfId="2377" xr:uid="{00000000-0005-0000-0000-000044090000}"/>
    <cellStyle name="Comma 11 6 2 2" xfId="2378" xr:uid="{00000000-0005-0000-0000-000045090000}"/>
    <cellStyle name="Comma 11 6 2 3" xfId="2379" xr:uid="{00000000-0005-0000-0000-000046090000}"/>
    <cellStyle name="Comma 11 6 3" xfId="2380" xr:uid="{00000000-0005-0000-0000-000047090000}"/>
    <cellStyle name="Comma 11 6 4" xfId="2381" xr:uid="{00000000-0005-0000-0000-000048090000}"/>
    <cellStyle name="Comma 11 7" xfId="2382" xr:uid="{00000000-0005-0000-0000-000049090000}"/>
    <cellStyle name="Comma 11 7 2" xfId="2383" xr:uid="{00000000-0005-0000-0000-00004A090000}"/>
    <cellStyle name="Comma 11 7 2 2" xfId="2384" xr:uid="{00000000-0005-0000-0000-00004B090000}"/>
    <cellStyle name="Comma 11 7 2 3" xfId="2385" xr:uid="{00000000-0005-0000-0000-00004C090000}"/>
    <cellStyle name="Comma 11 7 3" xfId="2386" xr:uid="{00000000-0005-0000-0000-00004D090000}"/>
    <cellStyle name="Comma 11 7 4" xfId="2387" xr:uid="{00000000-0005-0000-0000-00004E090000}"/>
    <cellStyle name="Comma 11 8" xfId="2388" xr:uid="{00000000-0005-0000-0000-00004F090000}"/>
    <cellStyle name="Comma 11 8 2" xfId="2389" xr:uid="{00000000-0005-0000-0000-000050090000}"/>
    <cellStyle name="Comma 11 8 2 2" xfId="2390" xr:uid="{00000000-0005-0000-0000-000051090000}"/>
    <cellStyle name="Comma 11 8 2 3" xfId="2391" xr:uid="{00000000-0005-0000-0000-000052090000}"/>
    <cellStyle name="Comma 11 8 3" xfId="2392" xr:uid="{00000000-0005-0000-0000-000053090000}"/>
    <cellStyle name="Comma 11 8 4" xfId="2393" xr:uid="{00000000-0005-0000-0000-000054090000}"/>
    <cellStyle name="Comma 11 9" xfId="2394" xr:uid="{00000000-0005-0000-0000-000055090000}"/>
    <cellStyle name="Comma 11 9 2" xfId="2395" xr:uid="{00000000-0005-0000-0000-000056090000}"/>
    <cellStyle name="Comma 11 9 2 2" xfId="2396" xr:uid="{00000000-0005-0000-0000-000057090000}"/>
    <cellStyle name="Comma 11 9 2 3" xfId="2397" xr:uid="{00000000-0005-0000-0000-000058090000}"/>
    <cellStyle name="Comma 11 9 3" xfId="2398" xr:uid="{00000000-0005-0000-0000-000059090000}"/>
    <cellStyle name="Comma 11 9 4" xfId="2399" xr:uid="{00000000-0005-0000-0000-00005A090000}"/>
    <cellStyle name="Comma 12" xfId="2400" xr:uid="{00000000-0005-0000-0000-00005B090000}"/>
    <cellStyle name="Comma 12 10" xfId="2401" xr:uid="{00000000-0005-0000-0000-00005C090000}"/>
    <cellStyle name="Comma 12 10 2" xfId="2402" xr:uid="{00000000-0005-0000-0000-00005D090000}"/>
    <cellStyle name="Comma 12 10 2 2" xfId="2403" xr:uid="{00000000-0005-0000-0000-00005E090000}"/>
    <cellStyle name="Comma 12 10 2 3" xfId="2404" xr:uid="{00000000-0005-0000-0000-00005F090000}"/>
    <cellStyle name="Comma 12 10 3" xfId="2405" xr:uid="{00000000-0005-0000-0000-000060090000}"/>
    <cellStyle name="Comma 12 10 4" xfId="2406" xr:uid="{00000000-0005-0000-0000-000061090000}"/>
    <cellStyle name="Comma 12 11" xfId="2407" xr:uid="{00000000-0005-0000-0000-000062090000}"/>
    <cellStyle name="Comma 12 11 2" xfId="2408" xr:uid="{00000000-0005-0000-0000-000063090000}"/>
    <cellStyle name="Comma 12 11 2 2" xfId="2409" xr:uid="{00000000-0005-0000-0000-000064090000}"/>
    <cellStyle name="Comma 12 11 2 3" xfId="2410" xr:uid="{00000000-0005-0000-0000-000065090000}"/>
    <cellStyle name="Comma 12 11 3" xfId="2411" xr:uid="{00000000-0005-0000-0000-000066090000}"/>
    <cellStyle name="Comma 12 11 4" xfId="2412" xr:uid="{00000000-0005-0000-0000-000067090000}"/>
    <cellStyle name="Comma 12 12" xfId="2413" xr:uid="{00000000-0005-0000-0000-000068090000}"/>
    <cellStyle name="Comma 12 12 2" xfId="2414" xr:uid="{00000000-0005-0000-0000-000069090000}"/>
    <cellStyle name="Comma 12 12 2 2" xfId="2415" xr:uid="{00000000-0005-0000-0000-00006A090000}"/>
    <cellStyle name="Comma 12 12 2 3" xfId="2416" xr:uid="{00000000-0005-0000-0000-00006B090000}"/>
    <cellStyle name="Comma 12 12 3" xfId="2417" xr:uid="{00000000-0005-0000-0000-00006C090000}"/>
    <cellStyle name="Comma 12 12 4" xfId="2418" xr:uid="{00000000-0005-0000-0000-00006D090000}"/>
    <cellStyle name="Comma 12 13" xfId="2419" xr:uid="{00000000-0005-0000-0000-00006E090000}"/>
    <cellStyle name="Comma 12 13 2" xfId="2420" xr:uid="{00000000-0005-0000-0000-00006F090000}"/>
    <cellStyle name="Comma 12 13 2 2" xfId="2421" xr:uid="{00000000-0005-0000-0000-000070090000}"/>
    <cellStyle name="Comma 12 13 2 3" xfId="2422" xr:uid="{00000000-0005-0000-0000-000071090000}"/>
    <cellStyle name="Comma 12 13 3" xfId="2423" xr:uid="{00000000-0005-0000-0000-000072090000}"/>
    <cellStyle name="Comma 12 13 4" xfId="2424" xr:uid="{00000000-0005-0000-0000-000073090000}"/>
    <cellStyle name="Comma 12 14" xfId="2425" xr:uid="{00000000-0005-0000-0000-000074090000}"/>
    <cellStyle name="Comma 12 14 2" xfId="2426" xr:uid="{00000000-0005-0000-0000-000075090000}"/>
    <cellStyle name="Comma 12 14 2 2" xfId="2427" xr:uid="{00000000-0005-0000-0000-000076090000}"/>
    <cellStyle name="Comma 12 14 2 3" xfId="2428" xr:uid="{00000000-0005-0000-0000-000077090000}"/>
    <cellStyle name="Comma 12 14 3" xfId="2429" xr:uid="{00000000-0005-0000-0000-000078090000}"/>
    <cellStyle name="Comma 12 14 4" xfId="2430" xr:uid="{00000000-0005-0000-0000-000079090000}"/>
    <cellStyle name="Comma 12 15" xfId="2431" xr:uid="{00000000-0005-0000-0000-00007A090000}"/>
    <cellStyle name="Comma 12 15 2" xfId="2432" xr:uid="{00000000-0005-0000-0000-00007B090000}"/>
    <cellStyle name="Comma 12 15 2 2" xfId="2433" xr:uid="{00000000-0005-0000-0000-00007C090000}"/>
    <cellStyle name="Comma 12 15 2 3" xfId="2434" xr:uid="{00000000-0005-0000-0000-00007D090000}"/>
    <cellStyle name="Comma 12 15 3" xfId="2435" xr:uid="{00000000-0005-0000-0000-00007E090000}"/>
    <cellStyle name="Comma 12 15 4" xfId="2436" xr:uid="{00000000-0005-0000-0000-00007F090000}"/>
    <cellStyle name="Comma 12 16" xfId="2437" xr:uid="{00000000-0005-0000-0000-000080090000}"/>
    <cellStyle name="Comma 12 16 2" xfId="2438" xr:uid="{00000000-0005-0000-0000-000081090000}"/>
    <cellStyle name="Comma 12 16 2 2" xfId="2439" xr:uid="{00000000-0005-0000-0000-000082090000}"/>
    <cellStyle name="Comma 12 16 2 3" xfId="2440" xr:uid="{00000000-0005-0000-0000-000083090000}"/>
    <cellStyle name="Comma 12 16 3" xfId="2441" xr:uid="{00000000-0005-0000-0000-000084090000}"/>
    <cellStyle name="Comma 12 16 4" xfId="2442" xr:uid="{00000000-0005-0000-0000-000085090000}"/>
    <cellStyle name="Comma 12 17" xfId="2443" xr:uid="{00000000-0005-0000-0000-000086090000}"/>
    <cellStyle name="Comma 12 17 2" xfId="2444" xr:uid="{00000000-0005-0000-0000-000087090000}"/>
    <cellStyle name="Comma 12 17 2 2" xfId="2445" xr:uid="{00000000-0005-0000-0000-000088090000}"/>
    <cellStyle name="Comma 12 17 2 3" xfId="2446" xr:uid="{00000000-0005-0000-0000-000089090000}"/>
    <cellStyle name="Comma 12 17 3" xfId="2447" xr:uid="{00000000-0005-0000-0000-00008A090000}"/>
    <cellStyle name="Comma 12 17 4" xfId="2448" xr:uid="{00000000-0005-0000-0000-00008B090000}"/>
    <cellStyle name="Comma 12 18" xfId="2449" xr:uid="{00000000-0005-0000-0000-00008C090000}"/>
    <cellStyle name="Comma 12 18 2" xfId="2450" xr:uid="{00000000-0005-0000-0000-00008D090000}"/>
    <cellStyle name="Comma 12 18 2 2" xfId="2451" xr:uid="{00000000-0005-0000-0000-00008E090000}"/>
    <cellStyle name="Comma 12 18 2 3" xfId="2452" xr:uid="{00000000-0005-0000-0000-00008F090000}"/>
    <cellStyle name="Comma 12 18 3" xfId="2453" xr:uid="{00000000-0005-0000-0000-000090090000}"/>
    <cellStyle name="Comma 12 18 4" xfId="2454" xr:uid="{00000000-0005-0000-0000-000091090000}"/>
    <cellStyle name="Comma 12 19" xfId="2455" xr:uid="{00000000-0005-0000-0000-000092090000}"/>
    <cellStyle name="Comma 12 19 2" xfId="2456" xr:uid="{00000000-0005-0000-0000-000093090000}"/>
    <cellStyle name="Comma 12 19 2 2" xfId="2457" xr:uid="{00000000-0005-0000-0000-000094090000}"/>
    <cellStyle name="Comma 12 19 2 3" xfId="2458" xr:uid="{00000000-0005-0000-0000-000095090000}"/>
    <cellStyle name="Comma 12 19 3" xfId="2459" xr:uid="{00000000-0005-0000-0000-000096090000}"/>
    <cellStyle name="Comma 12 19 4" xfId="2460" xr:uid="{00000000-0005-0000-0000-000097090000}"/>
    <cellStyle name="Comma 12 2" xfId="2461" xr:uid="{00000000-0005-0000-0000-000098090000}"/>
    <cellStyle name="Comma 12 2 2" xfId="2462" xr:uid="{00000000-0005-0000-0000-000099090000}"/>
    <cellStyle name="Comma 12 2 2 2" xfId="2463" xr:uid="{00000000-0005-0000-0000-00009A090000}"/>
    <cellStyle name="Comma 12 2 2 3" xfId="2464" xr:uid="{00000000-0005-0000-0000-00009B090000}"/>
    <cellStyle name="Comma 12 2 3" xfId="2465" xr:uid="{00000000-0005-0000-0000-00009C090000}"/>
    <cellStyle name="Comma 12 2 4" xfId="2466" xr:uid="{00000000-0005-0000-0000-00009D090000}"/>
    <cellStyle name="Comma 12 20" xfId="2467" xr:uid="{00000000-0005-0000-0000-00009E090000}"/>
    <cellStyle name="Comma 12 20 2" xfId="2468" xr:uid="{00000000-0005-0000-0000-00009F090000}"/>
    <cellStyle name="Comma 12 20 2 2" xfId="2469" xr:uid="{00000000-0005-0000-0000-0000A0090000}"/>
    <cellStyle name="Comma 12 20 2 3" xfId="2470" xr:uid="{00000000-0005-0000-0000-0000A1090000}"/>
    <cellStyle name="Comma 12 20 3" xfId="2471" xr:uid="{00000000-0005-0000-0000-0000A2090000}"/>
    <cellStyle name="Comma 12 20 4" xfId="2472" xr:uid="{00000000-0005-0000-0000-0000A3090000}"/>
    <cellStyle name="Comma 12 21" xfId="2473" xr:uid="{00000000-0005-0000-0000-0000A4090000}"/>
    <cellStyle name="Comma 12 21 2" xfId="2474" xr:uid="{00000000-0005-0000-0000-0000A5090000}"/>
    <cellStyle name="Comma 12 21 2 2" xfId="2475" xr:uid="{00000000-0005-0000-0000-0000A6090000}"/>
    <cellStyle name="Comma 12 21 2 3" xfId="2476" xr:uid="{00000000-0005-0000-0000-0000A7090000}"/>
    <cellStyle name="Comma 12 21 3" xfId="2477" xr:uid="{00000000-0005-0000-0000-0000A8090000}"/>
    <cellStyle name="Comma 12 21 4" xfId="2478" xr:uid="{00000000-0005-0000-0000-0000A9090000}"/>
    <cellStyle name="Comma 12 22" xfId="2479" xr:uid="{00000000-0005-0000-0000-0000AA090000}"/>
    <cellStyle name="Comma 12 22 2" xfId="2480" xr:uid="{00000000-0005-0000-0000-0000AB090000}"/>
    <cellStyle name="Comma 12 22 2 2" xfId="2481" xr:uid="{00000000-0005-0000-0000-0000AC090000}"/>
    <cellStyle name="Comma 12 22 2 3" xfId="2482" xr:uid="{00000000-0005-0000-0000-0000AD090000}"/>
    <cellStyle name="Comma 12 22 3" xfId="2483" xr:uid="{00000000-0005-0000-0000-0000AE090000}"/>
    <cellStyle name="Comma 12 22 4" xfId="2484" xr:uid="{00000000-0005-0000-0000-0000AF090000}"/>
    <cellStyle name="Comma 12 23" xfId="2485" xr:uid="{00000000-0005-0000-0000-0000B0090000}"/>
    <cellStyle name="Comma 12 23 2" xfId="2486" xr:uid="{00000000-0005-0000-0000-0000B1090000}"/>
    <cellStyle name="Comma 12 23 2 2" xfId="2487" xr:uid="{00000000-0005-0000-0000-0000B2090000}"/>
    <cellStyle name="Comma 12 23 2 3" xfId="2488" xr:uid="{00000000-0005-0000-0000-0000B3090000}"/>
    <cellStyle name="Comma 12 23 3" xfId="2489" xr:uid="{00000000-0005-0000-0000-0000B4090000}"/>
    <cellStyle name="Comma 12 23 4" xfId="2490" xr:uid="{00000000-0005-0000-0000-0000B5090000}"/>
    <cellStyle name="Comma 12 24" xfId="2491" xr:uid="{00000000-0005-0000-0000-0000B6090000}"/>
    <cellStyle name="Comma 12 24 2" xfId="2492" xr:uid="{00000000-0005-0000-0000-0000B7090000}"/>
    <cellStyle name="Comma 12 24 3" xfId="2493" xr:uid="{00000000-0005-0000-0000-0000B8090000}"/>
    <cellStyle name="Comma 12 25" xfId="2494" xr:uid="{00000000-0005-0000-0000-0000B9090000}"/>
    <cellStyle name="Comma 12 26" xfId="2495" xr:uid="{00000000-0005-0000-0000-0000BA090000}"/>
    <cellStyle name="Comma 12 3" xfId="2496" xr:uid="{00000000-0005-0000-0000-0000BB090000}"/>
    <cellStyle name="Comma 12 3 2" xfId="2497" xr:uid="{00000000-0005-0000-0000-0000BC090000}"/>
    <cellStyle name="Comma 12 3 2 2" xfId="2498" xr:uid="{00000000-0005-0000-0000-0000BD090000}"/>
    <cellStyle name="Comma 12 3 2 3" xfId="2499" xr:uid="{00000000-0005-0000-0000-0000BE090000}"/>
    <cellStyle name="Comma 12 3 3" xfId="2500" xr:uid="{00000000-0005-0000-0000-0000BF090000}"/>
    <cellStyle name="Comma 12 3 4" xfId="2501" xr:uid="{00000000-0005-0000-0000-0000C0090000}"/>
    <cellStyle name="Comma 12 4" xfId="2502" xr:uid="{00000000-0005-0000-0000-0000C1090000}"/>
    <cellStyle name="Comma 12 4 2" xfId="2503" xr:uid="{00000000-0005-0000-0000-0000C2090000}"/>
    <cellStyle name="Comma 12 4 2 2" xfId="2504" xr:uid="{00000000-0005-0000-0000-0000C3090000}"/>
    <cellStyle name="Comma 12 4 2 3" xfId="2505" xr:uid="{00000000-0005-0000-0000-0000C4090000}"/>
    <cellStyle name="Comma 12 4 3" xfId="2506" xr:uid="{00000000-0005-0000-0000-0000C5090000}"/>
    <cellStyle name="Comma 12 4 4" xfId="2507" xr:uid="{00000000-0005-0000-0000-0000C6090000}"/>
    <cellStyle name="Comma 12 5" xfId="2508" xr:uid="{00000000-0005-0000-0000-0000C7090000}"/>
    <cellStyle name="Comma 12 5 2" xfId="2509" xr:uid="{00000000-0005-0000-0000-0000C8090000}"/>
    <cellStyle name="Comma 12 5 2 2" xfId="2510" xr:uid="{00000000-0005-0000-0000-0000C9090000}"/>
    <cellStyle name="Comma 12 5 2 3" xfId="2511" xr:uid="{00000000-0005-0000-0000-0000CA090000}"/>
    <cellStyle name="Comma 12 5 3" xfId="2512" xr:uid="{00000000-0005-0000-0000-0000CB090000}"/>
    <cellStyle name="Comma 12 5 4" xfId="2513" xr:uid="{00000000-0005-0000-0000-0000CC090000}"/>
    <cellStyle name="Comma 12 6" xfId="2514" xr:uid="{00000000-0005-0000-0000-0000CD090000}"/>
    <cellStyle name="Comma 12 6 2" xfId="2515" xr:uid="{00000000-0005-0000-0000-0000CE090000}"/>
    <cellStyle name="Comma 12 6 2 2" xfId="2516" xr:uid="{00000000-0005-0000-0000-0000CF090000}"/>
    <cellStyle name="Comma 12 6 2 3" xfId="2517" xr:uid="{00000000-0005-0000-0000-0000D0090000}"/>
    <cellStyle name="Comma 12 6 3" xfId="2518" xr:uid="{00000000-0005-0000-0000-0000D1090000}"/>
    <cellStyle name="Comma 12 6 4" xfId="2519" xr:uid="{00000000-0005-0000-0000-0000D2090000}"/>
    <cellStyle name="Comma 12 7" xfId="2520" xr:uid="{00000000-0005-0000-0000-0000D3090000}"/>
    <cellStyle name="Comma 12 7 2" xfId="2521" xr:uid="{00000000-0005-0000-0000-0000D4090000}"/>
    <cellStyle name="Comma 12 7 2 2" xfId="2522" xr:uid="{00000000-0005-0000-0000-0000D5090000}"/>
    <cellStyle name="Comma 12 7 2 3" xfId="2523" xr:uid="{00000000-0005-0000-0000-0000D6090000}"/>
    <cellStyle name="Comma 12 7 3" xfId="2524" xr:uid="{00000000-0005-0000-0000-0000D7090000}"/>
    <cellStyle name="Comma 12 7 4" xfId="2525" xr:uid="{00000000-0005-0000-0000-0000D8090000}"/>
    <cellStyle name="Comma 12 8" xfId="2526" xr:uid="{00000000-0005-0000-0000-0000D9090000}"/>
    <cellStyle name="Comma 12 8 2" xfId="2527" xr:uid="{00000000-0005-0000-0000-0000DA090000}"/>
    <cellStyle name="Comma 12 8 2 2" xfId="2528" xr:uid="{00000000-0005-0000-0000-0000DB090000}"/>
    <cellStyle name="Comma 12 8 2 3" xfId="2529" xr:uid="{00000000-0005-0000-0000-0000DC090000}"/>
    <cellStyle name="Comma 12 8 3" xfId="2530" xr:uid="{00000000-0005-0000-0000-0000DD090000}"/>
    <cellStyle name="Comma 12 8 4" xfId="2531" xr:uid="{00000000-0005-0000-0000-0000DE090000}"/>
    <cellStyle name="Comma 12 9" xfId="2532" xr:uid="{00000000-0005-0000-0000-0000DF090000}"/>
    <cellStyle name="Comma 12 9 2" xfId="2533" xr:uid="{00000000-0005-0000-0000-0000E0090000}"/>
    <cellStyle name="Comma 12 9 2 2" xfId="2534" xr:uid="{00000000-0005-0000-0000-0000E1090000}"/>
    <cellStyle name="Comma 12 9 2 3" xfId="2535" xr:uid="{00000000-0005-0000-0000-0000E2090000}"/>
    <cellStyle name="Comma 12 9 3" xfId="2536" xr:uid="{00000000-0005-0000-0000-0000E3090000}"/>
    <cellStyle name="Comma 12 9 4" xfId="2537" xr:uid="{00000000-0005-0000-0000-0000E4090000}"/>
    <cellStyle name="Comma 13" xfId="2538" xr:uid="{00000000-0005-0000-0000-0000E5090000}"/>
    <cellStyle name="Comma 13 10" xfId="2539" xr:uid="{00000000-0005-0000-0000-0000E6090000}"/>
    <cellStyle name="Comma 13 10 2" xfId="2540" xr:uid="{00000000-0005-0000-0000-0000E7090000}"/>
    <cellStyle name="Comma 13 10 2 2" xfId="2541" xr:uid="{00000000-0005-0000-0000-0000E8090000}"/>
    <cellStyle name="Comma 13 10 2 3" xfId="2542" xr:uid="{00000000-0005-0000-0000-0000E9090000}"/>
    <cellStyle name="Comma 13 10 3" xfId="2543" xr:uid="{00000000-0005-0000-0000-0000EA090000}"/>
    <cellStyle name="Comma 13 10 4" xfId="2544" xr:uid="{00000000-0005-0000-0000-0000EB090000}"/>
    <cellStyle name="Comma 13 11" xfId="2545" xr:uid="{00000000-0005-0000-0000-0000EC090000}"/>
    <cellStyle name="Comma 13 11 2" xfId="2546" xr:uid="{00000000-0005-0000-0000-0000ED090000}"/>
    <cellStyle name="Comma 13 11 2 2" xfId="2547" xr:uid="{00000000-0005-0000-0000-0000EE090000}"/>
    <cellStyle name="Comma 13 11 2 3" xfId="2548" xr:uid="{00000000-0005-0000-0000-0000EF090000}"/>
    <cellStyle name="Comma 13 11 3" xfId="2549" xr:uid="{00000000-0005-0000-0000-0000F0090000}"/>
    <cellStyle name="Comma 13 11 4" xfId="2550" xr:uid="{00000000-0005-0000-0000-0000F1090000}"/>
    <cellStyle name="Comma 13 12" xfId="2551" xr:uid="{00000000-0005-0000-0000-0000F2090000}"/>
    <cellStyle name="Comma 13 12 2" xfId="2552" xr:uid="{00000000-0005-0000-0000-0000F3090000}"/>
    <cellStyle name="Comma 13 12 2 2" xfId="2553" xr:uid="{00000000-0005-0000-0000-0000F4090000}"/>
    <cellStyle name="Comma 13 12 2 3" xfId="2554" xr:uid="{00000000-0005-0000-0000-0000F5090000}"/>
    <cellStyle name="Comma 13 12 3" xfId="2555" xr:uid="{00000000-0005-0000-0000-0000F6090000}"/>
    <cellStyle name="Comma 13 12 4" xfId="2556" xr:uid="{00000000-0005-0000-0000-0000F7090000}"/>
    <cellStyle name="Comma 13 13" xfId="2557" xr:uid="{00000000-0005-0000-0000-0000F8090000}"/>
    <cellStyle name="Comma 13 13 2" xfId="2558" xr:uid="{00000000-0005-0000-0000-0000F9090000}"/>
    <cellStyle name="Comma 13 13 2 2" xfId="2559" xr:uid="{00000000-0005-0000-0000-0000FA090000}"/>
    <cellStyle name="Comma 13 13 2 3" xfId="2560" xr:uid="{00000000-0005-0000-0000-0000FB090000}"/>
    <cellStyle name="Comma 13 13 3" xfId="2561" xr:uid="{00000000-0005-0000-0000-0000FC090000}"/>
    <cellStyle name="Comma 13 13 4" xfId="2562" xr:uid="{00000000-0005-0000-0000-0000FD090000}"/>
    <cellStyle name="Comma 13 14" xfId="2563" xr:uid="{00000000-0005-0000-0000-0000FE090000}"/>
    <cellStyle name="Comma 13 14 2" xfId="2564" xr:uid="{00000000-0005-0000-0000-0000FF090000}"/>
    <cellStyle name="Comma 13 14 2 2" xfId="2565" xr:uid="{00000000-0005-0000-0000-0000000A0000}"/>
    <cellStyle name="Comma 13 14 2 3" xfId="2566" xr:uid="{00000000-0005-0000-0000-0000010A0000}"/>
    <cellStyle name="Comma 13 14 3" xfId="2567" xr:uid="{00000000-0005-0000-0000-0000020A0000}"/>
    <cellStyle name="Comma 13 14 4" xfId="2568" xr:uid="{00000000-0005-0000-0000-0000030A0000}"/>
    <cellStyle name="Comma 13 15" xfId="2569" xr:uid="{00000000-0005-0000-0000-0000040A0000}"/>
    <cellStyle name="Comma 13 15 2" xfId="2570" xr:uid="{00000000-0005-0000-0000-0000050A0000}"/>
    <cellStyle name="Comma 13 15 2 2" xfId="2571" xr:uid="{00000000-0005-0000-0000-0000060A0000}"/>
    <cellStyle name="Comma 13 15 2 3" xfId="2572" xr:uid="{00000000-0005-0000-0000-0000070A0000}"/>
    <cellStyle name="Comma 13 15 3" xfId="2573" xr:uid="{00000000-0005-0000-0000-0000080A0000}"/>
    <cellStyle name="Comma 13 15 4" xfId="2574" xr:uid="{00000000-0005-0000-0000-0000090A0000}"/>
    <cellStyle name="Comma 13 16" xfId="2575" xr:uid="{00000000-0005-0000-0000-00000A0A0000}"/>
    <cellStyle name="Comma 13 16 2" xfId="2576" xr:uid="{00000000-0005-0000-0000-00000B0A0000}"/>
    <cellStyle name="Comma 13 16 2 2" xfId="2577" xr:uid="{00000000-0005-0000-0000-00000C0A0000}"/>
    <cellStyle name="Comma 13 16 2 3" xfId="2578" xr:uid="{00000000-0005-0000-0000-00000D0A0000}"/>
    <cellStyle name="Comma 13 16 3" xfId="2579" xr:uid="{00000000-0005-0000-0000-00000E0A0000}"/>
    <cellStyle name="Comma 13 16 4" xfId="2580" xr:uid="{00000000-0005-0000-0000-00000F0A0000}"/>
    <cellStyle name="Comma 13 17" xfId="2581" xr:uid="{00000000-0005-0000-0000-0000100A0000}"/>
    <cellStyle name="Comma 13 17 2" xfId="2582" xr:uid="{00000000-0005-0000-0000-0000110A0000}"/>
    <cellStyle name="Comma 13 17 2 2" xfId="2583" xr:uid="{00000000-0005-0000-0000-0000120A0000}"/>
    <cellStyle name="Comma 13 17 2 3" xfId="2584" xr:uid="{00000000-0005-0000-0000-0000130A0000}"/>
    <cellStyle name="Comma 13 17 3" xfId="2585" xr:uid="{00000000-0005-0000-0000-0000140A0000}"/>
    <cellStyle name="Comma 13 17 4" xfId="2586" xr:uid="{00000000-0005-0000-0000-0000150A0000}"/>
    <cellStyle name="Comma 13 18" xfId="2587" xr:uid="{00000000-0005-0000-0000-0000160A0000}"/>
    <cellStyle name="Comma 13 18 2" xfId="2588" xr:uid="{00000000-0005-0000-0000-0000170A0000}"/>
    <cellStyle name="Comma 13 18 2 2" xfId="2589" xr:uid="{00000000-0005-0000-0000-0000180A0000}"/>
    <cellStyle name="Comma 13 18 2 3" xfId="2590" xr:uid="{00000000-0005-0000-0000-0000190A0000}"/>
    <cellStyle name="Comma 13 18 3" xfId="2591" xr:uid="{00000000-0005-0000-0000-00001A0A0000}"/>
    <cellStyle name="Comma 13 18 4" xfId="2592" xr:uid="{00000000-0005-0000-0000-00001B0A0000}"/>
    <cellStyle name="Comma 13 19" xfId="2593" xr:uid="{00000000-0005-0000-0000-00001C0A0000}"/>
    <cellStyle name="Comma 13 19 2" xfId="2594" xr:uid="{00000000-0005-0000-0000-00001D0A0000}"/>
    <cellStyle name="Comma 13 19 2 2" xfId="2595" xr:uid="{00000000-0005-0000-0000-00001E0A0000}"/>
    <cellStyle name="Comma 13 19 2 3" xfId="2596" xr:uid="{00000000-0005-0000-0000-00001F0A0000}"/>
    <cellStyle name="Comma 13 19 3" xfId="2597" xr:uid="{00000000-0005-0000-0000-0000200A0000}"/>
    <cellStyle name="Comma 13 19 4" xfId="2598" xr:uid="{00000000-0005-0000-0000-0000210A0000}"/>
    <cellStyle name="Comma 13 2" xfId="2599" xr:uid="{00000000-0005-0000-0000-0000220A0000}"/>
    <cellStyle name="Comma 13 2 2" xfId="2600" xr:uid="{00000000-0005-0000-0000-0000230A0000}"/>
    <cellStyle name="Comma 13 2 2 2" xfId="2601" xr:uid="{00000000-0005-0000-0000-0000240A0000}"/>
    <cellStyle name="Comma 13 2 2 3" xfId="2602" xr:uid="{00000000-0005-0000-0000-0000250A0000}"/>
    <cellStyle name="Comma 13 2 3" xfId="2603" xr:uid="{00000000-0005-0000-0000-0000260A0000}"/>
    <cellStyle name="Comma 13 2 4" xfId="2604" xr:uid="{00000000-0005-0000-0000-0000270A0000}"/>
    <cellStyle name="Comma 13 20" xfId="2605" xr:uid="{00000000-0005-0000-0000-0000280A0000}"/>
    <cellStyle name="Comma 13 20 2" xfId="2606" xr:uid="{00000000-0005-0000-0000-0000290A0000}"/>
    <cellStyle name="Comma 13 20 2 2" xfId="2607" xr:uid="{00000000-0005-0000-0000-00002A0A0000}"/>
    <cellStyle name="Comma 13 20 2 3" xfId="2608" xr:uid="{00000000-0005-0000-0000-00002B0A0000}"/>
    <cellStyle name="Comma 13 20 3" xfId="2609" xr:uid="{00000000-0005-0000-0000-00002C0A0000}"/>
    <cellStyle name="Comma 13 20 4" xfId="2610" xr:uid="{00000000-0005-0000-0000-00002D0A0000}"/>
    <cellStyle name="Comma 13 21" xfId="2611" xr:uid="{00000000-0005-0000-0000-00002E0A0000}"/>
    <cellStyle name="Comma 13 21 2" xfId="2612" xr:uid="{00000000-0005-0000-0000-00002F0A0000}"/>
    <cellStyle name="Comma 13 21 2 2" xfId="2613" xr:uid="{00000000-0005-0000-0000-0000300A0000}"/>
    <cellStyle name="Comma 13 21 2 3" xfId="2614" xr:uid="{00000000-0005-0000-0000-0000310A0000}"/>
    <cellStyle name="Comma 13 21 3" xfId="2615" xr:uid="{00000000-0005-0000-0000-0000320A0000}"/>
    <cellStyle name="Comma 13 21 4" xfId="2616" xr:uid="{00000000-0005-0000-0000-0000330A0000}"/>
    <cellStyle name="Comma 13 22" xfId="2617" xr:uid="{00000000-0005-0000-0000-0000340A0000}"/>
    <cellStyle name="Comma 13 22 2" xfId="2618" xr:uid="{00000000-0005-0000-0000-0000350A0000}"/>
    <cellStyle name="Comma 13 22 2 2" xfId="2619" xr:uid="{00000000-0005-0000-0000-0000360A0000}"/>
    <cellStyle name="Comma 13 22 2 3" xfId="2620" xr:uid="{00000000-0005-0000-0000-0000370A0000}"/>
    <cellStyle name="Comma 13 22 3" xfId="2621" xr:uid="{00000000-0005-0000-0000-0000380A0000}"/>
    <cellStyle name="Comma 13 22 4" xfId="2622" xr:uid="{00000000-0005-0000-0000-0000390A0000}"/>
    <cellStyle name="Comma 13 23" xfId="2623" xr:uid="{00000000-0005-0000-0000-00003A0A0000}"/>
    <cellStyle name="Comma 13 23 2" xfId="2624" xr:uid="{00000000-0005-0000-0000-00003B0A0000}"/>
    <cellStyle name="Comma 13 23 2 2" xfId="2625" xr:uid="{00000000-0005-0000-0000-00003C0A0000}"/>
    <cellStyle name="Comma 13 23 2 3" xfId="2626" xr:uid="{00000000-0005-0000-0000-00003D0A0000}"/>
    <cellStyle name="Comma 13 23 3" xfId="2627" xr:uid="{00000000-0005-0000-0000-00003E0A0000}"/>
    <cellStyle name="Comma 13 23 4" xfId="2628" xr:uid="{00000000-0005-0000-0000-00003F0A0000}"/>
    <cellStyle name="Comma 13 24" xfId="2629" xr:uid="{00000000-0005-0000-0000-0000400A0000}"/>
    <cellStyle name="Comma 13 24 2" xfId="2630" xr:uid="{00000000-0005-0000-0000-0000410A0000}"/>
    <cellStyle name="Comma 13 24 3" xfId="2631" xr:uid="{00000000-0005-0000-0000-0000420A0000}"/>
    <cellStyle name="Comma 13 25" xfId="2632" xr:uid="{00000000-0005-0000-0000-0000430A0000}"/>
    <cellStyle name="Comma 13 26" xfId="2633" xr:uid="{00000000-0005-0000-0000-0000440A0000}"/>
    <cellStyle name="Comma 13 3" xfId="2634" xr:uid="{00000000-0005-0000-0000-0000450A0000}"/>
    <cellStyle name="Comma 13 3 2" xfId="2635" xr:uid="{00000000-0005-0000-0000-0000460A0000}"/>
    <cellStyle name="Comma 13 3 2 2" xfId="2636" xr:uid="{00000000-0005-0000-0000-0000470A0000}"/>
    <cellStyle name="Comma 13 3 2 3" xfId="2637" xr:uid="{00000000-0005-0000-0000-0000480A0000}"/>
    <cellStyle name="Comma 13 3 3" xfId="2638" xr:uid="{00000000-0005-0000-0000-0000490A0000}"/>
    <cellStyle name="Comma 13 3 4" xfId="2639" xr:uid="{00000000-0005-0000-0000-00004A0A0000}"/>
    <cellStyle name="Comma 13 4" xfId="2640" xr:uid="{00000000-0005-0000-0000-00004B0A0000}"/>
    <cellStyle name="Comma 13 4 2" xfId="2641" xr:uid="{00000000-0005-0000-0000-00004C0A0000}"/>
    <cellStyle name="Comma 13 4 2 2" xfId="2642" xr:uid="{00000000-0005-0000-0000-00004D0A0000}"/>
    <cellStyle name="Comma 13 4 2 3" xfId="2643" xr:uid="{00000000-0005-0000-0000-00004E0A0000}"/>
    <cellStyle name="Comma 13 4 3" xfId="2644" xr:uid="{00000000-0005-0000-0000-00004F0A0000}"/>
    <cellStyle name="Comma 13 4 4" xfId="2645" xr:uid="{00000000-0005-0000-0000-0000500A0000}"/>
    <cellStyle name="Comma 13 5" xfId="2646" xr:uid="{00000000-0005-0000-0000-0000510A0000}"/>
    <cellStyle name="Comma 13 5 2" xfId="2647" xr:uid="{00000000-0005-0000-0000-0000520A0000}"/>
    <cellStyle name="Comma 13 5 2 2" xfId="2648" xr:uid="{00000000-0005-0000-0000-0000530A0000}"/>
    <cellStyle name="Comma 13 5 2 3" xfId="2649" xr:uid="{00000000-0005-0000-0000-0000540A0000}"/>
    <cellStyle name="Comma 13 5 3" xfId="2650" xr:uid="{00000000-0005-0000-0000-0000550A0000}"/>
    <cellStyle name="Comma 13 5 4" xfId="2651" xr:uid="{00000000-0005-0000-0000-0000560A0000}"/>
    <cellStyle name="Comma 13 6" xfId="2652" xr:uid="{00000000-0005-0000-0000-0000570A0000}"/>
    <cellStyle name="Comma 13 6 2" xfId="2653" xr:uid="{00000000-0005-0000-0000-0000580A0000}"/>
    <cellStyle name="Comma 13 6 2 2" xfId="2654" xr:uid="{00000000-0005-0000-0000-0000590A0000}"/>
    <cellStyle name="Comma 13 6 2 3" xfId="2655" xr:uid="{00000000-0005-0000-0000-00005A0A0000}"/>
    <cellStyle name="Comma 13 6 3" xfId="2656" xr:uid="{00000000-0005-0000-0000-00005B0A0000}"/>
    <cellStyle name="Comma 13 6 4" xfId="2657" xr:uid="{00000000-0005-0000-0000-00005C0A0000}"/>
    <cellStyle name="Comma 13 7" xfId="2658" xr:uid="{00000000-0005-0000-0000-00005D0A0000}"/>
    <cellStyle name="Comma 13 7 2" xfId="2659" xr:uid="{00000000-0005-0000-0000-00005E0A0000}"/>
    <cellStyle name="Comma 13 7 2 2" xfId="2660" xr:uid="{00000000-0005-0000-0000-00005F0A0000}"/>
    <cellStyle name="Comma 13 7 2 3" xfId="2661" xr:uid="{00000000-0005-0000-0000-0000600A0000}"/>
    <cellStyle name="Comma 13 7 3" xfId="2662" xr:uid="{00000000-0005-0000-0000-0000610A0000}"/>
    <cellStyle name="Comma 13 7 4" xfId="2663" xr:uid="{00000000-0005-0000-0000-0000620A0000}"/>
    <cellStyle name="Comma 13 8" xfId="2664" xr:uid="{00000000-0005-0000-0000-0000630A0000}"/>
    <cellStyle name="Comma 13 8 2" xfId="2665" xr:uid="{00000000-0005-0000-0000-0000640A0000}"/>
    <cellStyle name="Comma 13 8 2 2" xfId="2666" xr:uid="{00000000-0005-0000-0000-0000650A0000}"/>
    <cellStyle name="Comma 13 8 2 3" xfId="2667" xr:uid="{00000000-0005-0000-0000-0000660A0000}"/>
    <cellStyle name="Comma 13 8 3" xfId="2668" xr:uid="{00000000-0005-0000-0000-0000670A0000}"/>
    <cellStyle name="Comma 13 8 4" xfId="2669" xr:uid="{00000000-0005-0000-0000-0000680A0000}"/>
    <cellStyle name="Comma 13 9" xfId="2670" xr:uid="{00000000-0005-0000-0000-0000690A0000}"/>
    <cellStyle name="Comma 13 9 2" xfId="2671" xr:uid="{00000000-0005-0000-0000-00006A0A0000}"/>
    <cellStyle name="Comma 13 9 2 2" xfId="2672" xr:uid="{00000000-0005-0000-0000-00006B0A0000}"/>
    <cellStyle name="Comma 13 9 2 3" xfId="2673" xr:uid="{00000000-0005-0000-0000-00006C0A0000}"/>
    <cellStyle name="Comma 13 9 3" xfId="2674" xr:uid="{00000000-0005-0000-0000-00006D0A0000}"/>
    <cellStyle name="Comma 13 9 4" xfId="2675" xr:uid="{00000000-0005-0000-0000-00006E0A0000}"/>
    <cellStyle name="Comma 14" xfId="2676" xr:uid="{00000000-0005-0000-0000-00006F0A0000}"/>
    <cellStyle name="Comma 14 10" xfId="2677" xr:uid="{00000000-0005-0000-0000-0000700A0000}"/>
    <cellStyle name="Comma 14 10 2" xfId="2678" xr:uid="{00000000-0005-0000-0000-0000710A0000}"/>
    <cellStyle name="Comma 14 10 2 2" xfId="2679" xr:uid="{00000000-0005-0000-0000-0000720A0000}"/>
    <cellStyle name="Comma 14 10 2 3" xfId="2680" xr:uid="{00000000-0005-0000-0000-0000730A0000}"/>
    <cellStyle name="Comma 14 10 3" xfId="2681" xr:uid="{00000000-0005-0000-0000-0000740A0000}"/>
    <cellStyle name="Comma 14 10 4" xfId="2682" xr:uid="{00000000-0005-0000-0000-0000750A0000}"/>
    <cellStyle name="Comma 14 11" xfId="2683" xr:uid="{00000000-0005-0000-0000-0000760A0000}"/>
    <cellStyle name="Comma 14 11 2" xfId="2684" xr:uid="{00000000-0005-0000-0000-0000770A0000}"/>
    <cellStyle name="Comma 14 11 2 2" xfId="2685" xr:uid="{00000000-0005-0000-0000-0000780A0000}"/>
    <cellStyle name="Comma 14 11 2 3" xfId="2686" xr:uid="{00000000-0005-0000-0000-0000790A0000}"/>
    <cellStyle name="Comma 14 11 3" xfId="2687" xr:uid="{00000000-0005-0000-0000-00007A0A0000}"/>
    <cellStyle name="Comma 14 11 4" xfId="2688" xr:uid="{00000000-0005-0000-0000-00007B0A0000}"/>
    <cellStyle name="Comma 14 12" xfId="2689" xr:uid="{00000000-0005-0000-0000-00007C0A0000}"/>
    <cellStyle name="Comma 14 12 2" xfId="2690" xr:uid="{00000000-0005-0000-0000-00007D0A0000}"/>
    <cellStyle name="Comma 14 12 2 2" xfId="2691" xr:uid="{00000000-0005-0000-0000-00007E0A0000}"/>
    <cellStyle name="Comma 14 12 2 3" xfId="2692" xr:uid="{00000000-0005-0000-0000-00007F0A0000}"/>
    <cellStyle name="Comma 14 12 3" xfId="2693" xr:uid="{00000000-0005-0000-0000-0000800A0000}"/>
    <cellStyle name="Comma 14 12 4" xfId="2694" xr:uid="{00000000-0005-0000-0000-0000810A0000}"/>
    <cellStyle name="Comma 14 13" xfId="2695" xr:uid="{00000000-0005-0000-0000-0000820A0000}"/>
    <cellStyle name="Comma 14 13 2" xfId="2696" xr:uid="{00000000-0005-0000-0000-0000830A0000}"/>
    <cellStyle name="Comma 14 13 2 2" xfId="2697" xr:uid="{00000000-0005-0000-0000-0000840A0000}"/>
    <cellStyle name="Comma 14 13 2 3" xfId="2698" xr:uid="{00000000-0005-0000-0000-0000850A0000}"/>
    <cellStyle name="Comma 14 13 3" xfId="2699" xr:uid="{00000000-0005-0000-0000-0000860A0000}"/>
    <cellStyle name="Comma 14 13 4" xfId="2700" xr:uid="{00000000-0005-0000-0000-0000870A0000}"/>
    <cellStyle name="Comma 14 14" xfId="2701" xr:uid="{00000000-0005-0000-0000-0000880A0000}"/>
    <cellStyle name="Comma 14 14 2" xfId="2702" xr:uid="{00000000-0005-0000-0000-0000890A0000}"/>
    <cellStyle name="Comma 14 14 2 2" xfId="2703" xr:uid="{00000000-0005-0000-0000-00008A0A0000}"/>
    <cellStyle name="Comma 14 14 2 3" xfId="2704" xr:uid="{00000000-0005-0000-0000-00008B0A0000}"/>
    <cellStyle name="Comma 14 14 3" xfId="2705" xr:uid="{00000000-0005-0000-0000-00008C0A0000}"/>
    <cellStyle name="Comma 14 14 4" xfId="2706" xr:uid="{00000000-0005-0000-0000-00008D0A0000}"/>
    <cellStyle name="Comma 14 15" xfId="2707" xr:uid="{00000000-0005-0000-0000-00008E0A0000}"/>
    <cellStyle name="Comma 14 15 2" xfId="2708" xr:uid="{00000000-0005-0000-0000-00008F0A0000}"/>
    <cellStyle name="Comma 14 15 2 2" xfId="2709" xr:uid="{00000000-0005-0000-0000-0000900A0000}"/>
    <cellStyle name="Comma 14 15 2 3" xfId="2710" xr:uid="{00000000-0005-0000-0000-0000910A0000}"/>
    <cellStyle name="Comma 14 15 3" xfId="2711" xr:uid="{00000000-0005-0000-0000-0000920A0000}"/>
    <cellStyle name="Comma 14 15 4" xfId="2712" xr:uid="{00000000-0005-0000-0000-0000930A0000}"/>
    <cellStyle name="Comma 14 16" xfId="2713" xr:uid="{00000000-0005-0000-0000-0000940A0000}"/>
    <cellStyle name="Comma 14 16 2" xfId="2714" xr:uid="{00000000-0005-0000-0000-0000950A0000}"/>
    <cellStyle name="Comma 14 16 2 2" xfId="2715" xr:uid="{00000000-0005-0000-0000-0000960A0000}"/>
    <cellStyle name="Comma 14 16 2 3" xfId="2716" xr:uid="{00000000-0005-0000-0000-0000970A0000}"/>
    <cellStyle name="Comma 14 16 3" xfId="2717" xr:uid="{00000000-0005-0000-0000-0000980A0000}"/>
    <cellStyle name="Comma 14 16 4" xfId="2718" xr:uid="{00000000-0005-0000-0000-0000990A0000}"/>
    <cellStyle name="Comma 14 17" xfId="2719" xr:uid="{00000000-0005-0000-0000-00009A0A0000}"/>
    <cellStyle name="Comma 14 17 2" xfId="2720" xr:uid="{00000000-0005-0000-0000-00009B0A0000}"/>
    <cellStyle name="Comma 14 17 2 2" xfId="2721" xr:uid="{00000000-0005-0000-0000-00009C0A0000}"/>
    <cellStyle name="Comma 14 17 2 3" xfId="2722" xr:uid="{00000000-0005-0000-0000-00009D0A0000}"/>
    <cellStyle name="Comma 14 17 3" xfId="2723" xr:uid="{00000000-0005-0000-0000-00009E0A0000}"/>
    <cellStyle name="Comma 14 17 4" xfId="2724" xr:uid="{00000000-0005-0000-0000-00009F0A0000}"/>
    <cellStyle name="Comma 14 18" xfId="2725" xr:uid="{00000000-0005-0000-0000-0000A00A0000}"/>
    <cellStyle name="Comma 14 18 2" xfId="2726" xr:uid="{00000000-0005-0000-0000-0000A10A0000}"/>
    <cellStyle name="Comma 14 18 2 2" xfId="2727" xr:uid="{00000000-0005-0000-0000-0000A20A0000}"/>
    <cellStyle name="Comma 14 18 2 3" xfId="2728" xr:uid="{00000000-0005-0000-0000-0000A30A0000}"/>
    <cellStyle name="Comma 14 18 3" xfId="2729" xr:uid="{00000000-0005-0000-0000-0000A40A0000}"/>
    <cellStyle name="Comma 14 18 4" xfId="2730" xr:uid="{00000000-0005-0000-0000-0000A50A0000}"/>
    <cellStyle name="Comma 14 19" xfId="2731" xr:uid="{00000000-0005-0000-0000-0000A60A0000}"/>
    <cellStyle name="Comma 14 19 2" xfId="2732" xr:uid="{00000000-0005-0000-0000-0000A70A0000}"/>
    <cellStyle name="Comma 14 19 2 2" xfId="2733" xr:uid="{00000000-0005-0000-0000-0000A80A0000}"/>
    <cellStyle name="Comma 14 19 2 3" xfId="2734" xr:uid="{00000000-0005-0000-0000-0000A90A0000}"/>
    <cellStyle name="Comma 14 19 3" xfId="2735" xr:uid="{00000000-0005-0000-0000-0000AA0A0000}"/>
    <cellStyle name="Comma 14 19 4" xfId="2736" xr:uid="{00000000-0005-0000-0000-0000AB0A0000}"/>
    <cellStyle name="Comma 14 2" xfId="2737" xr:uid="{00000000-0005-0000-0000-0000AC0A0000}"/>
    <cellStyle name="Comma 14 2 2" xfId="2738" xr:uid="{00000000-0005-0000-0000-0000AD0A0000}"/>
    <cellStyle name="Comma 14 2 2 2" xfId="2739" xr:uid="{00000000-0005-0000-0000-0000AE0A0000}"/>
    <cellStyle name="Comma 14 2 2 3" xfId="2740" xr:uid="{00000000-0005-0000-0000-0000AF0A0000}"/>
    <cellStyle name="Comma 14 2 3" xfId="2741" xr:uid="{00000000-0005-0000-0000-0000B00A0000}"/>
    <cellStyle name="Comma 14 2 4" xfId="2742" xr:uid="{00000000-0005-0000-0000-0000B10A0000}"/>
    <cellStyle name="Comma 14 20" xfId="2743" xr:uid="{00000000-0005-0000-0000-0000B20A0000}"/>
    <cellStyle name="Comma 14 20 2" xfId="2744" xr:uid="{00000000-0005-0000-0000-0000B30A0000}"/>
    <cellStyle name="Comma 14 20 2 2" xfId="2745" xr:uid="{00000000-0005-0000-0000-0000B40A0000}"/>
    <cellStyle name="Comma 14 20 2 3" xfId="2746" xr:uid="{00000000-0005-0000-0000-0000B50A0000}"/>
    <cellStyle name="Comma 14 20 3" xfId="2747" xr:uid="{00000000-0005-0000-0000-0000B60A0000}"/>
    <cellStyle name="Comma 14 20 4" xfId="2748" xr:uid="{00000000-0005-0000-0000-0000B70A0000}"/>
    <cellStyle name="Comma 14 21" xfId="2749" xr:uid="{00000000-0005-0000-0000-0000B80A0000}"/>
    <cellStyle name="Comma 14 21 2" xfId="2750" xr:uid="{00000000-0005-0000-0000-0000B90A0000}"/>
    <cellStyle name="Comma 14 21 2 2" xfId="2751" xr:uid="{00000000-0005-0000-0000-0000BA0A0000}"/>
    <cellStyle name="Comma 14 21 2 3" xfId="2752" xr:uid="{00000000-0005-0000-0000-0000BB0A0000}"/>
    <cellStyle name="Comma 14 21 3" xfId="2753" xr:uid="{00000000-0005-0000-0000-0000BC0A0000}"/>
    <cellStyle name="Comma 14 21 4" xfId="2754" xr:uid="{00000000-0005-0000-0000-0000BD0A0000}"/>
    <cellStyle name="Comma 14 22" xfId="2755" xr:uid="{00000000-0005-0000-0000-0000BE0A0000}"/>
    <cellStyle name="Comma 14 22 2" xfId="2756" xr:uid="{00000000-0005-0000-0000-0000BF0A0000}"/>
    <cellStyle name="Comma 14 22 2 2" xfId="2757" xr:uid="{00000000-0005-0000-0000-0000C00A0000}"/>
    <cellStyle name="Comma 14 22 2 3" xfId="2758" xr:uid="{00000000-0005-0000-0000-0000C10A0000}"/>
    <cellStyle name="Comma 14 22 3" xfId="2759" xr:uid="{00000000-0005-0000-0000-0000C20A0000}"/>
    <cellStyle name="Comma 14 22 4" xfId="2760" xr:uid="{00000000-0005-0000-0000-0000C30A0000}"/>
    <cellStyle name="Comma 14 23" xfId="2761" xr:uid="{00000000-0005-0000-0000-0000C40A0000}"/>
    <cellStyle name="Comma 14 23 2" xfId="2762" xr:uid="{00000000-0005-0000-0000-0000C50A0000}"/>
    <cellStyle name="Comma 14 23 2 2" xfId="2763" xr:uid="{00000000-0005-0000-0000-0000C60A0000}"/>
    <cellStyle name="Comma 14 23 2 3" xfId="2764" xr:uid="{00000000-0005-0000-0000-0000C70A0000}"/>
    <cellStyle name="Comma 14 23 3" xfId="2765" xr:uid="{00000000-0005-0000-0000-0000C80A0000}"/>
    <cellStyle name="Comma 14 23 4" xfId="2766" xr:uid="{00000000-0005-0000-0000-0000C90A0000}"/>
    <cellStyle name="Comma 14 24" xfId="2767" xr:uid="{00000000-0005-0000-0000-0000CA0A0000}"/>
    <cellStyle name="Comma 14 24 2" xfId="2768" xr:uid="{00000000-0005-0000-0000-0000CB0A0000}"/>
    <cellStyle name="Comma 14 24 3" xfId="2769" xr:uid="{00000000-0005-0000-0000-0000CC0A0000}"/>
    <cellStyle name="Comma 14 25" xfId="2770" xr:uid="{00000000-0005-0000-0000-0000CD0A0000}"/>
    <cellStyle name="Comma 14 26" xfId="2771" xr:uid="{00000000-0005-0000-0000-0000CE0A0000}"/>
    <cellStyle name="Comma 14 3" xfId="2772" xr:uid="{00000000-0005-0000-0000-0000CF0A0000}"/>
    <cellStyle name="Comma 14 3 2" xfId="2773" xr:uid="{00000000-0005-0000-0000-0000D00A0000}"/>
    <cellStyle name="Comma 14 3 2 2" xfId="2774" xr:uid="{00000000-0005-0000-0000-0000D10A0000}"/>
    <cellStyle name="Comma 14 3 2 3" xfId="2775" xr:uid="{00000000-0005-0000-0000-0000D20A0000}"/>
    <cellStyle name="Comma 14 3 3" xfId="2776" xr:uid="{00000000-0005-0000-0000-0000D30A0000}"/>
    <cellStyle name="Comma 14 3 4" xfId="2777" xr:uid="{00000000-0005-0000-0000-0000D40A0000}"/>
    <cellStyle name="Comma 14 4" xfId="2778" xr:uid="{00000000-0005-0000-0000-0000D50A0000}"/>
    <cellStyle name="Comma 14 4 2" xfId="2779" xr:uid="{00000000-0005-0000-0000-0000D60A0000}"/>
    <cellStyle name="Comma 14 4 2 2" xfId="2780" xr:uid="{00000000-0005-0000-0000-0000D70A0000}"/>
    <cellStyle name="Comma 14 4 2 3" xfId="2781" xr:uid="{00000000-0005-0000-0000-0000D80A0000}"/>
    <cellStyle name="Comma 14 4 3" xfId="2782" xr:uid="{00000000-0005-0000-0000-0000D90A0000}"/>
    <cellStyle name="Comma 14 4 4" xfId="2783" xr:uid="{00000000-0005-0000-0000-0000DA0A0000}"/>
    <cellStyle name="Comma 14 5" xfId="2784" xr:uid="{00000000-0005-0000-0000-0000DB0A0000}"/>
    <cellStyle name="Comma 14 5 2" xfId="2785" xr:uid="{00000000-0005-0000-0000-0000DC0A0000}"/>
    <cellStyle name="Comma 14 5 2 2" xfId="2786" xr:uid="{00000000-0005-0000-0000-0000DD0A0000}"/>
    <cellStyle name="Comma 14 5 2 3" xfId="2787" xr:uid="{00000000-0005-0000-0000-0000DE0A0000}"/>
    <cellStyle name="Comma 14 5 3" xfId="2788" xr:uid="{00000000-0005-0000-0000-0000DF0A0000}"/>
    <cellStyle name="Comma 14 5 4" xfId="2789" xr:uid="{00000000-0005-0000-0000-0000E00A0000}"/>
    <cellStyle name="Comma 14 6" xfId="2790" xr:uid="{00000000-0005-0000-0000-0000E10A0000}"/>
    <cellStyle name="Comma 14 6 2" xfId="2791" xr:uid="{00000000-0005-0000-0000-0000E20A0000}"/>
    <cellStyle name="Comma 14 6 2 2" xfId="2792" xr:uid="{00000000-0005-0000-0000-0000E30A0000}"/>
    <cellStyle name="Comma 14 6 2 3" xfId="2793" xr:uid="{00000000-0005-0000-0000-0000E40A0000}"/>
    <cellStyle name="Comma 14 6 3" xfId="2794" xr:uid="{00000000-0005-0000-0000-0000E50A0000}"/>
    <cellStyle name="Comma 14 6 4" xfId="2795" xr:uid="{00000000-0005-0000-0000-0000E60A0000}"/>
    <cellStyle name="Comma 14 7" xfId="2796" xr:uid="{00000000-0005-0000-0000-0000E70A0000}"/>
    <cellStyle name="Comma 14 7 2" xfId="2797" xr:uid="{00000000-0005-0000-0000-0000E80A0000}"/>
    <cellStyle name="Comma 14 7 2 2" xfId="2798" xr:uid="{00000000-0005-0000-0000-0000E90A0000}"/>
    <cellStyle name="Comma 14 7 2 3" xfId="2799" xr:uid="{00000000-0005-0000-0000-0000EA0A0000}"/>
    <cellStyle name="Comma 14 7 3" xfId="2800" xr:uid="{00000000-0005-0000-0000-0000EB0A0000}"/>
    <cellStyle name="Comma 14 7 4" xfId="2801" xr:uid="{00000000-0005-0000-0000-0000EC0A0000}"/>
    <cellStyle name="Comma 14 8" xfId="2802" xr:uid="{00000000-0005-0000-0000-0000ED0A0000}"/>
    <cellStyle name="Comma 14 8 2" xfId="2803" xr:uid="{00000000-0005-0000-0000-0000EE0A0000}"/>
    <cellStyle name="Comma 14 8 2 2" xfId="2804" xr:uid="{00000000-0005-0000-0000-0000EF0A0000}"/>
    <cellStyle name="Comma 14 8 2 3" xfId="2805" xr:uid="{00000000-0005-0000-0000-0000F00A0000}"/>
    <cellStyle name="Comma 14 8 3" xfId="2806" xr:uid="{00000000-0005-0000-0000-0000F10A0000}"/>
    <cellStyle name="Comma 14 8 4" xfId="2807" xr:uid="{00000000-0005-0000-0000-0000F20A0000}"/>
    <cellStyle name="Comma 14 9" xfId="2808" xr:uid="{00000000-0005-0000-0000-0000F30A0000}"/>
    <cellStyle name="Comma 14 9 2" xfId="2809" xr:uid="{00000000-0005-0000-0000-0000F40A0000}"/>
    <cellStyle name="Comma 14 9 2 2" xfId="2810" xr:uid="{00000000-0005-0000-0000-0000F50A0000}"/>
    <cellStyle name="Comma 14 9 2 3" xfId="2811" xr:uid="{00000000-0005-0000-0000-0000F60A0000}"/>
    <cellStyle name="Comma 14 9 3" xfId="2812" xr:uid="{00000000-0005-0000-0000-0000F70A0000}"/>
    <cellStyle name="Comma 14 9 4" xfId="2813" xr:uid="{00000000-0005-0000-0000-0000F80A0000}"/>
    <cellStyle name="Comma 15" xfId="2814" xr:uid="{00000000-0005-0000-0000-0000F90A0000}"/>
    <cellStyle name="Comma 15 10" xfId="2815" xr:uid="{00000000-0005-0000-0000-0000FA0A0000}"/>
    <cellStyle name="Comma 15 10 2" xfId="2816" xr:uid="{00000000-0005-0000-0000-0000FB0A0000}"/>
    <cellStyle name="Comma 15 10 2 2" xfId="2817" xr:uid="{00000000-0005-0000-0000-0000FC0A0000}"/>
    <cellStyle name="Comma 15 10 2 3" xfId="2818" xr:uid="{00000000-0005-0000-0000-0000FD0A0000}"/>
    <cellStyle name="Comma 15 10 3" xfId="2819" xr:uid="{00000000-0005-0000-0000-0000FE0A0000}"/>
    <cellStyle name="Comma 15 10 4" xfId="2820" xr:uid="{00000000-0005-0000-0000-0000FF0A0000}"/>
    <cellStyle name="Comma 15 11" xfId="2821" xr:uid="{00000000-0005-0000-0000-0000000B0000}"/>
    <cellStyle name="Comma 15 11 2" xfId="2822" xr:uid="{00000000-0005-0000-0000-0000010B0000}"/>
    <cellStyle name="Comma 15 11 2 2" xfId="2823" xr:uid="{00000000-0005-0000-0000-0000020B0000}"/>
    <cellStyle name="Comma 15 11 2 3" xfId="2824" xr:uid="{00000000-0005-0000-0000-0000030B0000}"/>
    <cellStyle name="Comma 15 11 3" xfId="2825" xr:uid="{00000000-0005-0000-0000-0000040B0000}"/>
    <cellStyle name="Comma 15 11 4" xfId="2826" xr:uid="{00000000-0005-0000-0000-0000050B0000}"/>
    <cellStyle name="Comma 15 12" xfId="2827" xr:uid="{00000000-0005-0000-0000-0000060B0000}"/>
    <cellStyle name="Comma 15 12 2" xfId="2828" xr:uid="{00000000-0005-0000-0000-0000070B0000}"/>
    <cellStyle name="Comma 15 12 2 2" xfId="2829" xr:uid="{00000000-0005-0000-0000-0000080B0000}"/>
    <cellStyle name="Comma 15 12 2 3" xfId="2830" xr:uid="{00000000-0005-0000-0000-0000090B0000}"/>
    <cellStyle name="Comma 15 12 3" xfId="2831" xr:uid="{00000000-0005-0000-0000-00000A0B0000}"/>
    <cellStyle name="Comma 15 12 4" xfId="2832" xr:uid="{00000000-0005-0000-0000-00000B0B0000}"/>
    <cellStyle name="Comma 15 13" xfId="2833" xr:uid="{00000000-0005-0000-0000-00000C0B0000}"/>
    <cellStyle name="Comma 15 13 2" xfId="2834" xr:uid="{00000000-0005-0000-0000-00000D0B0000}"/>
    <cellStyle name="Comma 15 13 2 2" xfId="2835" xr:uid="{00000000-0005-0000-0000-00000E0B0000}"/>
    <cellStyle name="Comma 15 13 2 3" xfId="2836" xr:uid="{00000000-0005-0000-0000-00000F0B0000}"/>
    <cellStyle name="Comma 15 13 3" xfId="2837" xr:uid="{00000000-0005-0000-0000-0000100B0000}"/>
    <cellStyle name="Comma 15 13 4" xfId="2838" xr:uid="{00000000-0005-0000-0000-0000110B0000}"/>
    <cellStyle name="Comma 15 14" xfId="2839" xr:uid="{00000000-0005-0000-0000-0000120B0000}"/>
    <cellStyle name="Comma 15 14 2" xfId="2840" xr:uid="{00000000-0005-0000-0000-0000130B0000}"/>
    <cellStyle name="Comma 15 14 2 2" xfId="2841" xr:uid="{00000000-0005-0000-0000-0000140B0000}"/>
    <cellStyle name="Comma 15 14 2 3" xfId="2842" xr:uid="{00000000-0005-0000-0000-0000150B0000}"/>
    <cellStyle name="Comma 15 14 3" xfId="2843" xr:uid="{00000000-0005-0000-0000-0000160B0000}"/>
    <cellStyle name="Comma 15 14 4" xfId="2844" xr:uid="{00000000-0005-0000-0000-0000170B0000}"/>
    <cellStyle name="Comma 15 15" xfId="2845" xr:uid="{00000000-0005-0000-0000-0000180B0000}"/>
    <cellStyle name="Comma 15 15 2" xfId="2846" xr:uid="{00000000-0005-0000-0000-0000190B0000}"/>
    <cellStyle name="Comma 15 15 2 2" xfId="2847" xr:uid="{00000000-0005-0000-0000-00001A0B0000}"/>
    <cellStyle name="Comma 15 15 2 3" xfId="2848" xr:uid="{00000000-0005-0000-0000-00001B0B0000}"/>
    <cellStyle name="Comma 15 15 3" xfId="2849" xr:uid="{00000000-0005-0000-0000-00001C0B0000}"/>
    <cellStyle name="Comma 15 15 4" xfId="2850" xr:uid="{00000000-0005-0000-0000-00001D0B0000}"/>
    <cellStyle name="Comma 15 16" xfId="2851" xr:uid="{00000000-0005-0000-0000-00001E0B0000}"/>
    <cellStyle name="Comma 15 16 2" xfId="2852" xr:uid="{00000000-0005-0000-0000-00001F0B0000}"/>
    <cellStyle name="Comma 15 16 2 2" xfId="2853" xr:uid="{00000000-0005-0000-0000-0000200B0000}"/>
    <cellStyle name="Comma 15 16 2 3" xfId="2854" xr:uid="{00000000-0005-0000-0000-0000210B0000}"/>
    <cellStyle name="Comma 15 16 3" xfId="2855" xr:uid="{00000000-0005-0000-0000-0000220B0000}"/>
    <cellStyle name="Comma 15 16 4" xfId="2856" xr:uid="{00000000-0005-0000-0000-0000230B0000}"/>
    <cellStyle name="Comma 15 17" xfId="2857" xr:uid="{00000000-0005-0000-0000-0000240B0000}"/>
    <cellStyle name="Comma 15 17 2" xfId="2858" xr:uid="{00000000-0005-0000-0000-0000250B0000}"/>
    <cellStyle name="Comma 15 17 2 2" xfId="2859" xr:uid="{00000000-0005-0000-0000-0000260B0000}"/>
    <cellStyle name="Comma 15 17 2 3" xfId="2860" xr:uid="{00000000-0005-0000-0000-0000270B0000}"/>
    <cellStyle name="Comma 15 17 3" xfId="2861" xr:uid="{00000000-0005-0000-0000-0000280B0000}"/>
    <cellStyle name="Comma 15 17 4" xfId="2862" xr:uid="{00000000-0005-0000-0000-0000290B0000}"/>
    <cellStyle name="Comma 15 18" xfId="2863" xr:uid="{00000000-0005-0000-0000-00002A0B0000}"/>
    <cellStyle name="Comma 15 18 2" xfId="2864" xr:uid="{00000000-0005-0000-0000-00002B0B0000}"/>
    <cellStyle name="Comma 15 18 2 2" xfId="2865" xr:uid="{00000000-0005-0000-0000-00002C0B0000}"/>
    <cellStyle name="Comma 15 18 2 3" xfId="2866" xr:uid="{00000000-0005-0000-0000-00002D0B0000}"/>
    <cellStyle name="Comma 15 18 3" xfId="2867" xr:uid="{00000000-0005-0000-0000-00002E0B0000}"/>
    <cellStyle name="Comma 15 18 4" xfId="2868" xr:uid="{00000000-0005-0000-0000-00002F0B0000}"/>
    <cellStyle name="Comma 15 19" xfId="2869" xr:uid="{00000000-0005-0000-0000-0000300B0000}"/>
    <cellStyle name="Comma 15 19 2" xfId="2870" xr:uid="{00000000-0005-0000-0000-0000310B0000}"/>
    <cellStyle name="Comma 15 19 2 2" xfId="2871" xr:uid="{00000000-0005-0000-0000-0000320B0000}"/>
    <cellStyle name="Comma 15 19 2 3" xfId="2872" xr:uid="{00000000-0005-0000-0000-0000330B0000}"/>
    <cellStyle name="Comma 15 19 3" xfId="2873" xr:uid="{00000000-0005-0000-0000-0000340B0000}"/>
    <cellStyle name="Comma 15 19 4" xfId="2874" xr:uid="{00000000-0005-0000-0000-0000350B0000}"/>
    <cellStyle name="Comma 15 2" xfId="2875" xr:uid="{00000000-0005-0000-0000-0000360B0000}"/>
    <cellStyle name="Comma 15 2 2" xfId="2876" xr:uid="{00000000-0005-0000-0000-0000370B0000}"/>
    <cellStyle name="Comma 15 2 2 2" xfId="2877" xr:uid="{00000000-0005-0000-0000-0000380B0000}"/>
    <cellStyle name="Comma 15 2 2 3" xfId="2878" xr:uid="{00000000-0005-0000-0000-0000390B0000}"/>
    <cellStyle name="Comma 15 2 3" xfId="2879" xr:uid="{00000000-0005-0000-0000-00003A0B0000}"/>
    <cellStyle name="Comma 15 2 4" xfId="2880" xr:uid="{00000000-0005-0000-0000-00003B0B0000}"/>
    <cellStyle name="Comma 15 20" xfId="2881" xr:uid="{00000000-0005-0000-0000-00003C0B0000}"/>
    <cellStyle name="Comma 15 20 2" xfId="2882" xr:uid="{00000000-0005-0000-0000-00003D0B0000}"/>
    <cellStyle name="Comma 15 20 2 2" xfId="2883" xr:uid="{00000000-0005-0000-0000-00003E0B0000}"/>
    <cellStyle name="Comma 15 20 2 3" xfId="2884" xr:uid="{00000000-0005-0000-0000-00003F0B0000}"/>
    <cellStyle name="Comma 15 20 3" xfId="2885" xr:uid="{00000000-0005-0000-0000-0000400B0000}"/>
    <cellStyle name="Comma 15 20 4" xfId="2886" xr:uid="{00000000-0005-0000-0000-0000410B0000}"/>
    <cellStyle name="Comma 15 21" xfId="2887" xr:uid="{00000000-0005-0000-0000-0000420B0000}"/>
    <cellStyle name="Comma 15 21 2" xfId="2888" xr:uid="{00000000-0005-0000-0000-0000430B0000}"/>
    <cellStyle name="Comma 15 21 2 2" xfId="2889" xr:uid="{00000000-0005-0000-0000-0000440B0000}"/>
    <cellStyle name="Comma 15 21 2 3" xfId="2890" xr:uid="{00000000-0005-0000-0000-0000450B0000}"/>
    <cellStyle name="Comma 15 21 3" xfId="2891" xr:uid="{00000000-0005-0000-0000-0000460B0000}"/>
    <cellStyle name="Comma 15 21 4" xfId="2892" xr:uid="{00000000-0005-0000-0000-0000470B0000}"/>
    <cellStyle name="Comma 15 22" xfId="2893" xr:uid="{00000000-0005-0000-0000-0000480B0000}"/>
    <cellStyle name="Comma 15 22 2" xfId="2894" xr:uid="{00000000-0005-0000-0000-0000490B0000}"/>
    <cellStyle name="Comma 15 22 2 2" xfId="2895" xr:uid="{00000000-0005-0000-0000-00004A0B0000}"/>
    <cellStyle name="Comma 15 22 2 3" xfId="2896" xr:uid="{00000000-0005-0000-0000-00004B0B0000}"/>
    <cellStyle name="Comma 15 22 3" xfId="2897" xr:uid="{00000000-0005-0000-0000-00004C0B0000}"/>
    <cellStyle name="Comma 15 22 4" xfId="2898" xr:uid="{00000000-0005-0000-0000-00004D0B0000}"/>
    <cellStyle name="Comma 15 23" xfId="2899" xr:uid="{00000000-0005-0000-0000-00004E0B0000}"/>
    <cellStyle name="Comma 15 23 2" xfId="2900" xr:uid="{00000000-0005-0000-0000-00004F0B0000}"/>
    <cellStyle name="Comma 15 23 2 2" xfId="2901" xr:uid="{00000000-0005-0000-0000-0000500B0000}"/>
    <cellStyle name="Comma 15 23 2 3" xfId="2902" xr:uid="{00000000-0005-0000-0000-0000510B0000}"/>
    <cellStyle name="Comma 15 23 3" xfId="2903" xr:uid="{00000000-0005-0000-0000-0000520B0000}"/>
    <cellStyle name="Comma 15 23 4" xfId="2904" xr:uid="{00000000-0005-0000-0000-0000530B0000}"/>
    <cellStyle name="Comma 15 24" xfId="2905" xr:uid="{00000000-0005-0000-0000-0000540B0000}"/>
    <cellStyle name="Comma 15 24 2" xfId="2906" xr:uid="{00000000-0005-0000-0000-0000550B0000}"/>
    <cellStyle name="Comma 15 24 3" xfId="2907" xr:uid="{00000000-0005-0000-0000-0000560B0000}"/>
    <cellStyle name="Comma 15 25" xfId="2908" xr:uid="{00000000-0005-0000-0000-0000570B0000}"/>
    <cellStyle name="Comma 15 26" xfId="2909" xr:uid="{00000000-0005-0000-0000-0000580B0000}"/>
    <cellStyle name="Comma 15 3" xfId="2910" xr:uid="{00000000-0005-0000-0000-0000590B0000}"/>
    <cellStyle name="Comma 15 3 2" xfId="2911" xr:uid="{00000000-0005-0000-0000-00005A0B0000}"/>
    <cellStyle name="Comma 15 3 2 2" xfId="2912" xr:uid="{00000000-0005-0000-0000-00005B0B0000}"/>
    <cellStyle name="Comma 15 3 2 3" xfId="2913" xr:uid="{00000000-0005-0000-0000-00005C0B0000}"/>
    <cellStyle name="Comma 15 3 3" xfId="2914" xr:uid="{00000000-0005-0000-0000-00005D0B0000}"/>
    <cellStyle name="Comma 15 3 4" xfId="2915" xr:uid="{00000000-0005-0000-0000-00005E0B0000}"/>
    <cellStyle name="Comma 15 4" xfId="2916" xr:uid="{00000000-0005-0000-0000-00005F0B0000}"/>
    <cellStyle name="Comma 15 4 2" xfId="2917" xr:uid="{00000000-0005-0000-0000-0000600B0000}"/>
    <cellStyle name="Comma 15 4 2 2" xfId="2918" xr:uid="{00000000-0005-0000-0000-0000610B0000}"/>
    <cellStyle name="Comma 15 4 2 3" xfId="2919" xr:uid="{00000000-0005-0000-0000-0000620B0000}"/>
    <cellStyle name="Comma 15 4 3" xfId="2920" xr:uid="{00000000-0005-0000-0000-0000630B0000}"/>
    <cellStyle name="Comma 15 4 4" xfId="2921" xr:uid="{00000000-0005-0000-0000-0000640B0000}"/>
    <cellStyle name="Comma 15 5" xfId="2922" xr:uid="{00000000-0005-0000-0000-0000650B0000}"/>
    <cellStyle name="Comma 15 5 2" xfId="2923" xr:uid="{00000000-0005-0000-0000-0000660B0000}"/>
    <cellStyle name="Comma 15 5 2 2" xfId="2924" xr:uid="{00000000-0005-0000-0000-0000670B0000}"/>
    <cellStyle name="Comma 15 5 2 3" xfId="2925" xr:uid="{00000000-0005-0000-0000-0000680B0000}"/>
    <cellStyle name="Comma 15 5 3" xfId="2926" xr:uid="{00000000-0005-0000-0000-0000690B0000}"/>
    <cellStyle name="Comma 15 5 4" xfId="2927" xr:uid="{00000000-0005-0000-0000-00006A0B0000}"/>
    <cellStyle name="Comma 15 6" xfId="2928" xr:uid="{00000000-0005-0000-0000-00006B0B0000}"/>
    <cellStyle name="Comma 15 6 2" xfId="2929" xr:uid="{00000000-0005-0000-0000-00006C0B0000}"/>
    <cellStyle name="Comma 15 6 2 2" xfId="2930" xr:uid="{00000000-0005-0000-0000-00006D0B0000}"/>
    <cellStyle name="Comma 15 6 2 3" xfId="2931" xr:uid="{00000000-0005-0000-0000-00006E0B0000}"/>
    <cellStyle name="Comma 15 6 3" xfId="2932" xr:uid="{00000000-0005-0000-0000-00006F0B0000}"/>
    <cellStyle name="Comma 15 6 4" xfId="2933" xr:uid="{00000000-0005-0000-0000-0000700B0000}"/>
    <cellStyle name="Comma 15 7" xfId="2934" xr:uid="{00000000-0005-0000-0000-0000710B0000}"/>
    <cellStyle name="Comma 15 7 2" xfId="2935" xr:uid="{00000000-0005-0000-0000-0000720B0000}"/>
    <cellStyle name="Comma 15 7 2 2" xfId="2936" xr:uid="{00000000-0005-0000-0000-0000730B0000}"/>
    <cellStyle name="Comma 15 7 2 3" xfId="2937" xr:uid="{00000000-0005-0000-0000-0000740B0000}"/>
    <cellStyle name="Comma 15 7 3" xfId="2938" xr:uid="{00000000-0005-0000-0000-0000750B0000}"/>
    <cellStyle name="Comma 15 7 4" xfId="2939" xr:uid="{00000000-0005-0000-0000-0000760B0000}"/>
    <cellStyle name="Comma 15 8" xfId="2940" xr:uid="{00000000-0005-0000-0000-0000770B0000}"/>
    <cellStyle name="Comma 15 8 2" xfId="2941" xr:uid="{00000000-0005-0000-0000-0000780B0000}"/>
    <cellStyle name="Comma 15 8 2 2" xfId="2942" xr:uid="{00000000-0005-0000-0000-0000790B0000}"/>
    <cellStyle name="Comma 15 8 2 3" xfId="2943" xr:uid="{00000000-0005-0000-0000-00007A0B0000}"/>
    <cellStyle name="Comma 15 8 3" xfId="2944" xr:uid="{00000000-0005-0000-0000-00007B0B0000}"/>
    <cellStyle name="Comma 15 8 4" xfId="2945" xr:uid="{00000000-0005-0000-0000-00007C0B0000}"/>
    <cellStyle name="Comma 15 9" xfId="2946" xr:uid="{00000000-0005-0000-0000-00007D0B0000}"/>
    <cellStyle name="Comma 15 9 2" xfId="2947" xr:uid="{00000000-0005-0000-0000-00007E0B0000}"/>
    <cellStyle name="Comma 15 9 2 2" xfId="2948" xr:uid="{00000000-0005-0000-0000-00007F0B0000}"/>
    <cellStyle name="Comma 15 9 2 3" xfId="2949" xr:uid="{00000000-0005-0000-0000-0000800B0000}"/>
    <cellStyle name="Comma 15 9 3" xfId="2950" xr:uid="{00000000-0005-0000-0000-0000810B0000}"/>
    <cellStyle name="Comma 15 9 4" xfId="2951" xr:uid="{00000000-0005-0000-0000-0000820B0000}"/>
    <cellStyle name="Comma 16" xfId="2952" xr:uid="{00000000-0005-0000-0000-0000830B0000}"/>
    <cellStyle name="Comma 16 10" xfId="2953" xr:uid="{00000000-0005-0000-0000-0000840B0000}"/>
    <cellStyle name="Comma 16 10 2" xfId="2954" xr:uid="{00000000-0005-0000-0000-0000850B0000}"/>
    <cellStyle name="Comma 16 10 2 2" xfId="2955" xr:uid="{00000000-0005-0000-0000-0000860B0000}"/>
    <cellStyle name="Comma 16 10 2 3" xfId="2956" xr:uid="{00000000-0005-0000-0000-0000870B0000}"/>
    <cellStyle name="Comma 16 10 3" xfId="2957" xr:uid="{00000000-0005-0000-0000-0000880B0000}"/>
    <cellStyle name="Comma 16 10 4" xfId="2958" xr:uid="{00000000-0005-0000-0000-0000890B0000}"/>
    <cellStyle name="Comma 16 11" xfId="2959" xr:uid="{00000000-0005-0000-0000-00008A0B0000}"/>
    <cellStyle name="Comma 16 11 2" xfId="2960" xr:uid="{00000000-0005-0000-0000-00008B0B0000}"/>
    <cellStyle name="Comma 16 11 2 2" xfId="2961" xr:uid="{00000000-0005-0000-0000-00008C0B0000}"/>
    <cellStyle name="Comma 16 11 2 3" xfId="2962" xr:uid="{00000000-0005-0000-0000-00008D0B0000}"/>
    <cellStyle name="Comma 16 11 3" xfId="2963" xr:uid="{00000000-0005-0000-0000-00008E0B0000}"/>
    <cellStyle name="Comma 16 11 4" xfId="2964" xr:uid="{00000000-0005-0000-0000-00008F0B0000}"/>
    <cellStyle name="Comma 16 12" xfId="2965" xr:uid="{00000000-0005-0000-0000-0000900B0000}"/>
    <cellStyle name="Comma 16 12 2" xfId="2966" xr:uid="{00000000-0005-0000-0000-0000910B0000}"/>
    <cellStyle name="Comma 16 12 2 2" xfId="2967" xr:uid="{00000000-0005-0000-0000-0000920B0000}"/>
    <cellStyle name="Comma 16 12 2 3" xfId="2968" xr:uid="{00000000-0005-0000-0000-0000930B0000}"/>
    <cellStyle name="Comma 16 12 3" xfId="2969" xr:uid="{00000000-0005-0000-0000-0000940B0000}"/>
    <cellStyle name="Comma 16 12 4" xfId="2970" xr:uid="{00000000-0005-0000-0000-0000950B0000}"/>
    <cellStyle name="Comma 16 13" xfId="2971" xr:uid="{00000000-0005-0000-0000-0000960B0000}"/>
    <cellStyle name="Comma 16 13 2" xfId="2972" xr:uid="{00000000-0005-0000-0000-0000970B0000}"/>
    <cellStyle name="Comma 16 13 2 2" xfId="2973" xr:uid="{00000000-0005-0000-0000-0000980B0000}"/>
    <cellStyle name="Comma 16 13 2 3" xfId="2974" xr:uid="{00000000-0005-0000-0000-0000990B0000}"/>
    <cellStyle name="Comma 16 13 3" xfId="2975" xr:uid="{00000000-0005-0000-0000-00009A0B0000}"/>
    <cellStyle name="Comma 16 13 4" xfId="2976" xr:uid="{00000000-0005-0000-0000-00009B0B0000}"/>
    <cellStyle name="Comma 16 14" xfId="2977" xr:uid="{00000000-0005-0000-0000-00009C0B0000}"/>
    <cellStyle name="Comma 16 14 2" xfId="2978" xr:uid="{00000000-0005-0000-0000-00009D0B0000}"/>
    <cellStyle name="Comma 16 14 2 2" xfId="2979" xr:uid="{00000000-0005-0000-0000-00009E0B0000}"/>
    <cellStyle name="Comma 16 14 2 3" xfId="2980" xr:uid="{00000000-0005-0000-0000-00009F0B0000}"/>
    <cellStyle name="Comma 16 14 3" xfId="2981" xr:uid="{00000000-0005-0000-0000-0000A00B0000}"/>
    <cellStyle name="Comma 16 14 4" xfId="2982" xr:uid="{00000000-0005-0000-0000-0000A10B0000}"/>
    <cellStyle name="Comma 16 15" xfId="2983" xr:uid="{00000000-0005-0000-0000-0000A20B0000}"/>
    <cellStyle name="Comma 16 15 2" xfId="2984" xr:uid="{00000000-0005-0000-0000-0000A30B0000}"/>
    <cellStyle name="Comma 16 15 2 2" xfId="2985" xr:uid="{00000000-0005-0000-0000-0000A40B0000}"/>
    <cellStyle name="Comma 16 15 2 3" xfId="2986" xr:uid="{00000000-0005-0000-0000-0000A50B0000}"/>
    <cellStyle name="Comma 16 15 3" xfId="2987" xr:uid="{00000000-0005-0000-0000-0000A60B0000}"/>
    <cellStyle name="Comma 16 15 4" xfId="2988" xr:uid="{00000000-0005-0000-0000-0000A70B0000}"/>
    <cellStyle name="Comma 16 16" xfId="2989" xr:uid="{00000000-0005-0000-0000-0000A80B0000}"/>
    <cellStyle name="Comma 16 16 2" xfId="2990" xr:uid="{00000000-0005-0000-0000-0000A90B0000}"/>
    <cellStyle name="Comma 16 16 2 2" xfId="2991" xr:uid="{00000000-0005-0000-0000-0000AA0B0000}"/>
    <cellStyle name="Comma 16 16 2 3" xfId="2992" xr:uid="{00000000-0005-0000-0000-0000AB0B0000}"/>
    <cellStyle name="Comma 16 16 3" xfId="2993" xr:uid="{00000000-0005-0000-0000-0000AC0B0000}"/>
    <cellStyle name="Comma 16 16 4" xfId="2994" xr:uid="{00000000-0005-0000-0000-0000AD0B0000}"/>
    <cellStyle name="Comma 16 17" xfId="2995" xr:uid="{00000000-0005-0000-0000-0000AE0B0000}"/>
    <cellStyle name="Comma 16 17 2" xfId="2996" xr:uid="{00000000-0005-0000-0000-0000AF0B0000}"/>
    <cellStyle name="Comma 16 17 2 2" xfId="2997" xr:uid="{00000000-0005-0000-0000-0000B00B0000}"/>
    <cellStyle name="Comma 16 17 2 3" xfId="2998" xr:uid="{00000000-0005-0000-0000-0000B10B0000}"/>
    <cellStyle name="Comma 16 17 3" xfId="2999" xr:uid="{00000000-0005-0000-0000-0000B20B0000}"/>
    <cellStyle name="Comma 16 17 4" xfId="3000" xr:uid="{00000000-0005-0000-0000-0000B30B0000}"/>
    <cellStyle name="Comma 16 18" xfId="3001" xr:uid="{00000000-0005-0000-0000-0000B40B0000}"/>
    <cellStyle name="Comma 16 18 2" xfId="3002" xr:uid="{00000000-0005-0000-0000-0000B50B0000}"/>
    <cellStyle name="Comma 16 18 2 2" xfId="3003" xr:uid="{00000000-0005-0000-0000-0000B60B0000}"/>
    <cellStyle name="Comma 16 18 2 3" xfId="3004" xr:uid="{00000000-0005-0000-0000-0000B70B0000}"/>
    <cellStyle name="Comma 16 18 3" xfId="3005" xr:uid="{00000000-0005-0000-0000-0000B80B0000}"/>
    <cellStyle name="Comma 16 18 4" xfId="3006" xr:uid="{00000000-0005-0000-0000-0000B90B0000}"/>
    <cellStyle name="Comma 16 19" xfId="3007" xr:uid="{00000000-0005-0000-0000-0000BA0B0000}"/>
    <cellStyle name="Comma 16 19 2" xfId="3008" xr:uid="{00000000-0005-0000-0000-0000BB0B0000}"/>
    <cellStyle name="Comma 16 19 2 2" xfId="3009" xr:uid="{00000000-0005-0000-0000-0000BC0B0000}"/>
    <cellStyle name="Comma 16 19 2 3" xfId="3010" xr:uid="{00000000-0005-0000-0000-0000BD0B0000}"/>
    <cellStyle name="Comma 16 19 3" xfId="3011" xr:uid="{00000000-0005-0000-0000-0000BE0B0000}"/>
    <cellStyle name="Comma 16 19 4" xfId="3012" xr:uid="{00000000-0005-0000-0000-0000BF0B0000}"/>
    <cellStyle name="Comma 16 2" xfId="3013" xr:uid="{00000000-0005-0000-0000-0000C00B0000}"/>
    <cellStyle name="Comma 16 2 2" xfId="3014" xr:uid="{00000000-0005-0000-0000-0000C10B0000}"/>
    <cellStyle name="Comma 16 2 2 2" xfId="3015" xr:uid="{00000000-0005-0000-0000-0000C20B0000}"/>
    <cellStyle name="Comma 16 2 2 3" xfId="3016" xr:uid="{00000000-0005-0000-0000-0000C30B0000}"/>
    <cellStyle name="Comma 16 2 3" xfId="3017" xr:uid="{00000000-0005-0000-0000-0000C40B0000}"/>
    <cellStyle name="Comma 16 2 4" xfId="3018" xr:uid="{00000000-0005-0000-0000-0000C50B0000}"/>
    <cellStyle name="Comma 16 20" xfId="3019" xr:uid="{00000000-0005-0000-0000-0000C60B0000}"/>
    <cellStyle name="Comma 16 20 2" xfId="3020" xr:uid="{00000000-0005-0000-0000-0000C70B0000}"/>
    <cellStyle name="Comma 16 20 2 2" xfId="3021" xr:uid="{00000000-0005-0000-0000-0000C80B0000}"/>
    <cellStyle name="Comma 16 20 2 3" xfId="3022" xr:uid="{00000000-0005-0000-0000-0000C90B0000}"/>
    <cellStyle name="Comma 16 20 3" xfId="3023" xr:uid="{00000000-0005-0000-0000-0000CA0B0000}"/>
    <cellStyle name="Comma 16 20 4" xfId="3024" xr:uid="{00000000-0005-0000-0000-0000CB0B0000}"/>
    <cellStyle name="Comma 16 21" xfId="3025" xr:uid="{00000000-0005-0000-0000-0000CC0B0000}"/>
    <cellStyle name="Comma 16 21 2" xfId="3026" xr:uid="{00000000-0005-0000-0000-0000CD0B0000}"/>
    <cellStyle name="Comma 16 21 2 2" xfId="3027" xr:uid="{00000000-0005-0000-0000-0000CE0B0000}"/>
    <cellStyle name="Comma 16 21 2 3" xfId="3028" xr:uid="{00000000-0005-0000-0000-0000CF0B0000}"/>
    <cellStyle name="Comma 16 21 3" xfId="3029" xr:uid="{00000000-0005-0000-0000-0000D00B0000}"/>
    <cellStyle name="Comma 16 21 4" xfId="3030" xr:uid="{00000000-0005-0000-0000-0000D10B0000}"/>
    <cellStyle name="Comma 16 22" xfId="3031" xr:uid="{00000000-0005-0000-0000-0000D20B0000}"/>
    <cellStyle name="Comma 16 22 2" xfId="3032" xr:uid="{00000000-0005-0000-0000-0000D30B0000}"/>
    <cellStyle name="Comma 16 22 2 2" xfId="3033" xr:uid="{00000000-0005-0000-0000-0000D40B0000}"/>
    <cellStyle name="Comma 16 22 2 3" xfId="3034" xr:uid="{00000000-0005-0000-0000-0000D50B0000}"/>
    <cellStyle name="Comma 16 22 3" xfId="3035" xr:uid="{00000000-0005-0000-0000-0000D60B0000}"/>
    <cellStyle name="Comma 16 22 4" xfId="3036" xr:uid="{00000000-0005-0000-0000-0000D70B0000}"/>
    <cellStyle name="Comma 16 23" xfId="3037" xr:uid="{00000000-0005-0000-0000-0000D80B0000}"/>
    <cellStyle name="Comma 16 23 2" xfId="3038" xr:uid="{00000000-0005-0000-0000-0000D90B0000}"/>
    <cellStyle name="Comma 16 23 2 2" xfId="3039" xr:uid="{00000000-0005-0000-0000-0000DA0B0000}"/>
    <cellStyle name="Comma 16 23 2 3" xfId="3040" xr:uid="{00000000-0005-0000-0000-0000DB0B0000}"/>
    <cellStyle name="Comma 16 23 3" xfId="3041" xr:uid="{00000000-0005-0000-0000-0000DC0B0000}"/>
    <cellStyle name="Comma 16 23 4" xfId="3042" xr:uid="{00000000-0005-0000-0000-0000DD0B0000}"/>
    <cellStyle name="Comma 16 24" xfId="3043" xr:uid="{00000000-0005-0000-0000-0000DE0B0000}"/>
    <cellStyle name="Comma 16 24 2" xfId="3044" xr:uid="{00000000-0005-0000-0000-0000DF0B0000}"/>
    <cellStyle name="Comma 16 24 3" xfId="3045" xr:uid="{00000000-0005-0000-0000-0000E00B0000}"/>
    <cellStyle name="Comma 16 25" xfId="3046" xr:uid="{00000000-0005-0000-0000-0000E10B0000}"/>
    <cellStyle name="Comma 16 26" xfId="3047" xr:uid="{00000000-0005-0000-0000-0000E20B0000}"/>
    <cellStyle name="Comma 16 3" xfId="3048" xr:uid="{00000000-0005-0000-0000-0000E30B0000}"/>
    <cellStyle name="Comma 16 3 2" xfId="3049" xr:uid="{00000000-0005-0000-0000-0000E40B0000}"/>
    <cellStyle name="Comma 16 3 2 2" xfId="3050" xr:uid="{00000000-0005-0000-0000-0000E50B0000}"/>
    <cellStyle name="Comma 16 3 2 3" xfId="3051" xr:uid="{00000000-0005-0000-0000-0000E60B0000}"/>
    <cellStyle name="Comma 16 3 3" xfId="3052" xr:uid="{00000000-0005-0000-0000-0000E70B0000}"/>
    <cellStyle name="Comma 16 3 4" xfId="3053" xr:uid="{00000000-0005-0000-0000-0000E80B0000}"/>
    <cellStyle name="Comma 16 4" xfId="3054" xr:uid="{00000000-0005-0000-0000-0000E90B0000}"/>
    <cellStyle name="Comma 16 4 2" xfId="3055" xr:uid="{00000000-0005-0000-0000-0000EA0B0000}"/>
    <cellStyle name="Comma 16 4 2 2" xfId="3056" xr:uid="{00000000-0005-0000-0000-0000EB0B0000}"/>
    <cellStyle name="Comma 16 4 2 3" xfId="3057" xr:uid="{00000000-0005-0000-0000-0000EC0B0000}"/>
    <cellStyle name="Comma 16 4 3" xfId="3058" xr:uid="{00000000-0005-0000-0000-0000ED0B0000}"/>
    <cellStyle name="Comma 16 4 4" xfId="3059" xr:uid="{00000000-0005-0000-0000-0000EE0B0000}"/>
    <cellStyle name="Comma 16 5" xfId="3060" xr:uid="{00000000-0005-0000-0000-0000EF0B0000}"/>
    <cellStyle name="Comma 16 5 2" xfId="3061" xr:uid="{00000000-0005-0000-0000-0000F00B0000}"/>
    <cellStyle name="Comma 16 5 2 2" xfId="3062" xr:uid="{00000000-0005-0000-0000-0000F10B0000}"/>
    <cellStyle name="Comma 16 5 2 3" xfId="3063" xr:uid="{00000000-0005-0000-0000-0000F20B0000}"/>
    <cellStyle name="Comma 16 5 3" xfId="3064" xr:uid="{00000000-0005-0000-0000-0000F30B0000}"/>
    <cellStyle name="Comma 16 5 4" xfId="3065" xr:uid="{00000000-0005-0000-0000-0000F40B0000}"/>
    <cellStyle name="Comma 16 6" xfId="3066" xr:uid="{00000000-0005-0000-0000-0000F50B0000}"/>
    <cellStyle name="Comma 16 6 2" xfId="3067" xr:uid="{00000000-0005-0000-0000-0000F60B0000}"/>
    <cellStyle name="Comma 16 6 2 2" xfId="3068" xr:uid="{00000000-0005-0000-0000-0000F70B0000}"/>
    <cellStyle name="Comma 16 6 2 3" xfId="3069" xr:uid="{00000000-0005-0000-0000-0000F80B0000}"/>
    <cellStyle name="Comma 16 6 3" xfId="3070" xr:uid="{00000000-0005-0000-0000-0000F90B0000}"/>
    <cellStyle name="Comma 16 6 4" xfId="3071" xr:uid="{00000000-0005-0000-0000-0000FA0B0000}"/>
    <cellStyle name="Comma 16 7" xfId="3072" xr:uid="{00000000-0005-0000-0000-0000FB0B0000}"/>
    <cellStyle name="Comma 16 7 2" xfId="3073" xr:uid="{00000000-0005-0000-0000-0000FC0B0000}"/>
    <cellStyle name="Comma 16 7 2 2" xfId="3074" xr:uid="{00000000-0005-0000-0000-0000FD0B0000}"/>
    <cellStyle name="Comma 16 7 2 3" xfId="3075" xr:uid="{00000000-0005-0000-0000-0000FE0B0000}"/>
    <cellStyle name="Comma 16 7 3" xfId="3076" xr:uid="{00000000-0005-0000-0000-0000FF0B0000}"/>
    <cellStyle name="Comma 16 7 4" xfId="3077" xr:uid="{00000000-0005-0000-0000-0000000C0000}"/>
    <cellStyle name="Comma 16 8" xfId="3078" xr:uid="{00000000-0005-0000-0000-0000010C0000}"/>
    <cellStyle name="Comma 16 8 2" xfId="3079" xr:uid="{00000000-0005-0000-0000-0000020C0000}"/>
    <cellStyle name="Comma 16 8 2 2" xfId="3080" xr:uid="{00000000-0005-0000-0000-0000030C0000}"/>
    <cellStyle name="Comma 16 8 2 3" xfId="3081" xr:uid="{00000000-0005-0000-0000-0000040C0000}"/>
    <cellStyle name="Comma 16 8 3" xfId="3082" xr:uid="{00000000-0005-0000-0000-0000050C0000}"/>
    <cellStyle name="Comma 16 8 4" xfId="3083" xr:uid="{00000000-0005-0000-0000-0000060C0000}"/>
    <cellStyle name="Comma 16 9" xfId="3084" xr:uid="{00000000-0005-0000-0000-0000070C0000}"/>
    <cellStyle name="Comma 16 9 2" xfId="3085" xr:uid="{00000000-0005-0000-0000-0000080C0000}"/>
    <cellStyle name="Comma 16 9 2 2" xfId="3086" xr:uid="{00000000-0005-0000-0000-0000090C0000}"/>
    <cellStyle name="Comma 16 9 2 3" xfId="3087" xr:uid="{00000000-0005-0000-0000-00000A0C0000}"/>
    <cellStyle name="Comma 16 9 3" xfId="3088" xr:uid="{00000000-0005-0000-0000-00000B0C0000}"/>
    <cellStyle name="Comma 16 9 4" xfId="3089" xr:uid="{00000000-0005-0000-0000-00000C0C0000}"/>
    <cellStyle name="Comma 17" xfId="3090" xr:uid="{00000000-0005-0000-0000-00000D0C0000}"/>
    <cellStyle name="Comma 17 10" xfId="3091" xr:uid="{00000000-0005-0000-0000-00000E0C0000}"/>
    <cellStyle name="Comma 17 10 2" xfId="3092" xr:uid="{00000000-0005-0000-0000-00000F0C0000}"/>
    <cellStyle name="Comma 17 10 2 2" xfId="3093" xr:uid="{00000000-0005-0000-0000-0000100C0000}"/>
    <cellStyle name="Comma 17 10 2 3" xfId="3094" xr:uid="{00000000-0005-0000-0000-0000110C0000}"/>
    <cellStyle name="Comma 17 10 3" xfId="3095" xr:uid="{00000000-0005-0000-0000-0000120C0000}"/>
    <cellStyle name="Comma 17 10 4" xfId="3096" xr:uid="{00000000-0005-0000-0000-0000130C0000}"/>
    <cellStyle name="Comma 17 11" xfId="3097" xr:uid="{00000000-0005-0000-0000-0000140C0000}"/>
    <cellStyle name="Comma 17 11 2" xfId="3098" xr:uid="{00000000-0005-0000-0000-0000150C0000}"/>
    <cellStyle name="Comma 17 11 2 2" xfId="3099" xr:uid="{00000000-0005-0000-0000-0000160C0000}"/>
    <cellStyle name="Comma 17 11 2 3" xfId="3100" xr:uid="{00000000-0005-0000-0000-0000170C0000}"/>
    <cellStyle name="Comma 17 11 3" xfId="3101" xr:uid="{00000000-0005-0000-0000-0000180C0000}"/>
    <cellStyle name="Comma 17 11 4" xfId="3102" xr:uid="{00000000-0005-0000-0000-0000190C0000}"/>
    <cellStyle name="Comma 17 12" xfId="3103" xr:uid="{00000000-0005-0000-0000-00001A0C0000}"/>
    <cellStyle name="Comma 17 12 2" xfId="3104" xr:uid="{00000000-0005-0000-0000-00001B0C0000}"/>
    <cellStyle name="Comma 17 12 2 2" xfId="3105" xr:uid="{00000000-0005-0000-0000-00001C0C0000}"/>
    <cellStyle name="Comma 17 12 2 3" xfId="3106" xr:uid="{00000000-0005-0000-0000-00001D0C0000}"/>
    <cellStyle name="Comma 17 12 3" xfId="3107" xr:uid="{00000000-0005-0000-0000-00001E0C0000}"/>
    <cellStyle name="Comma 17 12 4" xfId="3108" xr:uid="{00000000-0005-0000-0000-00001F0C0000}"/>
    <cellStyle name="Comma 17 13" xfId="3109" xr:uid="{00000000-0005-0000-0000-0000200C0000}"/>
    <cellStyle name="Comma 17 13 2" xfId="3110" xr:uid="{00000000-0005-0000-0000-0000210C0000}"/>
    <cellStyle name="Comma 17 13 2 2" xfId="3111" xr:uid="{00000000-0005-0000-0000-0000220C0000}"/>
    <cellStyle name="Comma 17 13 2 3" xfId="3112" xr:uid="{00000000-0005-0000-0000-0000230C0000}"/>
    <cellStyle name="Comma 17 13 3" xfId="3113" xr:uid="{00000000-0005-0000-0000-0000240C0000}"/>
    <cellStyle name="Comma 17 13 4" xfId="3114" xr:uid="{00000000-0005-0000-0000-0000250C0000}"/>
    <cellStyle name="Comma 17 14" xfId="3115" xr:uid="{00000000-0005-0000-0000-0000260C0000}"/>
    <cellStyle name="Comma 17 14 2" xfId="3116" xr:uid="{00000000-0005-0000-0000-0000270C0000}"/>
    <cellStyle name="Comma 17 14 2 2" xfId="3117" xr:uid="{00000000-0005-0000-0000-0000280C0000}"/>
    <cellStyle name="Comma 17 14 2 3" xfId="3118" xr:uid="{00000000-0005-0000-0000-0000290C0000}"/>
    <cellStyle name="Comma 17 14 3" xfId="3119" xr:uid="{00000000-0005-0000-0000-00002A0C0000}"/>
    <cellStyle name="Comma 17 14 4" xfId="3120" xr:uid="{00000000-0005-0000-0000-00002B0C0000}"/>
    <cellStyle name="Comma 17 15" xfId="3121" xr:uid="{00000000-0005-0000-0000-00002C0C0000}"/>
    <cellStyle name="Comma 17 15 2" xfId="3122" xr:uid="{00000000-0005-0000-0000-00002D0C0000}"/>
    <cellStyle name="Comma 17 15 2 2" xfId="3123" xr:uid="{00000000-0005-0000-0000-00002E0C0000}"/>
    <cellStyle name="Comma 17 15 2 3" xfId="3124" xr:uid="{00000000-0005-0000-0000-00002F0C0000}"/>
    <cellStyle name="Comma 17 15 3" xfId="3125" xr:uid="{00000000-0005-0000-0000-0000300C0000}"/>
    <cellStyle name="Comma 17 15 4" xfId="3126" xr:uid="{00000000-0005-0000-0000-0000310C0000}"/>
    <cellStyle name="Comma 17 16" xfId="3127" xr:uid="{00000000-0005-0000-0000-0000320C0000}"/>
    <cellStyle name="Comma 17 16 2" xfId="3128" xr:uid="{00000000-0005-0000-0000-0000330C0000}"/>
    <cellStyle name="Comma 17 16 2 2" xfId="3129" xr:uid="{00000000-0005-0000-0000-0000340C0000}"/>
    <cellStyle name="Comma 17 16 2 3" xfId="3130" xr:uid="{00000000-0005-0000-0000-0000350C0000}"/>
    <cellStyle name="Comma 17 16 3" xfId="3131" xr:uid="{00000000-0005-0000-0000-0000360C0000}"/>
    <cellStyle name="Comma 17 16 4" xfId="3132" xr:uid="{00000000-0005-0000-0000-0000370C0000}"/>
    <cellStyle name="Comma 17 17" xfId="3133" xr:uid="{00000000-0005-0000-0000-0000380C0000}"/>
    <cellStyle name="Comma 17 17 2" xfId="3134" xr:uid="{00000000-0005-0000-0000-0000390C0000}"/>
    <cellStyle name="Comma 17 17 2 2" xfId="3135" xr:uid="{00000000-0005-0000-0000-00003A0C0000}"/>
    <cellStyle name="Comma 17 17 2 3" xfId="3136" xr:uid="{00000000-0005-0000-0000-00003B0C0000}"/>
    <cellStyle name="Comma 17 17 3" xfId="3137" xr:uid="{00000000-0005-0000-0000-00003C0C0000}"/>
    <cellStyle name="Comma 17 17 4" xfId="3138" xr:uid="{00000000-0005-0000-0000-00003D0C0000}"/>
    <cellStyle name="Comma 17 18" xfId="3139" xr:uid="{00000000-0005-0000-0000-00003E0C0000}"/>
    <cellStyle name="Comma 17 18 2" xfId="3140" xr:uid="{00000000-0005-0000-0000-00003F0C0000}"/>
    <cellStyle name="Comma 17 18 2 2" xfId="3141" xr:uid="{00000000-0005-0000-0000-0000400C0000}"/>
    <cellStyle name="Comma 17 18 2 3" xfId="3142" xr:uid="{00000000-0005-0000-0000-0000410C0000}"/>
    <cellStyle name="Comma 17 18 3" xfId="3143" xr:uid="{00000000-0005-0000-0000-0000420C0000}"/>
    <cellStyle name="Comma 17 18 4" xfId="3144" xr:uid="{00000000-0005-0000-0000-0000430C0000}"/>
    <cellStyle name="Comma 17 19" xfId="3145" xr:uid="{00000000-0005-0000-0000-0000440C0000}"/>
    <cellStyle name="Comma 17 19 2" xfId="3146" xr:uid="{00000000-0005-0000-0000-0000450C0000}"/>
    <cellStyle name="Comma 17 19 2 2" xfId="3147" xr:uid="{00000000-0005-0000-0000-0000460C0000}"/>
    <cellStyle name="Comma 17 19 2 3" xfId="3148" xr:uid="{00000000-0005-0000-0000-0000470C0000}"/>
    <cellStyle name="Comma 17 19 3" xfId="3149" xr:uid="{00000000-0005-0000-0000-0000480C0000}"/>
    <cellStyle name="Comma 17 19 4" xfId="3150" xr:uid="{00000000-0005-0000-0000-0000490C0000}"/>
    <cellStyle name="Comma 17 2" xfId="3151" xr:uid="{00000000-0005-0000-0000-00004A0C0000}"/>
    <cellStyle name="Comma 17 2 2" xfId="3152" xr:uid="{00000000-0005-0000-0000-00004B0C0000}"/>
    <cellStyle name="Comma 17 2 2 2" xfId="3153" xr:uid="{00000000-0005-0000-0000-00004C0C0000}"/>
    <cellStyle name="Comma 17 2 2 3" xfId="3154" xr:uid="{00000000-0005-0000-0000-00004D0C0000}"/>
    <cellStyle name="Comma 17 2 3" xfId="3155" xr:uid="{00000000-0005-0000-0000-00004E0C0000}"/>
    <cellStyle name="Comma 17 2 4" xfId="3156" xr:uid="{00000000-0005-0000-0000-00004F0C0000}"/>
    <cellStyle name="Comma 17 20" xfId="3157" xr:uid="{00000000-0005-0000-0000-0000500C0000}"/>
    <cellStyle name="Comma 17 20 2" xfId="3158" xr:uid="{00000000-0005-0000-0000-0000510C0000}"/>
    <cellStyle name="Comma 17 20 2 2" xfId="3159" xr:uid="{00000000-0005-0000-0000-0000520C0000}"/>
    <cellStyle name="Comma 17 20 2 3" xfId="3160" xr:uid="{00000000-0005-0000-0000-0000530C0000}"/>
    <cellStyle name="Comma 17 20 3" xfId="3161" xr:uid="{00000000-0005-0000-0000-0000540C0000}"/>
    <cellStyle name="Comma 17 20 4" xfId="3162" xr:uid="{00000000-0005-0000-0000-0000550C0000}"/>
    <cellStyle name="Comma 17 21" xfId="3163" xr:uid="{00000000-0005-0000-0000-0000560C0000}"/>
    <cellStyle name="Comma 17 21 2" xfId="3164" xr:uid="{00000000-0005-0000-0000-0000570C0000}"/>
    <cellStyle name="Comma 17 21 2 2" xfId="3165" xr:uid="{00000000-0005-0000-0000-0000580C0000}"/>
    <cellStyle name="Comma 17 21 2 3" xfId="3166" xr:uid="{00000000-0005-0000-0000-0000590C0000}"/>
    <cellStyle name="Comma 17 21 3" xfId="3167" xr:uid="{00000000-0005-0000-0000-00005A0C0000}"/>
    <cellStyle name="Comma 17 21 4" xfId="3168" xr:uid="{00000000-0005-0000-0000-00005B0C0000}"/>
    <cellStyle name="Comma 17 22" xfId="3169" xr:uid="{00000000-0005-0000-0000-00005C0C0000}"/>
    <cellStyle name="Comma 17 22 2" xfId="3170" xr:uid="{00000000-0005-0000-0000-00005D0C0000}"/>
    <cellStyle name="Comma 17 22 2 2" xfId="3171" xr:uid="{00000000-0005-0000-0000-00005E0C0000}"/>
    <cellStyle name="Comma 17 22 2 3" xfId="3172" xr:uid="{00000000-0005-0000-0000-00005F0C0000}"/>
    <cellStyle name="Comma 17 22 3" xfId="3173" xr:uid="{00000000-0005-0000-0000-0000600C0000}"/>
    <cellStyle name="Comma 17 22 4" xfId="3174" xr:uid="{00000000-0005-0000-0000-0000610C0000}"/>
    <cellStyle name="Comma 17 23" xfId="3175" xr:uid="{00000000-0005-0000-0000-0000620C0000}"/>
    <cellStyle name="Comma 17 23 2" xfId="3176" xr:uid="{00000000-0005-0000-0000-0000630C0000}"/>
    <cellStyle name="Comma 17 23 2 2" xfId="3177" xr:uid="{00000000-0005-0000-0000-0000640C0000}"/>
    <cellStyle name="Comma 17 23 2 3" xfId="3178" xr:uid="{00000000-0005-0000-0000-0000650C0000}"/>
    <cellStyle name="Comma 17 23 3" xfId="3179" xr:uid="{00000000-0005-0000-0000-0000660C0000}"/>
    <cellStyle name="Comma 17 23 4" xfId="3180" xr:uid="{00000000-0005-0000-0000-0000670C0000}"/>
    <cellStyle name="Comma 17 24" xfId="3181" xr:uid="{00000000-0005-0000-0000-0000680C0000}"/>
    <cellStyle name="Comma 17 24 2" xfId="3182" xr:uid="{00000000-0005-0000-0000-0000690C0000}"/>
    <cellStyle name="Comma 17 24 3" xfId="3183" xr:uid="{00000000-0005-0000-0000-00006A0C0000}"/>
    <cellStyle name="Comma 17 25" xfId="3184" xr:uid="{00000000-0005-0000-0000-00006B0C0000}"/>
    <cellStyle name="Comma 17 26" xfId="3185" xr:uid="{00000000-0005-0000-0000-00006C0C0000}"/>
    <cellStyle name="Comma 17 3" xfId="3186" xr:uid="{00000000-0005-0000-0000-00006D0C0000}"/>
    <cellStyle name="Comma 17 3 2" xfId="3187" xr:uid="{00000000-0005-0000-0000-00006E0C0000}"/>
    <cellStyle name="Comma 17 3 2 2" xfId="3188" xr:uid="{00000000-0005-0000-0000-00006F0C0000}"/>
    <cellStyle name="Comma 17 3 2 3" xfId="3189" xr:uid="{00000000-0005-0000-0000-0000700C0000}"/>
    <cellStyle name="Comma 17 3 3" xfId="3190" xr:uid="{00000000-0005-0000-0000-0000710C0000}"/>
    <cellStyle name="Comma 17 3 4" xfId="3191" xr:uid="{00000000-0005-0000-0000-0000720C0000}"/>
    <cellStyle name="Comma 17 4" xfId="3192" xr:uid="{00000000-0005-0000-0000-0000730C0000}"/>
    <cellStyle name="Comma 17 4 2" xfId="3193" xr:uid="{00000000-0005-0000-0000-0000740C0000}"/>
    <cellStyle name="Comma 17 4 2 2" xfId="3194" xr:uid="{00000000-0005-0000-0000-0000750C0000}"/>
    <cellStyle name="Comma 17 4 2 3" xfId="3195" xr:uid="{00000000-0005-0000-0000-0000760C0000}"/>
    <cellStyle name="Comma 17 4 3" xfId="3196" xr:uid="{00000000-0005-0000-0000-0000770C0000}"/>
    <cellStyle name="Comma 17 4 4" xfId="3197" xr:uid="{00000000-0005-0000-0000-0000780C0000}"/>
    <cellStyle name="Comma 17 5" xfId="3198" xr:uid="{00000000-0005-0000-0000-0000790C0000}"/>
    <cellStyle name="Comma 17 5 2" xfId="3199" xr:uid="{00000000-0005-0000-0000-00007A0C0000}"/>
    <cellStyle name="Comma 17 5 2 2" xfId="3200" xr:uid="{00000000-0005-0000-0000-00007B0C0000}"/>
    <cellStyle name="Comma 17 5 2 3" xfId="3201" xr:uid="{00000000-0005-0000-0000-00007C0C0000}"/>
    <cellStyle name="Comma 17 5 3" xfId="3202" xr:uid="{00000000-0005-0000-0000-00007D0C0000}"/>
    <cellStyle name="Comma 17 5 4" xfId="3203" xr:uid="{00000000-0005-0000-0000-00007E0C0000}"/>
    <cellStyle name="Comma 17 6" xfId="3204" xr:uid="{00000000-0005-0000-0000-00007F0C0000}"/>
    <cellStyle name="Comma 17 6 2" xfId="3205" xr:uid="{00000000-0005-0000-0000-0000800C0000}"/>
    <cellStyle name="Comma 17 6 2 2" xfId="3206" xr:uid="{00000000-0005-0000-0000-0000810C0000}"/>
    <cellStyle name="Comma 17 6 2 3" xfId="3207" xr:uid="{00000000-0005-0000-0000-0000820C0000}"/>
    <cellStyle name="Comma 17 6 3" xfId="3208" xr:uid="{00000000-0005-0000-0000-0000830C0000}"/>
    <cellStyle name="Comma 17 6 4" xfId="3209" xr:uid="{00000000-0005-0000-0000-0000840C0000}"/>
    <cellStyle name="Comma 17 7" xfId="3210" xr:uid="{00000000-0005-0000-0000-0000850C0000}"/>
    <cellStyle name="Comma 17 7 2" xfId="3211" xr:uid="{00000000-0005-0000-0000-0000860C0000}"/>
    <cellStyle name="Comma 17 7 2 2" xfId="3212" xr:uid="{00000000-0005-0000-0000-0000870C0000}"/>
    <cellStyle name="Comma 17 7 2 3" xfId="3213" xr:uid="{00000000-0005-0000-0000-0000880C0000}"/>
    <cellStyle name="Comma 17 7 3" xfId="3214" xr:uid="{00000000-0005-0000-0000-0000890C0000}"/>
    <cellStyle name="Comma 17 7 4" xfId="3215" xr:uid="{00000000-0005-0000-0000-00008A0C0000}"/>
    <cellStyle name="Comma 17 8" xfId="3216" xr:uid="{00000000-0005-0000-0000-00008B0C0000}"/>
    <cellStyle name="Comma 17 8 2" xfId="3217" xr:uid="{00000000-0005-0000-0000-00008C0C0000}"/>
    <cellStyle name="Comma 17 8 2 2" xfId="3218" xr:uid="{00000000-0005-0000-0000-00008D0C0000}"/>
    <cellStyle name="Comma 17 8 2 3" xfId="3219" xr:uid="{00000000-0005-0000-0000-00008E0C0000}"/>
    <cellStyle name="Comma 17 8 3" xfId="3220" xr:uid="{00000000-0005-0000-0000-00008F0C0000}"/>
    <cellStyle name="Comma 17 8 4" xfId="3221" xr:uid="{00000000-0005-0000-0000-0000900C0000}"/>
    <cellStyle name="Comma 17 9" xfId="3222" xr:uid="{00000000-0005-0000-0000-0000910C0000}"/>
    <cellStyle name="Comma 17 9 2" xfId="3223" xr:uid="{00000000-0005-0000-0000-0000920C0000}"/>
    <cellStyle name="Comma 17 9 2 2" xfId="3224" xr:uid="{00000000-0005-0000-0000-0000930C0000}"/>
    <cellStyle name="Comma 17 9 2 3" xfId="3225" xr:uid="{00000000-0005-0000-0000-0000940C0000}"/>
    <cellStyle name="Comma 17 9 3" xfId="3226" xr:uid="{00000000-0005-0000-0000-0000950C0000}"/>
    <cellStyle name="Comma 17 9 4" xfId="3227" xr:uid="{00000000-0005-0000-0000-0000960C0000}"/>
    <cellStyle name="Comma 18" xfId="3228" xr:uid="{00000000-0005-0000-0000-0000970C0000}"/>
    <cellStyle name="Comma 18 10" xfId="3229" xr:uid="{00000000-0005-0000-0000-0000980C0000}"/>
    <cellStyle name="Comma 18 10 2" xfId="3230" xr:uid="{00000000-0005-0000-0000-0000990C0000}"/>
    <cellStyle name="Comma 18 10 2 2" xfId="3231" xr:uid="{00000000-0005-0000-0000-00009A0C0000}"/>
    <cellStyle name="Comma 18 10 2 3" xfId="3232" xr:uid="{00000000-0005-0000-0000-00009B0C0000}"/>
    <cellStyle name="Comma 18 10 3" xfId="3233" xr:uid="{00000000-0005-0000-0000-00009C0C0000}"/>
    <cellStyle name="Comma 18 10 4" xfId="3234" xr:uid="{00000000-0005-0000-0000-00009D0C0000}"/>
    <cellStyle name="Comma 18 11" xfId="3235" xr:uid="{00000000-0005-0000-0000-00009E0C0000}"/>
    <cellStyle name="Comma 18 11 2" xfId="3236" xr:uid="{00000000-0005-0000-0000-00009F0C0000}"/>
    <cellStyle name="Comma 18 11 2 2" xfId="3237" xr:uid="{00000000-0005-0000-0000-0000A00C0000}"/>
    <cellStyle name="Comma 18 11 2 3" xfId="3238" xr:uid="{00000000-0005-0000-0000-0000A10C0000}"/>
    <cellStyle name="Comma 18 11 3" xfId="3239" xr:uid="{00000000-0005-0000-0000-0000A20C0000}"/>
    <cellStyle name="Comma 18 11 4" xfId="3240" xr:uid="{00000000-0005-0000-0000-0000A30C0000}"/>
    <cellStyle name="Comma 18 12" xfId="3241" xr:uid="{00000000-0005-0000-0000-0000A40C0000}"/>
    <cellStyle name="Comma 18 12 2" xfId="3242" xr:uid="{00000000-0005-0000-0000-0000A50C0000}"/>
    <cellStyle name="Comma 18 12 2 2" xfId="3243" xr:uid="{00000000-0005-0000-0000-0000A60C0000}"/>
    <cellStyle name="Comma 18 12 2 3" xfId="3244" xr:uid="{00000000-0005-0000-0000-0000A70C0000}"/>
    <cellStyle name="Comma 18 12 3" xfId="3245" xr:uid="{00000000-0005-0000-0000-0000A80C0000}"/>
    <cellStyle name="Comma 18 12 4" xfId="3246" xr:uid="{00000000-0005-0000-0000-0000A90C0000}"/>
    <cellStyle name="Comma 18 13" xfId="3247" xr:uid="{00000000-0005-0000-0000-0000AA0C0000}"/>
    <cellStyle name="Comma 18 13 2" xfId="3248" xr:uid="{00000000-0005-0000-0000-0000AB0C0000}"/>
    <cellStyle name="Comma 18 13 2 2" xfId="3249" xr:uid="{00000000-0005-0000-0000-0000AC0C0000}"/>
    <cellStyle name="Comma 18 13 2 3" xfId="3250" xr:uid="{00000000-0005-0000-0000-0000AD0C0000}"/>
    <cellStyle name="Comma 18 13 3" xfId="3251" xr:uid="{00000000-0005-0000-0000-0000AE0C0000}"/>
    <cellStyle name="Comma 18 13 4" xfId="3252" xr:uid="{00000000-0005-0000-0000-0000AF0C0000}"/>
    <cellStyle name="Comma 18 14" xfId="3253" xr:uid="{00000000-0005-0000-0000-0000B00C0000}"/>
    <cellStyle name="Comma 18 14 2" xfId="3254" xr:uid="{00000000-0005-0000-0000-0000B10C0000}"/>
    <cellStyle name="Comma 18 14 2 2" xfId="3255" xr:uid="{00000000-0005-0000-0000-0000B20C0000}"/>
    <cellStyle name="Comma 18 14 2 3" xfId="3256" xr:uid="{00000000-0005-0000-0000-0000B30C0000}"/>
    <cellStyle name="Comma 18 14 3" xfId="3257" xr:uid="{00000000-0005-0000-0000-0000B40C0000}"/>
    <cellStyle name="Comma 18 14 4" xfId="3258" xr:uid="{00000000-0005-0000-0000-0000B50C0000}"/>
    <cellStyle name="Comma 18 15" xfId="3259" xr:uid="{00000000-0005-0000-0000-0000B60C0000}"/>
    <cellStyle name="Comma 18 15 2" xfId="3260" xr:uid="{00000000-0005-0000-0000-0000B70C0000}"/>
    <cellStyle name="Comma 18 15 2 2" xfId="3261" xr:uid="{00000000-0005-0000-0000-0000B80C0000}"/>
    <cellStyle name="Comma 18 15 2 3" xfId="3262" xr:uid="{00000000-0005-0000-0000-0000B90C0000}"/>
    <cellStyle name="Comma 18 15 3" xfId="3263" xr:uid="{00000000-0005-0000-0000-0000BA0C0000}"/>
    <cellStyle name="Comma 18 15 4" xfId="3264" xr:uid="{00000000-0005-0000-0000-0000BB0C0000}"/>
    <cellStyle name="Comma 18 16" xfId="3265" xr:uid="{00000000-0005-0000-0000-0000BC0C0000}"/>
    <cellStyle name="Comma 18 16 2" xfId="3266" xr:uid="{00000000-0005-0000-0000-0000BD0C0000}"/>
    <cellStyle name="Comma 18 16 2 2" xfId="3267" xr:uid="{00000000-0005-0000-0000-0000BE0C0000}"/>
    <cellStyle name="Comma 18 16 2 3" xfId="3268" xr:uid="{00000000-0005-0000-0000-0000BF0C0000}"/>
    <cellStyle name="Comma 18 16 3" xfId="3269" xr:uid="{00000000-0005-0000-0000-0000C00C0000}"/>
    <cellStyle name="Comma 18 16 4" xfId="3270" xr:uid="{00000000-0005-0000-0000-0000C10C0000}"/>
    <cellStyle name="Comma 18 17" xfId="3271" xr:uid="{00000000-0005-0000-0000-0000C20C0000}"/>
    <cellStyle name="Comma 18 17 2" xfId="3272" xr:uid="{00000000-0005-0000-0000-0000C30C0000}"/>
    <cellStyle name="Comma 18 17 2 2" xfId="3273" xr:uid="{00000000-0005-0000-0000-0000C40C0000}"/>
    <cellStyle name="Comma 18 17 2 3" xfId="3274" xr:uid="{00000000-0005-0000-0000-0000C50C0000}"/>
    <cellStyle name="Comma 18 17 3" xfId="3275" xr:uid="{00000000-0005-0000-0000-0000C60C0000}"/>
    <cellStyle name="Comma 18 17 4" xfId="3276" xr:uid="{00000000-0005-0000-0000-0000C70C0000}"/>
    <cellStyle name="Comma 18 18" xfId="3277" xr:uid="{00000000-0005-0000-0000-0000C80C0000}"/>
    <cellStyle name="Comma 18 18 2" xfId="3278" xr:uid="{00000000-0005-0000-0000-0000C90C0000}"/>
    <cellStyle name="Comma 18 18 2 2" xfId="3279" xr:uid="{00000000-0005-0000-0000-0000CA0C0000}"/>
    <cellStyle name="Comma 18 18 2 3" xfId="3280" xr:uid="{00000000-0005-0000-0000-0000CB0C0000}"/>
    <cellStyle name="Comma 18 18 3" xfId="3281" xr:uid="{00000000-0005-0000-0000-0000CC0C0000}"/>
    <cellStyle name="Comma 18 18 4" xfId="3282" xr:uid="{00000000-0005-0000-0000-0000CD0C0000}"/>
    <cellStyle name="Comma 18 19" xfId="3283" xr:uid="{00000000-0005-0000-0000-0000CE0C0000}"/>
    <cellStyle name="Comma 18 19 2" xfId="3284" xr:uid="{00000000-0005-0000-0000-0000CF0C0000}"/>
    <cellStyle name="Comma 18 19 2 2" xfId="3285" xr:uid="{00000000-0005-0000-0000-0000D00C0000}"/>
    <cellStyle name="Comma 18 19 2 3" xfId="3286" xr:uid="{00000000-0005-0000-0000-0000D10C0000}"/>
    <cellStyle name="Comma 18 19 3" xfId="3287" xr:uid="{00000000-0005-0000-0000-0000D20C0000}"/>
    <cellStyle name="Comma 18 19 4" xfId="3288" xr:uid="{00000000-0005-0000-0000-0000D30C0000}"/>
    <cellStyle name="Comma 18 2" xfId="3289" xr:uid="{00000000-0005-0000-0000-0000D40C0000}"/>
    <cellStyle name="Comma 18 2 2" xfId="3290" xr:uid="{00000000-0005-0000-0000-0000D50C0000}"/>
    <cellStyle name="Comma 18 2 2 2" xfId="3291" xr:uid="{00000000-0005-0000-0000-0000D60C0000}"/>
    <cellStyle name="Comma 18 2 2 3" xfId="3292" xr:uid="{00000000-0005-0000-0000-0000D70C0000}"/>
    <cellStyle name="Comma 18 2 3" xfId="3293" xr:uid="{00000000-0005-0000-0000-0000D80C0000}"/>
    <cellStyle name="Comma 18 2 4" xfId="3294" xr:uid="{00000000-0005-0000-0000-0000D90C0000}"/>
    <cellStyle name="Comma 18 20" xfId="3295" xr:uid="{00000000-0005-0000-0000-0000DA0C0000}"/>
    <cellStyle name="Comma 18 20 2" xfId="3296" xr:uid="{00000000-0005-0000-0000-0000DB0C0000}"/>
    <cellStyle name="Comma 18 20 2 2" xfId="3297" xr:uid="{00000000-0005-0000-0000-0000DC0C0000}"/>
    <cellStyle name="Comma 18 20 2 3" xfId="3298" xr:uid="{00000000-0005-0000-0000-0000DD0C0000}"/>
    <cellStyle name="Comma 18 20 3" xfId="3299" xr:uid="{00000000-0005-0000-0000-0000DE0C0000}"/>
    <cellStyle name="Comma 18 20 4" xfId="3300" xr:uid="{00000000-0005-0000-0000-0000DF0C0000}"/>
    <cellStyle name="Comma 18 21" xfId="3301" xr:uid="{00000000-0005-0000-0000-0000E00C0000}"/>
    <cellStyle name="Comma 18 21 2" xfId="3302" xr:uid="{00000000-0005-0000-0000-0000E10C0000}"/>
    <cellStyle name="Comma 18 21 2 2" xfId="3303" xr:uid="{00000000-0005-0000-0000-0000E20C0000}"/>
    <cellStyle name="Comma 18 21 2 3" xfId="3304" xr:uid="{00000000-0005-0000-0000-0000E30C0000}"/>
    <cellStyle name="Comma 18 21 3" xfId="3305" xr:uid="{00000000-0005-0000-0000-0000E40C0000}"/>
    <cellStyle name="Comma 18 21 4" xfId="3306" xr:uid="{00000000-0005-0000-0000-0000E50C0000}"/>
    <cellStyle name="Comma 18 22" xfId="3307" xr:uid="{00000000-0005-0000-0000-0000E60C0000}"/>
    <cellStyle name="Comma 18 22 2" xfId="3308" xr:uid="{00000000-0005-0000-0000-0000E70C0000}"/>
    <cellStyle name="Comma 18 22 2 2" xfId="3309" xr:uid="{00000000-0005-0000-0000-0000E80C0000}"/>
    <cellStyle name="Comma 18 22 2 3" xfId="3310" xr:uid="{00000000-0005-0000-0000-0000E90C0000}"/>
    <cellStyle name="Comma 18 22 3" xfId="3311" xr:uid="{00000000-0005-0000-0000-0000EA0C0000}"/>
    <cellStyle name="Comma 18 22 4" xfId="3312" xr:uid="{00000000-0005-0000-0000-0000EB0C0000}"/>
    <cellStyle name="Comma 18 23" xfId="3313" xr:uid="{00000000-0005-0000-0000-0000EC0C0000}"/>
    <cellStyle name="Comma 18 23 2" xfId="3314" xr:uid="{00000000-0005-0000-0000-0000ED0C0000}"/>
    <cellStyle name="Comma 18 23 2 2" xfId="3315" xr:uid="{00000000-0005-0000-0000-0000EE0C0000}"/>
    <cellStyle name="Comma 18 23 2 3" xfId="3316" xr:uid="{00000000-0005-0000-0000-0000EF0C0000}"/>
    <cellStyle name="Comma 18 23 3" xfId="3317" xr:uid="{00000000-0005-0000-0000-0000F00C0000}"/>
    <cellStyle name="Comma 18 23 4" xfId="3318" xr:uid="{00000000-0005-0000-0000-0000F10C0000}"/>
    <cellStyle name="Comma 18 24" xfId="3319" xr:uid="{00000000-0005-0000-0000-0000F20C0000}"/>
    <cellStyle name="Comma 18 24 2" xfId="3320" xr:uid="{00000000-0005-0000-0000-0000F30C0000}"/>
    <cellStyle name="Comma 18 24 3" xfId="3321" xr:uid="{00000000-0005-0000-0000-0000F40C0000}"/>
    <cellStyle name="Comma 18 25" xfId="3322" xr:uid="{00000000-0005-0000-0000-0000F50C0000}"/>
    <cellStyle name="Comma 18 26" xfId="3323" xr:uid="{00000000-0005-0000-0000-0000F60C0000}"/>
    <cellStyle name="Comma 18 3" xfId="3324" xr:uid="{00000000-0005-0000-0000-0000F70C0000}"/>
    <cellStyle name="Comma 18 3 2" xfId="3325" xr:uid="{00000000-0005-0000-0000-0000F80C0000}"/>
    <cellStyle name="Comma 18 3 2 2" xfId="3326" xr:uid="{00000000-0005-0000-0000-0000F90C0000}"/>
    <cellStyle name="Comma 18 3 2 3" xfId="3327" xr:uid="{00000000-0005-0000-0000-0000FA0C0000}"/>
    <cellStyle name="Comma 18 3 3" xfId="3328" xr:uid="{00000000-0005-0000-0000-0000FB0C0000}"/>
    <cellStyle name="Comma 18 3 4" xfId="3329" xr:uid="{00000000-0005-0000-0000-0000FC0C0000}"/>
    <cellStyle name="Comma 18 4" xfId="3330" xr:uid="{00000000-0005-0000-0000-0000FD0C0000}"/>
    <cellStyle name="Comma 18 4 2" xfId="3331" xr:uid="{00000000-0005-0000-0000-0000FE0C0000}"/>
    <cellStyle name="Comma 18 4 2 2" xfId="3332" xr:uid="{00000000-0005-0000-0000-0000FF0C0000}"/>
    <cellStyle name="Comma 18 4 2 3" xfId="3333" xr:uid="{00000000-0005-0000-0000-0000000D0000}"/>
    <cellStyle name="Comma 18 4 3" xfId="3334" xr:uid="{00000000-0005-0000-0000-0000010D0000}"/>
    <cellStyle name="Comma 18 4 4" xfId="3335" xr:uid="{00000000-0005-0000-0000-0000020D0000}"/>
    <cellStyle name="Comma 18 5" xfId="3336" xr:uid="{00000000-0005-0000-0000-0000030D0000}"/>
    <cellStyle name="Comma 18 5 2" xfId="3337" xr:uid="{00000000-0005-0000-0000-0000040D0000}"/>
    <cellStyle name="Comma 18 5 2 2" xfId="3338" xr:uid="{00000000-0005-0000-0000-0000050D0000}"/>
    <cellStyle name="Comma 18 5 2 3" xfId="3339" xr:uid="{00000000-0005-0000-0000-0000060D0000}"/>
    <cellStyle name="Comma 18 5 3" xfId="3340" xr:uid="{00000000-0005-0000-0000-0000070D0000}"/>
    <cellStyle name="Comma 18 5 4" xfId="3341" xr:uid="{00000000-0005-0000-0000-0000080D0000}"/>
    <cellStyle name="Comma 18 6" xfId="3342" xr:uid="{00000000-0005-0000-0000-0000090D0000}"/>
    <cellStyle name="Comma 18 6 2" xfId="3343" xr:uid="{00000000-0005-0000-0000-00000A0D0000}"/>
    <cellStyle name="Comma 18 6 2 2" xfId="3344" xr:uid="{00000000-0005-0000-0000-00000B0D0000}"/>
    <cellStyle name="Comma 18 6 2 3" xfId="3345" xr:uid="{00000000-0005-0000-0000-00000C0D0000}"/>
    <cellStyle name="Comma 18 6 3" xfId="3346" xr:uid="{00000000-0005-0000-0000-00000D0D0000}"/>
    <cellStyle name="Comma 18 6 4" xfId="3347" xr:uid="{00000000-0005-0000-0000-00000E0D0000}"/>
    <cellStyle name="Comma 18 7" xfId="3348" xr:uid="{00000000-0005-0000-0000-00000F0D0000}"/>
    <cellStyle name="Comma 18 7 2" xfId="3349" xr:uid="{00000000-0005-0000-0000-0000100D0000}"/>
    <cellStyle name="Comma 18 7 2 2" xfId="3350" xr:uid="{00000000-0005-0000-0000-0000110D0000}"/>
    <cellStyle name="Comma 18 7 2 3" xfId="3351" xr:uid="{00000000-0005-0000-0000-0000120D0000}"/>
    <cellStyle name="Comma 18 7 3" xfId="3352" xr:uid="{00000000-0005-0000-0000-0000130D0000}"/>
    <cellStyle name="Comma 18 7 4" xfId="3353" xr:uid="{00000000-0005-0000-0000-0000140D0000}"/>
    <cellStyle name="Comma 18 8" xfId="3354" xr:uid="{00000000-0005-0000-0000-0000150D0000}"/>
    <cellStyle name="Comma 18 8 2" xfId="3355" xr:uid="{00000000-0005-0000-0000-0000160D0000}"/>
    <cellStyle name="Comma 18 8 2 2" xfId="3356" xr:uid="{00000000-0005-0000-0000-0000170D0000}"/>
    <cellStyle name="Comma 18 8 2 3" xfId="3357" xr:uid="{00000000-0005-0000-0000-0000180D0000}"/>
    <cellStyle name="Comma 18 8 3" xfId="3358" xr:uid="{00000000-0005-0000-0000-0000190D0000}"/>
    <cellStyle name="Comma 18 8 4" xfId="3359" xr:uid="{00000000-0005-0000-0000-00001A0D0000}"/>
    <cellStyle name="Comma 18 9" xfId="3360" xr:uid="{00000000-0005-0000-0000-00001B0D0000}"/>
    <cellStyle name="Comma 18 9 2" xfId="3361" xr:uid="{00000000-0005-0000-0000-00001C0D0000}"/>
    <cellStyle name="Comma 18 9 2 2" xfId="3362" xr:uid="{00000000-0005-0000-0000-00001D0D0000}"/>
    <cellStyle name="Comma 18 9 2 3" xfId="3363" xr:uid="{00000000-0005-0000-0000-00001E0D0000}"/>
    <cellStyle name="Comma 18 9 3" xfId="3364" xr:uid="{00000000-0005-0000-0000-00001F0D0000}"/>
    <cellStyle name="Comma 18 9 4" xfId="3365" xr:uid="{00000000-0005-0000-0000-0000200D0000}"/>
    <cellStyle name="Comma 19" xfId="3366" xr:uid="{00000000-0005-0000-0000-0000210D0000}"/>
    <cellStyle name="Comma 19 10" xfId="3367" xr:uid="{00000000-0005-0000-0000-0000220D0000}"/>
    <cellStyle name="Comma 19 10 2" xfId="3368" xr:uid="{00000000-0005-0000-0000-0000230D0000}"/>
    <cellStyle name="Comma 19 10 2 2" xfId="3369" xr:uid="{00000000-0005-0000-0000-0000240D0000}"/>
    <cellStyle name="Comma 19 10 2 3" xfId="3370" xr:uid="{00000000-0005-0000-0000-0000250D0000}"/>
    <cellStyle name="Comma 19 10 3" xfId="3371" xr:uid="{00000000-0005-0000-0000-0000260D0000}"/>
    <cellStyle name="Comma 19 10 4" xfId="3372" xr:uid="{00000000-0005-0000-0000-0000270D0000}"/>
    <cellStyle name="Comma 19 11" xfId="3373" xr:uid="{00000000-0005-0000-0000-0000280D0000}"/>
    <cellStyle name="Comma 19 11 2" xfId="3374" xr:uid="{00000000-0005-0000-0000-0000290D0000}"/>
    <cellStyle name="Comma 19 11 2 2" xfId="3375" xr:uid="{00000000-0005-0000-0000-00002A0D0000}"/>
    <cellStyle name="Comma 19 11 2 3" xfId="3376" xr:uid="{00000000-0005-0000-0000-00002B0D0000}"/>
    <cellStyle name="Comma 19 11 3" xfId="3377" xr:uid="{00000000-0005-0000-0000-00002C0D0000}"/>
    <cellStyle name="Comma 19 11 4" xfId="3378" xr:uid="{00000000-0005-0000-0000-00002D0D0000}"/>
    <cellStyle name="Comma 19 12" xfId="3379" xr:uid="{00000000-0005-0000-0000-00002E0D0000}"/>
    <cellStyle name="Comma 19 12 2" xfId="3380" xr:uid="{00000000-0005-0000-0000-00002F0D0000}"/>
    <cellStyle name="Comma 19 12 2 2" xfId="3381" xr:uid="{00000000-0005-0000-0000-0000300D0000}"/>
    <cellStyle name="Comma 19 12 2 3" xfId="3382" xr:uid="{00000000-0005-0000-0000-0000310D0000}"/>
    <cellStyle name="Comma 19 12 3" xfId="3383" xr:uid="{00000000-0005-0000-0000-0000320D0000}"/>
    <cellStyle name="Comma 19 12 4" xfId="3384" xr:uid="{00000000-0005-0000-0000-0000330D0000}"/>
    <cellStyle name="Comma 19 13" xfId="3385" xr:uid="{00000000-0005-0000-0000-0000340D0000}"/>
    <cellStyle name="Comma 19 13 2" xfId="3386" xr:uid="{00000000-0005-0000-0000-0000350D0000}"/>
    <cellStyle name="Comma 19 13 2 2" xfId="3387" xr:uid="{00000000-0005-0000-0000-0000360D0000}"/>
    <cellStyle name="Comma 19 13 2 3" xfId="3388" xr:uid="{00000000-0005-0000-0000-0000370D0000}"/>
    <cellStyle name="Comma 19 13 3" xfId="3389" xr:uid="{00000000-0005-0000-0000-0000380D0000}"/>
    <cellStyle name="Comma 19 13 4" xfId="3390" xr:uid="{00000000-0005-0000-0000-0000390D0000}"/>
    <cellStyle name="Comma 19 14" xfId="3391" xr:uid="{00000000-0005-0000-0000-00003A0D0000}"/>
    <cellStyle name="Comma 19 14 2" xfId="3392" xr:uid="{00000000-0005-0000-0000-00003B0D0000}"/>
    <cellStyle name="Comma 19 14 2 2" xfId="3393" xr:uid="{00000000-0005-0000-0000-00003C0D0000}"/>
    <cellStyle name="Comma 19 14 2 3" xfId="3394" xr:uid="{00000000-0005-0000-0000-00003D0D0000}"/>
    <cellStyle name="Comma 19 14 3" xfId="3395" xr:uid="{00000000-0005-0000-0000-00003E0D0000}"/>
    <cellStyle name="Comma 19 14 4" xfId="3396" xr:uid="{00000000-0005-0000-0000-00003F0D0000}"/>
    <cellStyle name="Comma 19 15" xfId="3397" xr:uid="{00000000-0005-0000-0000-0000400D0000}"/>
    <cellStyle name="Comma 19 15 2" xfId="3398" xr:uid="{00000000-0005-0000-0000-0000410D0000}"/>
    <cellStyle name="Comma 19 15 2 2" xfId="3399" xr:uid="{00000000-0005-0000-0000-0000420D0000}"/>
    <cellStyle name="Comma 19 15 2 3" xfId="3400" xr:uid="{00000000-0005-0000-0000-0000430D0000}"/>
    <cellStyle name="Comma 19 15 3" xfId="3401" xr:uid="{00000000-0005-0000-0000-0000440D0000}"/>
    <cellStyle name="Comma 19 15 4" xfId="3402" xr:uid="{00000000-0005-0000-0000-0000450D0000}"/>
    <cellStyle name="Comma 19 16" xfId="3403" xr:uid="{00000000-0005-0000-0000-0000460D0000}"/>
    <cellStyle name="Comma 19 16 2" xfId="3404" xr:uid="{00000000-0005-0000-0000-0000470D0000}"/>
    <cellStyle name="Comma 19 16 2 2" xfId="3405" xr:uid="{00000000-0005-0000-0000-0000480D0000}"/>
    <cellStyle name="Comma 19 16 2 3" xfId="3406" xr:uid="{00000000-0005-0000-0000-0000490D0000}"/>
    <cellStyle name="Comma 19 16 3" xfId="3407" xr:uid="{00000000-0005-0000-0000-00004A0D0000}"/>
    <cellStyle name="Comma 19 16 4" xfId="3408" xr:uid="{00000000-0005-0000-0000-00004B0D0000}"/>
    <cellStyle name="Comma 19 17" xfId="3409" xr:uid="{00000000-0005-0000-0000-00004C0D0000}"/>
    <cellStyle name="Comma 19 17 2" xfId="3410" xr:uid="{00000000-0005-0000-0000-00004D0D0000}"/>
    <cellStyle name="Comma 19 17 2 2" xfId="3411" xr:uid="{00000000-0005-0000-0000-00004E0D0000}"/>
    <cellStyle name="Comma 19 17 2 3" xfId="3412" xr:uid="{00000000-0005-0000-0000-00004F0D0000}"/>
    <cellStyle name="Comma 19 17 3" xfId="3413" xr:uid="{00000000-0005-0000-0000-0000500D0000}"/>
    <cellStyle name="Comma 19 17 4" xfId="3414" xr:uid="{00000000-0005-0000-0000-0000510D0000}"/>
    <cellStyle name="Comma 19 18" xfId="3415" xr:uid="{00000000-0005-0000-0000-0000520D0000}"/>
    <cellStyle name="Comma 19 18 2" xfId="3416" xr:uid="{00000000-0005-0000-0000-0000530D0000}"/>
    <cellStyle name="Comma 19 18 2 2" xfId="3417" xr:uid="{00000000-0005-0000-0000-0000540D0000}"/>
    <cellStyle name="Comma 19 18 2 3" xfId="3418" xr:uid="{00000000-0005-0000-0000-0000550D0000}"/>
    <cellStyle name="Comma 19 18 3" xfId="3419" xr:uid="{00000000-0005-0000-0000-0000560D0000}"/>
    <cellStyle name="Comma 19 18 4" xfId="3420" xr:uid="{00000000-0005-0000-0000-0000570D0000}"/>
    <cellStyle name="Comma 19 19" xfId="3421" xr:uid="{00000000-0005-0000-0000-0000580D0000}"/>
    <cellStyle name="Comma 19 19 2" xfId="3422" xr:uid="{00000000-0005-0000-0000-0000590D0000}"/>
    <cellStyle name="Comma 19 19 2 2" xfId="3423" xr:uid="{00000000-0005-0000-0000-00005A0D0000}"/>
    <cellStyle name="Comma 19 19 2 3" xfId="3424" xr:uid="{00000000-0005-0000-0000-00005B0D0000}"/>
    <cellStyle name="Comma 19 19 3" xfId="3425" xr:uid="{00000000-0005-0000-0000-00005C0D0000}"/>
    <cellStyle name="Comma 19 19 4" xfId="3426" xr:uid="{00000000-0005-0000-0000-00005D0D0000}"/>
    <cellStyle name="Comma 19 2" xfId="3427" xr:uid="{00000000-0005-0000-0000-00005E0D0000}"/>
    <cellStyle name="Comma 19 2 2" xfId="3428" xr:uid="{00000000-0005-0000-0000-00005F0D0000}"/>
    <cellStyle name="Comma 19 2 2 2" xfId="3429" xr:uid="{00000000-0005-0000-0000-0000600D0000}"/>
    <cellStyle name="Comma 19 2 2 3" xfId="3430" xr:uid="{00000000-0005-0000-0000-0000610D0000}"/>
    <cellStyle name="Comma 19 2 3" xfId="3431" xr:uid="{00000000-0005-0000-0000-0000620D0000}"/>
    <cellStyle name="Comma 19 2 4" xfId="3432" xr:uid="{00000000-0005-0000-0000-0000630D0000}"/>
    <cellStyle name="Comma 19 20" xfId="3433" xr:uid="{00000000-0005-0000-0000-0000640D0000}"/>
    <cellStyle name="Comma 19 20 2" xfId="3434" xr:uid="{00000000-0005-0000-0000-0000650D0000}"/>
    <cellStyle name="Comma 19 20 2 2" xfId="3435" xr:uid="{00000000-0005-0000-0000-0000660D0000}"/>
    <cellStyle name="Comma 19 20 2 3" xfId="3436" xr:uid="{00000000-0005-0000-0000-0000670D0000}"/>
    <cellStyle name="Comma 19 20 3" xfId="3437" xr:uid="{00000000-0005-0000-0000-0000680D0000}"/>
    <cellStyle name="Comma 19 20 4" xfId="3438" xr:uid="{00000000-0005-0000-0000-0000690D0000}"/>
    <cellStyle name="Comma 19 21" xfId="3439" xr:uid="{00000000-0005-0000-0000-00006A0D0000}"/>
    <cellStyle name="Comma 19 21 2" xfId="3440" xr:uid="{00000000-0005-0000-0000-00006B0D0000}"/>
    <cellStyle name="Comma 19 21 2 2" xfId="3441" xr:uid="{00000000-0005-0000-0000-00006C0D0000}"/>
    <cellStyle name="Comma 19 21 2 3" xfId="3442" xr:uid="{00000000-0005-0000-0000-00006D0D0000}"/>
    <cellStyle name="Comma 19 21 3" xfId="3443" xr:uid="{00000000-0005-0000-0000-00006E0D0000}"/>
    <cellStyle name="Comma 19 21 4" xfId="3444" xr:uid="{00000000-0005-0000-0000-00006F0D0000}"/>
    <cellStyle name="Comma 19 22" xfId="3445" xr:uid="{00000000-0005-0000-0000-0000700D0000}"/>
    <cellStyle name="Comma 19 22 2" xfId="3446" xr:uid="{00000000-0005-0000-0000-0000710D0000}"/>
    <cellStyle name="Comma 19 22 2 2" xfId="3447" xr:uid="{00000000-0005-0000-0000-0000720D0000}"/>
    <cellStyle name="Comma 19 22 2 3" xfId="3448" xr:uid="{00000000-0005-0000-0000-0000730D0000}"/>
    <cellStyle name="Comma 19 22 3" xfId="3449" xr:uid="{00000000-0005-0000-0000-0000740D0000}"/>
    <cellStyle name="Comma 19 22 4" xfId="3450" xr:uid="{00000000-0005-0000-0000-0000750D0000}"/>
    <cellStyle name="Comma 19 23" xfId="3451" xr:uid="{00000000-0005-0000-0000-0000760D0000}"/>
    <cellStyle name="Comma 19 23 2" xfId="3452" xr:uid="{00000000-0005-0000-0000-0000770D0000}"/>
    <cellStyle name="Comma 19 23 2 2" xfId="3453" xr:uid="{00000000-0005-0000-0000-0000780D0000}"/>
    <cellStyle name="Comma 19 23 2 3" xfId="3454" xr:uid="{00000000-0005-0000-0000-0000790D0000}"/>
    <cellStyle name="Comma 19 23 3" xfId="3455" xr:uid="{00000000-0005-0000-0000-00007A0D0000}"/>
    <cellStyle name="Comma 19 23 4" xfId="3456" xr:uid="{00000000-0005-0000-0000-00007B0D0000}"/>
    <cellStyle name="Comma 19 24" xfId="3457" xr:uid="{00000000-0005-0000-0000-00007C0D0000}"/>
    <cellStyle name="Comma 19 24 2" xfId="3458" xr:uid="{00000000-0005-0000-0000-00007D0D0000}"/>
    <cellStyle name="Comma 19 24 3" xfId="3459" xr:uid="{00000000-0005-0000-0000-00007E0D0000}"/>
    <cellStyle name="Comma 19 25" xfId="3460" xr:uid="{00000000-0005-0000-0000-00007F0D0000}"/>
    <cellStyle name="Comma 19 26" xfId="3461" xr:uid="{00000000-0005-0000-0000-0000800D0000}"/>
    <cellStyle name="Comma 19 3" xfId="3462" xr:uid="{00000000-0005-0000-0000-0000810D0000}"/>
    <cellStyle name="Comma 19 3 2" xfId="3463" xr:uid="{00000000-0005-0000-0000-0000820D0000}"/>
    <cellStyle name="Comma 19 3 2 2" xfId="3464" xr:uid="{00000000-0005-0000-0000-0000830D0000}"/>
    <cellStyle name="Comma 19 3 2 3" xfId="3465" xr:uid="{00000000-0005-0000-0000-0000840D0000}"/>
    <cellStyle name="Comma 19 3 3" xfId="3466" xr:uid="{00000000-0005-0000-0000-0000850D0000}"/>
    <cellStyle name="Comma 19 3 4" xfId="3467" xr:uid="{00000000-0005-0000-0000-0000860D0000}"/>
    <cellStyle name="Comma 19 4" xfId="3468" xr:uid="{00000000-0005-0000-0000-0000870D0000}"/>
    <cellStyle name="Comma 19 4 2" xfId="3469" xr:uid="{00000000-0005-0000-0000-0000880D0000}"/>
    <cellStyle name="Comma 19 4 2 2" xfId="3470" xr:uid="{00000000-0005-0000-0000-0000890D0000}"/>
    <cellStyle name="Comma 19 4 2 3" xfId="3471" xr:uid="{00000000-0005-0000-0000-00008A0D0000}"/>
    <cellStyle name="Comma 19 4 3" xfId="3472" xr:uid="{00000000-0005-0000-0000-00008B0D0000}"/>
    <cellStyle name="Comma 19 4 4" xfId="3473" xr:uid="{00000000-0005-0000-0000-00008C0D0000}"/>
    <cellStyle name="Comma 19 5" xfId="3474" xr:uid="{00000000-0005-0000-0000-00008D0D0000}"/>
    <cellStyle name="Comma 19 5 2" xfId="3475" xr:uid="{00000000-0005-0000-0000-00008E0D0000}"/>
    <cellStyle name="Comma 19 5 2 2" xfId="3476" xr:uid="{00000000-0005-0000-0000-00008F0D0000}"/>
    <cellStyle name="Comma 19 5 2 3" xfId="3477" xr:uid="{00000000-0005-0000-0000-0000900D0000}"/>
    <cellStyle name="Comma 19 5 3" xfId="3478" xr:uid="{00000000-0005-0000-0000-0000910D0000}"/>
    <cellStyle name="Comma 19 5 4" xfId="3479" xr:uid="{00000000-0005-0000-0000-0000920D0000}"/>
    <cellStyle name="Comma 19 6" xfId="3480" xr:uid="{00000000-0005-0000-0000-0000930D0000}"/>
    <cellStyle name="Comma 19 6 2" xfId="3481" xr:uid="{00000000-0005-0000-0000-0000940D0000}"/>
    <cellStyle name="Comma 19 6 2 2" xfId="3482" xr:uid="{00000000-0005-0000-0000-0000950D0000}"/>
    <cellStyle name="Comma 19 6 2 3" xfId="3483" xr:uid="{00000000-0005-0000-0000-0000960D0000}"/>
    <cellStyle name="Comma 19 6 3" xfId="3484" xr:uid="{00000000-0005-0000-0000-0000970D0000}"/>
    <cellStyle name="Comma 19 6 4" xfId="3485" xr:uid="{00000000-0005-0000-0000-0000980D0000}"/>
    <cellStyle name="Comma 19 7" xfId="3486" xr:uid="{00000000-0005-0000-0000-0000990D0000}"/>
    <cellStyle name="Comma 19 7 2" xfId="3487" xr:uid="{00000000-0005-0000-0000-00009A0D0000}"/>
    <cellStyle name="Comma 19 7 2 2" xfId="3488" xr:uid="{00000000-0005-0000-0000-00009B0D0000}"/>
    <cellStyle name="Comma 19 7 2 3" xfId="3489" xr:uid="{00000000-0005-0000-0000-00009C0D0000}"/>
    <cellStyle name="Comma 19 7 3" xfId="3490" xr:uid="{00000000-0005-0000-0000-00009D0D0000}"/>
    <cellStyle name="Comma 19 7 4" xfId="3491" xr:uid="{00000000-0005-0000-0000-00009E0D0000}"/>
    <cellStyle name="Comma 19 8" xfId="3492" xr:uid="{00000000-0005-0000-0000-00009F0D0000}"/>
    <cellStyle name="Comma 19 8 2" xfId="3493" xr:uid="{00000000-0005-0000-0000-0000A00D0000}"/>
    <cellStyle name="Comma 19 8 2 2" xfId="3494" xr:uid="{00000000-0005-0000-0000-0000A10D0000}"/>
    <cellStyle name="Comma 19 8 2 3" xfId="3495" xr:uid="{00000000-0005-0000-0000-0000A20D0000}"/>
    <cellStyle name="Comma 19 8 3" xfId="3496" xr:uid="{00000000-0005-0000-0000-0000A30D0000}"/>
    <cellStyle name="Comma 19 8 4" xfId="3497" xr:uid="{00000000-0005-0000-0000-0000A40D0000}"/>
    <cellStyle name="Comma 19 9" xfId="3498" xr:uid="{00000000-0005-0000-0000-0000A50D0000}"/>
    <cellStyle name="Comma 19 9 2" xfId="3499" xr:uid="{00000000-0005-0000-0000-0000A60D0000}"/>
    <cellStyle name="Comma 19 9 2 2" xfId="3500" xr:uid="{00000000-0005-0000-0000-0000A70D0000}"/>
    <cellStyle name="Comma 19 9 2 3" xfId="3501" xr:uid="{00000000-0005-0000-0000-0000A80D0000}"/>
    <cellStyle name="Comma 19 9 3" xfId="3502" xr:uid="{00000000-0005-0000-0000-0000A90D0000}"/>
    <cellStyle name="Comma 19 9 4" xfId="3503" xr:uid="{00000000-0005-0000-0000-0000AA0D0000}"/>
    <cellStyle name="Comma 2" xfId="3504" xr:uid="{00000000-0005-0000-0000-0000AB0D0000}"/>
    <cellStyle name="Comma 2 10" xfId="3505" xr:uid="{00000000-0005-0000-0000-0000AC0D0000}"/>
    <cellStyle name="Comma 2 10 2" xfId="3506" xr:uid="{00000000-0005-0000-0000-0000AD0D0000}"/>
    <cellStyle name="Comma 2 11" xfId="3507" xr:uid="{00000000-0005-0000-0000-0000AE0D0000}"/>
    <cellStyle name="Comma 2 11 2" xfId="3508" xr:uid="{00000000-0005-0000-0000-0000AF0D0000}"/>
    <cellStyle name="Comma 2 12" xfId="3509" xr:uid="{00000000-0005-0000-0000-0000B00D0000}"/>
    <cellStyle name="Comma 2 12 2" xfId="3510" xr:uid="{00000000-0005-0000-0000-0000B10D0000}"/>
    <cellStyle name="Comma 2 13" xfId="3511" xr:uid="{00000000-0005-0000-0000-0000B20D0000}"/>
    <cellStyle name="Comma 2 13 2" xfId="3512" xr:uid="{00000000-0005-0000-0000-0000B30D0000}"/>
    <cellStyle name="Comma 2 14" xfId="3513" xr:uid="{00000000-0005-0000-0000-0000B40D0000}"/>
    <cellStyle name="Comma 2 14 2" xfId="3514" xr:uid="{00000000-0005-0000-0000-0000B50D0000}"/>
    <cellStyle name="Comma 2 15" xfId="3515" xr:uid="{00000000-0005-0000-0000-0000B60D0000}"/>
    <cellStyle name="Comma 2 15 2" xfId="3516" xr:uid="{00000000-0005-0000-0000-0000B70D0000}"/>
    <cellStyle name="Comma 2 16" xfId="3517" xr:uid="{00000000-0005-0000-0000-0000B80D0000}"/>
    <cellStyle name="Comma 2 16 2" xfId="3518" xr:uid="{00000000-0005-0000-0000-0000B90D0000}"/>
    <cellStyle name="Comma 2 17" xfId="3519" xr:uid="{00000000-0005-0000-0000-0000BA0D0000}"/>
    <cellStyle name="Comma 2 17 2" xfId="3520" xr:uid="{00000000-0005-0000-0000-0000BB0D0000}"/>
    <cellStyle name="Comma 2 18" xfId="3521" xr:uid="{00000000-0005-0000-0000-0000BC0D0000}"/>
    <cellStyle name="Comma 2 18 2" xfId="3522" xr:uid="{00000000-0005-0000-0000-0000BD0D0000}"/>
    <cellStyle name="Comma 2 19" xfId="3523" xr:uid="{00000000-0005-0000-0000-0000BE0D0000}"/>
    <cellStyle name="Comma 2 19 2" xfId="3524" xr:uid="{00000000-0005-0000-0000-0000BF0D0000}"/>
    <cellStyle name="Comma 2 2" xfId="3525" xr:uid="{00000000-0005-0000-0000-0000C00D0000}"/>
    <cellStyle name="Comma 2 2 2" xfId="3526" xr:uid="{00000000-0005-0000-0000-0000C10D0000}"/>
    <cellStyle name="Comma 2 2 2 2" xfId="3527" xr:uid="{00000000-0005-0000-0000-0000C20D0000}"/>
    <cellStyle name="Comma 2 2 3" xfId="3528" xr:uid="{00000000-0005-0000-0000-0000C30D0000}"/>
    <cellStyle name="Comma 2 2 4" xfId="3529" xr:uid="{00000000-0005-0000-0000-0000C40D0000}"/>
    <cellStyle name="Comma 2 2 5" xfId="3530" xr:uid="{00000000-0005-0000-0000-0000C50D0000}"/>
    <cellStyle name="Comma 2 20" xfId="3531" xr:uid="{00000000-0005-0000-0000-0000C60D0000}"/>
    <cellStyle name="Comma 2 20 2" xfId="3532" xr:uid="{00000000-0005-0000-0000-0000C70D0000}"/>
    <cellStyle name="Comma 2 21" xfId="3533" xr:uid="{00000000-0005-0000-0000-0000C80D0000}"/>
    <cellStyle name="Comma 2 21 2" xfId="3534" xr:uid="{00000000-0005-0000-0000-0000C90D0000}"/>
    <cellStyle name="Comma 2 22" xfId="3535" xr:uid="{00000000-0005-0000-0000-0000CA0D0000}"/>
    <cellStyle name="Comma 2 22 2" xfId="3536" xr:uid="{00000000-0005-0000-0000-0000CB0D0000}"/>
    <cellStyle name="Comma 2 23" xfId="3537" xr:uid="{00000000-0005-0000-0000-0000CC0D0000}"/>
    <cellStyle name="Comma 2 23 2" xfId="3538" xr:uid="{00000000-0005-0000-0000-0000CD0D0000}"/>
    <cellStyle name="Comma 2 24" xfId="3539" xr:uid="{00000000-0005-0000-0000-0000CE0D0000}"/>
    <cellStyle name="Comma 2 25" xfId="3540" xr:uid="{00000000-0005-0000-0000-0000CF0D0000}"/>
    <cellStyle name="Comma 2 26" xfId="3541" xr:uid="{00000000-0005-0000-0000-0000D00D0000}"/>
    <cellStyle name="Comma 2 27" xfId="3542" xr:uid="{00000000-0005-0000-0000-0000D10D0000}"/>
    <cellStyle name="Comma 2 28" xfId="3543" xr:uid="{00000000-0005-0000-0000-0000D20D0000}"/>
    <cellStyle name="Comma 2 29" xfId="3544" xr:uid="{00000000-0005-0000-0000-0000D30D0000}"/>
    <cellStyle name="Comma 2 3" xfId="3545" xr:uid="{00000000-0005-0000-0000-0000D40D0000}"/>
    <cellStyle name="Comma 2 3 2" xfId="3546" xr:uid="{00000000-0005-0000-0000-0000D50D0000}"/>
    <cellStyle name="Comma 2 30" xfId="3547" xr:uid="{00000000-0005-0000-0000-0000D60D0000}"/>
    <cellStyle name="Comma 2 31" xfId="3548" xr:uid="{00000000-0005-0000-0000-0000D70D0000}"/>
    <cellStyle name="Comma 2 32" xfId="3549" xr:uid="{00000000-0005-0000-0000-0000D80D0000}"/>
    <cellStyle name="Comma 2 33" xfId="15617" xr:uid="{8E3D7BC1-80A3-4879-A29F-718D142EB786}"/>
    <cellStyle name="Comma 2 4" xfId="3550" xr:uid="{00000000-0005-0000-0000-0000D90D0000}"/>
    <cellStyle name="Comma 2 4 2" xfId="3551" xr:uid="{00000000-0005-0000-0000-0000DA0D0000}"/>
    <cellStyle name="Comma 2 5" xfId="3552" xr:uid="{00000000-0005-0000-0000-0000DB0D0000}"/>
    <cellStyle name="Comma 2 5 2" xfId="3553" xr:uid="{00000000-0005-0000-0000-0000DC0D0000}"/>
    <cellStyle name="Comma 2 6" xfId="3554" xr:uid="{00000000-0005-0000-0000-0000DD0D0000}"/>
    <cellStyle name="Comma 2 6 2" xfId="3555" xr:uid="{00000000-0005-0000-0000-0000DE0D0000}"/>
    <cellStyle name="Comma 2 7" xfId="3556" xr:uid="{00000000-0005-0000-0000-0000DF0D0000}"/>
    <cellStyle name="Comma 2 7 2" xfId="3557" xr:uid="{00000000-0005-0000-0000-0000E00D0000}"/>
    <cellStyle name="Comma 2 8" xfId="3558" xr:uid="{00000000-0005-0000-0000-0000E10D0000}"/>
    <cellStyle name="Comma 2 8 2" xfId="3559" xr:uid="{00000000-0005-0000-0000-0000E20D0000}"/>
    <cellStyle name="Comma 2 9" xfId="3560" xr:uid="{00000000-0005-0000-0000-0000E30D0000}"/>
    <cellStyle name="Comma 2 9 2" xfId="3561" xr:uid="{00000000-0005-0000-0000-0000E40D0000}"/>
    <cellStyle name="Comma 20" xfId="3562" xr:uid="{00000000-0005-0000-0000-0000E50D0000}"/>
    <cellStyle name="Comma 20 10" xfId="3563" xr:uid="{00000000-0005-0000-0000-0000E60D0000}"/>
    <cellStyle name="Comma 20 10 2" xfId="3564" xr:uid="{00000000-0005-0000-0000-0000E70D0000}"/>
    <cellStyle name="Comma 20 10 2 2" xfId="3565" xr:uid="{00000000-0005-0000-0000-0000E80D0000}"/>
    <cellStyle name="Comma 20 10 2 3" xfId="3566" xr:uid="{00000000-0005-0000-0000-0000E90D0000}"/>
    <cellStyle name="Comma 20 10 3" xfId="3567" xr:uid="{00000000-0005-0000-0000-0000EA0D0000}"/>
    <cellStyle name="Comma 20 10 4" xfId="3568" xr:uid="{00000000-0005-0000-0000-0000EB0D0000}"/>
    <cellStyle name="Comma 20 11" xfId="3569" xr:uid="{00000000-0005-0000-0000-0000EC0D0000}"/>
    <cellStyle name="Comma 20 11 2" xfId="3570" xr:uid="{00000000-0005-0000-0000-0000ED0D0000}"/>
    <cellStyle name="Comma 20 11 2 2" xfId="3571" xr:uid="{00000000-0005-0000-0000-0000EE0D0000}"/>
    <cellStyle name="Comma 20 11 2 3" xfId="3572" xr:uid="{00000000-0005-0000-0000-0000EF0D0000}"/>
    <cellStyle name="Comma 20 11 3" xfId="3573" xr:uid="{00000000-0005-0000-0000-0000F00D0000}"/>
    <cellStyle name="Comma 20 11 4" xfId="3574" xr:uid="{00000000-0005-0000-0000-0000F10D0000}"/>
    <cellStyle name="Comma 20 12" xfId="3575" xr:uid="{00000000-0005-0000-0000-0000F20D0000}"/>
    <cellStyle name="Comma 20 12 2" xfId="3576" xr:uid="{00000000-0005-0000-0000-0000F30D0000}"/>
    <cellStyle name="Comma 20 12 2 2" xfId="3577" xr:uid="{00000000-0005-0000-0000-0000F40D0000}"/>
    <cellStyle name="Comma 20 12 2 3" xfId="3578" xr:uid="{00000000-0005-0000-0000-0000F50D0000}"/>
    <cellStyle name="Comma 20 12 3" xfId="3579" xr:uid="{00000000-0005-0000-0000-0000F60D0000}"/>
    <cellStyle name="Comma 20 12 4" xfId="3580" xr:uid="{00000000-0005-0000-0000-0000F70D0000}"/>
    <cellStyle name="Comma 20 13" xfId="3581" xr:uid="{00000000-0005-0000-0000-0000F80D0000}"/>
    <cellStyle name="Comma 20 13 2" xfId="3582" xr:uid="{00000000-0005-0000-0000-0000F90D0000}"/>
    <cellStyle name="Comma 20 13 2 2" xfId="3583" xr:uid="{00000000-0005-0000-0000-0000FA0D0000}"/>
    <cellStyle name="Comma 20 13 2 3" xfId="3584" xr:uid="{00000000-0005-0000-0000-0000FB0D0000}"/>
    <cellStyle name="Comma 20 13 3" xfId="3585" xr:uid="{00000000-0005-0000-0000-0000FC0D0000}"/>
    <cellStyle name="Comma 20 13 4" xfId="3586" xr:uid="{00000000-0005-0000-0000-0000FD0D0000}"/>
    <cellStyle name="Comma 20 14" xfId="3587" xr:uid="{00000000-0005-0000-0000-0000FE0D0000}"/>
    <cellStyle name="Comma 20 14 2" xfId="3588" xr:uid="{00000000-0005-0000-0000-0000FF0D0000}"/>
    <cellStyle name="Comma 20 14 2 2" xfId="3589" xr:uid="{00000000-0005-0000-0000-0000000E0000}"/>
    <cellStyle name="Comma 20 14 2 3" xfId="3590" xr:uid="{00000000-0005-0000-0000-0000010E0000}"/>
    <cellStyle name="Comma 20 14 3" xfId="3591" xr:uid="{00000000-0005-0000-0000-0000020E0000}"/>
    <cellStyle name="Comma 20 14 4" xfId="3592" xr:uid="{00000000-0005-0000-0000-0000030E0000}"/>
    <cellStyle name="Comma 20 15" xfId="3593" xr:uid="{00000000-0005-0000-0000-0000040E0000}"/>
    <cellStyle name="Comma 20 15 2" xfId="3594" xr:uid="{00000000-0005-0000-0000-0000050E0000}"/>
    <cellStyle name="Comma 20 15 2 2" xfId="3595" xr:uid="{00000000-0005-0000-0000-0000060E0000}"/>
    <cellStyle name="Comma 20 15 2 3" xfId="3596" xr:uid="{00000000-0005-0000-0000-0000070E0000}"/>
    <cellStyle name="Comma 20 15 3" xfId="3597" xr:uid="{00000000-0005-0000-0000-0000080E0000}"/>
    <cellStyle name="Comma 20 15 4" xfId="3598" xr:uid="{00000000-0005-0000-0000-0000090E0000}"/>
    <cellStyle name="Comma 20 16" xfId="3599" xr:uid="{00000000-0005-0000-0000-00000A0E0000}"/>
    <cellStyle name="Comma 20 16 2" xfId="3600" xr:uid="{00000000-0005-0000-0000-00000B0E0000}"/>
    <cellStyle name="Comma 20 16 2 2" xfId="3601" xr:uid="{00000000-0005-0000-0000-00000C0E0000}"/>
    <cellStyle name="Comma 20 16 2 3" xfId="3602" xr:uid="{00000000-0005-0000-0000-00000D0E0000}"/>
    <cellStyle name="Comma 20 16 3" xfId="3603" xr:uid="{00000000-0005-0000-0000-00000E0E0000}"/>
    <cellStyle name="Comma 20 16 4" xfId="3604" xr:uid="{00000000-0005-0000-0000-00000F0E0000}"/>
    <cellStyle name="Comma 20 17" xfId="3605" xr:uid="{00000000-0005-0000-0000-0000100E0000}"/>
    <cellStyle name="Comma 20 17 2" xfId="3606" xr:uid="{00000000-0005-0000-0000-0000110E0000}"/>
    <cellStyle name="Comma 20 17 2 2" xfId="3607" xr:uid="{00000000-0005-0000-0000-0000120E0000}"/>
    <cellStyle name="Comma 20 17 2 3" xfId="3608" xr:uid="{00000000-0005-0000-0000-0000130E0000}"/>
    <cellStyle name="Comma 20 17 3" xfId="3609" xr:uid="{00000000-0005-0000-0000-0000140E0000}"/>
    <cellStyle name="Comma 20 17 4" xfId="3610" xr:uid="{00000000-0005-0000-0000-0000150E0000}"/>
    <cellStyle name="Comma 20 18" xfId="3611" xr:uid="{00000000-0005-0000-0000-0000160E0000}"/>
    <cellStyle name="Comma 20 18 2" xfId="3612" xr:uid="{00000000-0005-0000-0000-0000170E0000}"/>
    <cellStyle name="Comma 20 18 2 2" xfId="3613" xr:uid="{00000000-0005-0000-0000-0000180E0000}"/>
    <cellStyle name="Comma 20 18 2 3" xfId="3614" xr:uid="{00000000-0005-0000-0000-0000190E0000}"/>
    <cellStyle name="Comma 20 18 3" xfId="3615" xr:uid="{00000000-0005-0000-0000-00001A0E0000}"/>
    <cellStyle name="Comma 20 18 4" xfId="3616" xr:uid="{00000000-0005-0000-0000-00001B0E0000}"/>
    <cellStyle name="Comma 20 19" xfId="3617" xr:uid="{00000000-0005-0000-0000-00001C0E0000}"/>
    <cellStyle name="Comma 20 19 2" xfId="3618" xr:uid="{00000000-0005-0000-0000-00001D0E0000}"/>
    <cellStyle name="Comma 20 19 2 2" xfId="3619" xr:uid="{00000000-0005-0000-0000-00001E0E0000}"/>
    <cellStyle name="Comma 20 19 2 3" xfId="3620" xr:uid="{00000000-0005-0000-0000-00001F0E0000}"/>
    <cellStyle name="Comma 20 19 3" xfId="3621" xr:uid="{00000000-0005-0000-0000-0000200E0000}"/>
    <cellStyle name="Comma 20 19 4" xfId="3622" xr:uid="{00000000-0005-0000-0000-0000210E0000}"/>
    <cellStyle name="Comma 20 2" xfId="3623" xr:uid="{00000000-0005-0000-0000-0000220E0000}"/>
    <cellStyle name="Comma 20 2 2" xfId="3624" xr:uid="{00000000-0005-0000-0000-0000230E0000}"/>
    <cellStyle name="Comma 20 2 2 2" xfId="3625" xr:uid="{00000000-0005-0000-0000-0000240E0000}"/>
    <cellStyle name="Comma 20 2 2 3" xfId="3626" xr:uid="{00000000-0005-0000-0000-0000250E0000}"/>
    <cellStyle name="Comma 20 2 3" xfId="3627" xr:uid="{00000000-0005-0000-0000-0000260E0000}"/>
    <cellStyle name="Comma 20 2 4" xfId="3628" xr:uid="{00000000-0005-0000-0000-0000270E0000}"/>
    <cellStyle name="Comma 20 20" xfId="3629" xr:uid="{00000000-0005-0000-0000-0000280E0000}"/>
    <cellStyle name="Comma 20 20 2" xfId="3630" xr:uid="{00000000-0005-0000-0000-0000290E0000}"/>
    <cellStyle name="Comma 20 20 2 2" xfId="3631" xr:uid="{00000000-0005-0000-0000-00002A0E0000}"/>
    <cellStyle name="Comma 20 20 2 3" xfId="3632" xr:uid="{00000000-0005-0000-0000-00002B0E0000}"/>
    <cellStyle name="Comma 20 20 3" xfId="3633" xr:uid="{00000000-0005-0000-0000-00002C0E0000}"/>
    <cellStyle name="Comma 20 20 4" xfId="3634" xr:uid="{00000000-0005-0000-0000-00002D0E0000}"/>
    <cellStyle name="Comma 20 21" xfId="3635" xr:uid="{00000000-0005-0000-0000-00002E0E0000}"/>
    <cellStyle name="Comma 20 21 2" xfId="3636" xr:uid="{00000000-0005-0000-0000-00002F0E0000}"/>
    <cellStyle name="Comma 20 21 2 2" xfId="3637" xr:uid="{00000000-0005-0000-0000-0000300E0000}"/>
    <cellStyle name="Comma 20 21 2 3" xfId="3638" xr:uid="{00000000-0005-0000-0000-0000310E0000}"/>
    <cellStyle name="Comma 20 21 3" xfId="3639" xr:uid="{00000000-0005-0000-0000-0000320E0000}"/>
    <cellStyle name="Comma 20 21 4" xfId="3640" xr:uid="{00000000-0005-0000-0000-0000330E0000}"/>
    <cellStyle name="Comma 20 22" xfId="3641" xr:uid="{00000000-0005-0000-0000-0000340E0000}"/>
    <cellStyle name="Comma 20 22 2" xfId="3642" xr:uid="{00000000-0005-0000-0000-0000350E0000}"/>
    <cellStyle name="Comma 20 22 2 2" xfId="3643" xr:uid="{00000000-0005-0000-0000-0000360E0000}"/>
    <cellStyle name="Comma 20 22 2 3" xfId="3644" xr:uid="{00000000-0005-0000-0000-0000370E0000}"/>
    <cellStyle name="Comma 20 22 3" xfId="3645" xr:uid="{00000000-0005-0000-0000-0000380E0000}"/>
    <cellStyle name="Comma 20 22 4" xfId="3646" xr:uid="{00000000-0005-0000-0000-0000390E0000}"/>
    <cellStyle name="Comma 20 23" xfId="3647" xr:uid="{00000000-0005-0000-0000-00003A0E0000}"/>
    <cellStyle name="Comma 20 23 2" xfId="3648" xr:uid="{00000000-0005-0000-0000-00003B0E0000}"/>
    <cellStyle name="Comma 20 23 2 2" xfId="3649" xr:uid="{00000000-0005-0000-0000-00003C0E0000}"/>
    <cellStyle name="Comma 20 23 2 3" xfId="3650" xr:uid="{00000000-0005-0000-0000-00003D0E0000}"/>
    <cellStyle name="Comma 20 23 3" xfId="3651" xr:uid="{00000000-0005-0000-0000-00003E0E0000}"/>
    <cellStyle name="Comma 20 23 4" xfId="3652" xr:uid="{00000000-0005-0000-0000-00003F0E0000}"/>
    <cellStyle name="Comma 20 24" xfId="3653" xr:uid="{00000000-0005-0000-0000-0000400E0000}"/>
    <cellStyle name="Comma 20 24 2" xfId="3654" xr:uid="{00000000-0005-0000-0000-0000410E0000}"/>
    <cellStyle name="Comma 20 24 3" xfId="3655" xr:uid="{00000000-0005-0000-0000-0000420E0000}"/>
    <cellStyle name="Comma 20 25" xfId="3656" xr:uid="{00000000-0005-0000-0000-0000430E0000}"/>
    <cellStyle name="Comma 20 26" xfId="3657" xr:uid="{00000000-0005-0000-0000-0000440E0000}"/>
    <cellStyle name="Comma 20 3" xfId="3658" xr:uid="{00000000-0005-0000-0000-0000450E0000}"/>
    <cellStyle name="Comma 20 3 2" xfId="3659" xr:uid="{00000000-0005-0000-0000-0000460E0000}"/>
    <cellStyle name="Comma 20 3 2 2" xfId="3660" xr:uid="{00000000-0005-0000-0000-0000470E0000}"/>
    <cellStyle name="Comma 20 3 2 3" xfId="3661" xr:uid="{00000000-0005-0000-0000-0000480E0000}"/>
    <cellStyle name="Comma 20 3 3" xfId="3662" xr:uid="{00000000-0005-0000-0000-0000490E0000}"/>
    <cellStyle name="Comma 20 3 4" xfId="3663" xr:uid="{00000000-0005-0000-0000-00004A0E0000}"/>
    <cellStyle name="Comma 20 4" xfId="3664" xr:uid="{00000000-0005-0000-0000-00004B0E0000}"/>
    <cellStyle name="Comma 20 4 2" xfId="3665" xr:uid="{00000000-0005-0000-0000-00004C0E0000}"/>
    <cellStyle name="Comma 20 4 2 2" xfId="3666" xr:uid="{00000000-0005-0000-0000-00004D0E0000}"/>
    <cellStyle name="Comma 20 4 2 3" xfId="3667" xr:uid="{00000000-0005-0000-0000-00004E0E0000}"/>
    <cellStyle name="Comma 20 4 3" xfId="3668" xr:uid="{00000000-0005-0000-0000-00004F0E0000}"/>
    <cellStyle name="Comma 20 4 4" xfId="3669" xr:uid="{00000000-0005-0000-0000-0000500E0000}"/>
    <cellStyle name="Comma 20 5" xfId="3670" xr:uid="{00000000-0005-0000-0000-0000510E0000}"/>
    <cellStyle name="Comma 20 5 2" xfId="3671" xr:uid="{00000000-0005-0000-0000-0000520E0000}"/>
    <cellStyle name="Comma 20 5 2 2" xfId="3672" xr:uid="{00000000-0005-0000-0000-0000530E0000}"/>
    <cellStyle name="Comma 20 5 2 3" xfId="3673" xr:uid="{00000000-0005-0000-0000-0000540E0000}"/>
    <cellStyle name="Comma 20 5 3" xfId="3674" xr:uid="{00000000-0005-0000-0000-0000550E0000}"/>
    <cellStyle name="Comma 20 5 4" xfId="3675" xr:uid="{00000000-0005-0000-0000-0000560E0000}"/>
    <cellStyle name="Comma 20 6" xfId="3676" xr:uid="{00000000-0005-0000-0000-0000570E0000}"/>
    <cellStyle name="Comma 20 6 2" xfId="3677" xr:uid="{00000000-0005-0000-0000-0000580E0000}"/>
    <cellStyle name="Comma 20 6 2 2" xfId="3678" xr:uid="{00000000-0005-0000-0000-0000590E0000}"/>
    <cellStyle name="Comma 20 6 2 3" xfId="3679" xr:uid="{00000000-0005-0000-0000-00005A0E0000}"/>
    <cellStyle name="Comma 20 6 3" xfId="3680" xr:uid="{00000000-0005-0000-0000-00005B0E0000}"/>
    <cellStyle name="Comma 20 6 4" xfId="3681" xr:uid="{00000000-0005-0000-0000-00005C0E0000}"/>
    <cellStyle name="Comma 20 7" xfId="3682" xr:uid="{00000000-0005-0000-0000-00005D0E0000}"/>
    <cellStyle name="Comma 20 7 2" xfId="3683" xr:uid="{00000000-0005-0000-0000-00005E0E0000}"/>
    <cellStyle name="Comma 20 7 2 2" xfId="3684" xr:uid="{00000000-0005-0000-0000-00005F0E0000}"/>
    <cellStyle name="Comma 20 7 2 3" xfId="3685" xr:uid="{00000000-0005-0000-0000-0000600E0000}"/>
    <cellStyle name="Comma 20 7 3" xfId="3686" xr:uid="{00000000-0005-0000-0000-0000610E0000}"/>
    <cellStyle name="Comma 20 7 4" xfId="3687" xr:uid="{00000000-0005-0000-0000-0000620E0000}"/>
    <cellStyle name="Comma 20 8" xfId="3688" xr:uid="{00000000-0005-0000-0000-0000630E0000}"/>
    <cellStyle name="Comma 20 8 2" xfId="3689" xr:uid="{00000000-0005-0000-0000-0000640E0000}"/>
    <cellStyle name="Comma 20 8 2 2" xfId="3690" xr:uid="{00000000-0005-0000-0000-0000650E0000}"/>
    <cellStyle name="Comma 20 8 2 3" xfId="3691" xr:uid="{00000000-0005-0000-0000-0000660E0000}"/>
    <cellStyle name="Comma 20 8 3" xfId="3692" xr:uid="{00000000-0005-0000-0000-0000670E0000}"/>
    <cellStyle name="Comma 20 8 4" xfId="3693" xr:uid="{00000000-0005-0000-0000-0000680E0000}"/>
    <cellStyle name="Comma 20 9" xfId="3694" xr:uid="{00000000-0005-0000-0000-0000690E0000}"/>
    <cellStyle name="Comma 20 9 2" xfId="3695" xr:uid="{00000000-0005-0000-0000-00006A0E0000}"/>
    <cellStyle name="Comma 20 9 2 2" xfId="3696" xr:uid="{00000000-0005-0000-0000-00006B0E0000}"/>
    <cellStyle name="Comma 20 9 2 3" xfId="3697" xr:uid="{00000000-0005-0000-0000-00006C0E0000}"/>
    <cellStyle name="Comma 20 9 3" xfId="3698" xr:uid="{00000000-0005-0000-0000-00006D0E0000}"/>
    <cellStyle name="Comma 20 9 4" xfId="3699" xr:uid="{00000000-0005-0000-0000-00006E0E0000}"/>
    <cellStyle name="Comma 21" xfId="3700" xr:uid="{00000000-0005-0000-0000-00006F0E0000}"/>
    <cellStyle name="Comma 21 10" xfId="3701" xr:uid="{00000000-0005-0000-0000-0000700E0000}"/>
    <cellStyle name="Comma 21 10 2" xfId="3702" xr:uid="{00000000-0005-0000-0000-0000710E0000}"/>
    <cellStyle name="Comma 21 10 2 2" xfId="3703" xr:uid="{00000000-0005-0000-0000-0000720E0000}"/>
    <cellStyle name="Comma 21 10 2 3" xfId="3704" xr:uid="{00000000-0005-0000-0000-0000730E0000}"/>
    <cellStyle name="Comma 21 10 3" xfId="3705" xr:uid="{00000000-0005-0000-0000-0000740E0000}"/>
    <cellStyle name="Comma 21 10 4" xfId="3706" xr:uid="{00000000-0005-0000-0000-0000750E0000}"/>
    <cellStyle name="Comma 21 11" xfId="3707" xr:uid="{00000000-0005-0000-0000-0000760E0000}"/>
    <cellStyle name="Comma 21 11 2" xfId="3708" xr:uid="{00000000-0005-0000-0000-0000770E0000}"/>
    <cellStyle name="Comma 21 11 2 2" xfId="3709" xr:uid="{00000000-0005-0000-0000-0000780E0000}"/>
    <cellStyle name="Comma 21 11 2 3" xfId="3710" xr:uid="{00000000-0005-0000-0000-0000790E0000}"/>
    <cellStyle name="Comma 21 11 3" xfId="3711" xr:uid="{00000000-0005-0000-0000-00007A0E0000}"/>
    <cellStyle name="Comma 21 11 4" xfId="3712" xr:uid="{00000000-0005-0000-0000-00007B0E0000}"/>
    <cellStyle name="Comma 21 12" xfId="3713" xr:uid="{00000000-0005-0000-0000-00007C0E0000}"/>
    <cellStyle name="Comma 21 12 2" xfId="3714" xr:uid="{00000000-0005-0000-0000-00007D0E0000}"/>
    <cellStyle name="Comma 21 12 2 2" xfId="3715" xr:uid="{00000000-0005-0000-0000-00007E0E0000}"/>
    <cellStyle name="Comma 21 12 2 3" xfId="3716" xr:uid="{00000000-0005-0000-0000-00007F0E0000}"/>
    <cellStyle name="Comma 21 12 3" xfId="3717" xr:uid="{00000000-0005-0000-0000-0000800E0000}"/>
    <cellStyle name="Comma 21 12 4" xfId="3718" xr:uid="{00000000-0005-0000-0000-0000810E0000}"/>
    <cellStyle name="Comma 21 13" xfId="3719" xr:uid="{00000000-0005-0000-0000-0000820E0000}"/>
    <cellStyle name="Comma 21 13 2" xfId="3720" xr:uid="{00000000-0005-0000-0000-0000830E0000}"/>
    <cellStyle name="Comma 21 13 2 2" xfId="3721" xr:uid="{00000000-0005-0000-0000-0000840E0000}"/>
    <cellStyle name="Comma 21 13 2 3" xfId="3722" xr:uid="{00000000-0005-0000-0000-0000850E0000}"/>
    <cellStyle name="Comma 21 13 3" xfId="3723" xr:uid="{00000000-0005-0000-0000-0000860E0000}"/>
    <cellStyle name="Comma 21 13 4" xfId="3724" xr:uid="{00000000-0005-0000-0000-0000870E0000}"/>
    <cellStyle name="Comma 21 14" xfId="3725" xr:uid="{00000000-0005-0000-0000-0000880E0000}"/>
    <cellStyle name="Comma 21 14 2" xfId="3726" xr:uid="{00000000-0005-0000-0000-0000890E0000}"/>
    <cellStyle name="Comma 21 14 2 2" xfId="3727" xr:uid="{00000000-0005-0000-0000-00008A0E0000}"/>
    <cellStyle name="Comma 21 14 2 3" xfId="3728" xr:uid="{00000000-0005-0000-0000-00008B0E0000}"/>
    <cellStyle name="Comma 21 14 3" xfId="3729" xr:uid="{00000000-0005-0000-0000-00008C0E0000}"/>
    <cellStyle name="Comma 21 14 4" xfId="3730" xr:uid="{00000000-0005-0000-0000-00008D0E0000}"/>
    <cellStyle name="Comma 21 15" xfId="3731" xr:uid="{00000000-0005-0000-0000-00008E0E0000}"/>
    <cellStyle name="Comma 21 15 2" xfId="3732" xr:uid="{00000000-0005-0000-0000-00008F0E0000}"/>
    <cellStyle name="Comma 21 15 2 2" xfId="3733" xr:uid="{00000000-0005-0000-0000-0000900E0000}"/>
    <cellStyle name="Comma 21 15 2 3" xfId="3734" xr:uid="{00000000-0005-0000-0000-0000910E0000}"/>
    <cellStyle name="Comma 21 15 3" xfId="3735" xr:uid="{00000000-0005-0000-0000-0000920E0000}"/>
    <cellStyle name="Comma 21 15 4" xfId="3736" xr:uid="{00000000-0005-0000-0000-0000930E0000}"/>
    <cellStyle name="Comma 21 16" xfId="3737" xr:uid="{00000000-0005-0000-0000-0000940E0000}"/>
    <cellStyle name="Comma 21 16 2" xfId="3738" xr:uid="{00000000-0005-0000-0000-0000950E0000}"/>
    <cellStyle name="Comma 21 16 2 2" xfId="3739" xr:uid="{00000000-0005-0000-0000-0000960E0000}"/>
    <cellStyle name="Comma 21 16 2 3" xfId="3740" xr:uid="{00000000-0005-0000-0000-0000970E0000}"/>
    <cellStyle name="Comma 21 16 3" xfId="3741" xr:uid="{00000000-0005-0000-0000-0000980E0000}"/>
    <cellStyle name="Comma 21 16 4" xfId="3742" xr:uid="{00000000-0005-0000-0000-0000990E0000}"/>
    <cellStyle name="Comma 21 17" xfId="3743" xr:uid="{00000000-0005-0000-0000-00009A0E0000}"/>
    <cellStyle name="Comma 21 17 2" xfId="3744" xr:uid="{00000000-0005-0000-0000-00009B0E0000}"/>
    <cellStyle name="Comma 21 17 2 2" xfId="3745" xr:uid="{00000000-0005-0000-0000-00009C0E0000}"/>
    <cellStyle name="Comma 21 17 2 3" xfId="3746" xr:uid="{00000000-0005-0000-0000-00009D0E0000}"/>
    <cellStyle name="Comma 21 17 3" xfId="3747" xr:uid="{00000000-0005-0000-0000-00009E0E0000}"/>
    <cellStyle name="Comma 21 17 4" xfId="3748" xr:uid="{00000000-0005-0000-0000-00009F0E0000}"/>
    <cellStyle name="Comma 21 18" xfId="3749" xr:uid="{00000000-0005-0000-0000-0000A00E0000}"/>
    <cellStyle name="Comma 21 18 2" xfId="3750" xr:uid="{00000000-0005-0000-0000-0000A10E0000}"/>
    <cellStyle name="Comma 21 18 2 2" xfId="3751" xr:uid="{00000000-0005-0000-0000-0000A20E0000}"/>
    <cellStyle name="Comma 21 18 2 3" xfId="3752" xr:uid="{00000000-0005-0000-0000-0000A30E0000}"/>
    <cellStyle name="Comma 21 18 3" xfId="3753" xr:uid="{00000000-0005-0000-0000-0000A40E0000}"/>
    <cellStyle name="Comma 21 18 4" xfId="3754" xr:uid="{00000000-0005-0000-0000-0000A50E0000}"/>
    <cellStyle name="Comma 21 19" xfId="3755" xr:uid="{00000000-0005-0000-0000-0000A60E0000}"/>
    <cellStyle name="Comma 21 19 2" xfId="3756" xr:uid="{00000000-0005-0000-0000-0000A70E0000}"/>
    <cellStyle name="Comma 21 19 2 2" xfId="3757" xr:uid="{00000000-0005-0000-0000-0000A80E0000}"/>
    <cellStyle name="Comma 21 19 2 3" xfId="3758" xr:uid="{00000000-0005-0000-0000-0000A90E0000}"/>
    <cellStyle name="Comma 21 19 3" xfId="3759" xr:uid="{00000000-0005-0000-0000-0000AA0E0000}"/>
    <cellStyle name="Comma 21 19 4" xfId="3760" xr:uid="{00000000-0005-0000-0000-0000AB0E0000}"/>
    <cellStyle name="Comma 21 2" xfId="3761" xr:uid="{00000000-0005-0000-0000-0000AC0E0000}"/>
    <cellStyle name="Comma 21 2 2" xfId="3762" xr:uid="{00000000-0005-0000-0000-0000AD0E0000}"/>
    <cellStyle name="Comma 21 2 2 2" xfId="3763" xr:uid="{00000000-0005-0000-0000-0000AE0E0000}"/>
    <cellStyle name="Comma 21 2 2 3" xfId="3764" xr:uid="{00000000-0005-0000-0000-0000AF0E0000}"/>
    <cellStyle name="Comma 21 2 3" xfId="3765" xr:uid="{00000000-0005-0000-0000-0000B00E0000}"/>
    <cellStyle name="Comma 21 2 4" xfId="3766" xr:uid="{00000000-0005-0000-0000-0000B10E0000}"/>
    <cellStyle name="Comma 21 20" xfId="3767" xr:uid="{00000000-0005-0000-0000-0000B20E0000}"/>
    <cellStyle name="Comma 21 20 2" xfId="3768" xr:uid="{00000000-0005-0000-0000-0000B30E0000}"/>
    <cellStyle name="Comma 21 20 2 2" xfId="3769" xr:uid="{00000000-0005-0000-0000-0000B40E0000}"/>
    <cellStyle name="Comma 21 20 2 3" xfId="3770" xr:uid="{00000000-0005-0000-0000-0000B50E0000}"/>
    <cellStyle name="Comma 21 20 3" xfId="3771" xr:uid="{00000000-0005-0000-0000-0000B60E0000}"/>
    <cellStyle name="Comma 21 20 4" xfId="3772" xr:uid="{00000000-0005-0000-0000-0000B70E0000}"/>
    <cellStyle name="Comma 21 21" xfId="3773" xr:uid="{00000000-0005-0000-0000-0000B80E0000}"/>
    <cellStyle name="Comma 21 21 2" xfId="3774" xr:uid="{00000000-0005-0000-0000-0000B90E0000}"/>
    <cellStyle name="Comma 21 21 2 2" xfId="3775" xr:uid="{00000000-0005-0000-0000-0000BA0E0000}"/>
    <cellStyle name="Comma 21 21 2 3" xfId="3776" xr:uid="{00000000-0005-0000-0000-0000BB0E0000}"/>
    <cellStyle name="Comma 21 21 3" xfId="3777" xr:uid="{00000000-0005-0000-0000-0000BC0E0000}"/>
    <cellStyle name="Comma 21 21 4" xfId="3778" xr:uid="{00000000-0005-0000-0000-0000BD0E0000}"/>
    <cellStyle name="Comma 21 22" xfId="3779" xr:uid="{00000000-0005-0000-0000-0000BE0E0000}"/>
    <cellStyle name="Comma 21 22 2" xfId="3780" xr:uid="{00000000-0005-0000-0000-0000BF0E0000}"/>
    <cellStyle name="Comma 21 22 2 2" xfId="3781" xr:uid="{00000000-0005-0000-0000-0000C00E0000}"/>
    <cellStyle name="Comma 21 22 2 3" xfId="3782" xr:uid="{00000000-0005-0000-0000-0000C10E0000}"/>
    <cellStyle name="Comma 21 22 3" xfId="3783" xr:uid="{00000000-0005-0000-0000-0000C20E0000}"/>
    <cellStyle name="Comma 21 22 4" xfId="3784" xr:uid="{00000000-0005-0000-0000-0000C30E0000}"/>
    <cellStyle name="Comma 21 23" xfId="3785" xr:uid="{00000000-0005-0000-0000-0000C40E0000}"/>
    <cellStyle name="Comma 21 23 2" xfId="3786" xr:uid="{00000000-0005-0000-0000-0000C50E0000}"/>
    <cellStyle name="Comma 21 23 2 2" xfId="3787" xr:uid="{00000000-0005-0000-0000-0000C60E0000}"/>
    <cellStyle name="Comma 21 23 2 3" xfId="3788" xr:uid="{00000000-0005-0000-0000-0000C70E0000}"/>
    <cellStyle name="Comma 21 23 3" xfId="3789" xr:uid="{00000000-0005-0000-0000-0000C80E0000}"/>
    <cellStyle name="Comma 21 23 4" xfId="3790" xr:uid="{00000000-0005-0000-0000-0000C90E0000}"/>
    <cellStyle name="Comma 21 24" xfId="3791" xr:uid="{00000000-0005-0000-0000-0000CA0E0000}"/>
    <cellStyle name="Comma 21 24 2" xfId="3792" xr:uid="{00000000-0005-0000-0000-0000CB0E0000}"/>
    <cellStyle name="Comma 21 24 3" xfId="3793" xr:uid="{00000000-0005-0000-0000-0000CC0E0000}"/>
    <cellStyle name="Comma 21 25" xfId="3794" xr:uid="{00000000-0005-0000-0000-0000CD0E0000}"/>
    <cellStyle name="Comma 21 26" xfId="3795" xr:uid="{00000000-0005-0000-0000-0000CE0E0000}"/>
    <cellStyle name="Comma 21 3" xfId="3796" xr:uid="{00000000-0005-0000-0000-0000CF0E0000}"/>
    <cellStyle name="Comma 21 3 2" xfId="3797" xr:uid="{00000000-0005-0000-0000-0000D00E0000}"/>
    <cellStyle name="Comma 21 3 2 2" xfId="3798" xr:uid="{00000000-0005-0000-0000-0000D10E0000}"/>
    <cellStyle name="Comma 21 3 2 3" xfId="3799" xr:uid="{00000000-0005-0000-0000-0000D20E0000}"/>
    <cellStyle name="Comma 21 3 3" xfId="3800" xr:uid="{00000000-0005-0000-0000-0000D30E0000}"/>
    <cellStyle name="Comma 21 3 4" xfId="3801" xr:uid="{00000000-0005-0000-0000-0000D40E0000}"/>
    <cellStyle name="Comma 21 4" xfId="3802" xr:uid="{00000000-0005-0000-0000-0000D50E0000}"/>
    <cellStyle name="Comma 21 4 2" xfId="3803" xr:uid="{00000000-0005-0000-0000-0000D60E0000}"/>
    <cellStyle name="Comma 21 4 2 2" xfId="3804" xr:uid="{00000000-0005-0000-0000-0000D70E0000}"/>
    <cellStyle name="Comma 21 4 2 3" xfId="3805" xr:uid="{00000000-0005-0000-0000-0000D80E0000}"/>
    <cellStyle name="Comma 21 4 3" xfId="3806" xr:uid="{00000000-0005-0000-0000-0000D90E0000}"/>
    <cellStyle name="Comma 21 4 4" xfId="3807" xr:uid="{00000000-0005-0000-0000-0000DA0E0000}"/>
    <cellStyle name="Comma 21 5" xfId="3808" xr:uid="{00000000-0005-0000-0000-0000DB0E0000}"/>
    <cellStyle name="Comma 21 5 2" xfId="3809" xr:uid="{00000000-0005-0000-0000-0000DC0E0000}"/>
    <cellStyle name="Comma 21 5 2 2" xfId="3810" xr:uid="{00000000-0005-0000-0000-0000DD0E0000}"/>
    <cellStyle name="Comma 21 5 2 3" xfId="3811" xr:uid="{00000000-0005-0000-0000-0000DE0E0000}"/>
    <cellStyle name="Comma 21 5 3" xfId="3812" xr:uid="{00000000-0005-0000-0000-0000DF0E0000}"/>
    <cellStyle name="Comma 21 5 4" xfId="3813" xr:uid="{00000000-0005-0000-0000-0000E00E0000}"/>
    <cellStyle name="Comma 21 6" xfId="3814" xr:uid="{00000000-0005-0000-0000-0000E10E0000}"/>
    <cellStyle name="Comma 21 6 2" xfId="3815" xr:uid="{00000000-0005-0000-0000-0000E20E0000}"/>
    <cellStyle name="Comma 21 6 2 2" xfId="3816" xr:uid="{00000000-0005-0000-0000-0000E30E0000}"/>
    <cellStyle name="Comma 21 6 2 3" xfId="3817" xr:uid="{00000000-0005-0000-0000-0000E40E0000}"/>
    <cellStyle name="Comma 21 6 3" xfId="3818" xr:uid="{00000000-0005-0000-0000-0000E50E0000}"/>
    <cellStyle name="Comma 21 6 4" xfId="3819" xr:uid="{00000000-0005-0000-0000-0000E60E0000}"/>
    <cellStyle name="Comma 21 7" xfId="3820" xr:uid="{00000000-0005-0000-0000-0000E70E0000}"/>
    <cellStyle name="Comma 21 7 2" xfId="3821" xr:uid="{00000000-0005-0000-0000-0000E80E0000}"/>
    <cellStyle name="Comma 21 7 2 2" xfId="3822" xr:uid="{00000000-0005-0000-0000-0000E90E0000}"/>
    <cellStyle name="Comma 21 7 2 3" xfId="3823" xr:uid="{00000000-0005-0000-0000-0000EA0E0000}"/>
    <cellStyle name="Comma 21 7 3" xfId="3824" xr:uid="{00000000-0005-0000-0000-0000EB0E0000}"/>
    <cellStyle name="Comma 21 7 4" xfId="3825" xr:uid="{00000000-0005-0000-0000-0000EC0E0000}"/>
    <cellStyle name="Comma 21 8" xfId="3826" xr:uid="{00000000-0005-0000-0000-0000ED0E0000}"/>
    <cellStyle name="Comma 21 8 2" xfId="3827" xr:uid="{00000000-0005-0000-0000-0000EE0E0000}"/>
    <cellStyle name="Comma 21 8 2 2" xfId="3828" xr:uid="{00000000-0005-0000-0000-0000EF0E0000}"/>
    <cellStyle name="Comma 21 8 2 3" xfId="3829" xr:uid="{00000000-0005-0000-0000-0000F00E0000}"/>
    <cellStyle name="Comma 21 8 3" xfId="3830" xr:uid="{00000000-0005-0000-0000-0000F10E0000}"/>
    <cellStyle name="Comma 21 8 4" xfId="3831" xr:uid="{00000000-0005-0000-0000-0000F20E0000}"/>
    <cellStyle name="Comma 21 9" xfId="3832" xr:uid="{00000000-0005-0000-0000-0000F30E0000}"/>
    <cellStyle name="Comma 21 9 2" xfId="3833" xr:uid="{00000000-0005-0000-0000-0000F40E0000}"/>
    <cellStyle name="Comma 21 9 2 2" xfId="3834" xr:uid="{00000000-0005-0000-0000-0000F50E0000}"/>
    <cellStyle name="Comma 21 9 2 3" xfId="3835" xr:uid="{00000000-0005-0000-0000-0000F60E0000}"/>
    <cellStyle name="Comma 21 9 3" xfId="3836" xr:uid="{00000000-0005-0000-0000-0000F70E0000}"/>
    <cellStyle name="Comma 21 9 4" xfId="3837" xr:uid="{00000000-0005-0000-0000-0000F80E0000}"/>
    <cellStyle name="Comma 22" xfId="3838" xr:uid="{00000000-0005-0000-0000-0000F90E0000}"/>
    <cellStyle name="Comma 22 10" xfId="3839" xr:uid="{00000000-0005-0000-0000-0000FA0E0000}"/>
    <cellStyle name="Comma 22 10 2" xfId="3840" xr:uid="{00000000-0005-0000-0000-0000FB0E0000}"/>
    <cellStyle name="Comma 22 10 2 2" xfId="3841" xr:uid="{00000000-0005-0000-0000-0000FC0E0000}"/>
    <cellStyle name="Comma 22 10 2 3" xfId="3842" xr:uid="{00000000-0005-0000-0000-0000FD0E0000}"/>
    <cellStyle name="Comma 22 10 3" xfId="3843" xr:uid="{00000000-0005-0000-0000-0000FE0E0000}"/>
    <cellStyle name="Comma 22 10 4" xfId="3844" xr:uid="{00000000-0005-0000-0000-0000FF0E0000}"/>
    <cellStyle name="Comma 22 11" xfId="3845" xr:uid="{00000000-0005-0000-0000-0000000F0000}"/>
    <cellStyle name="Comma 22 11 2" xfId="3846" xr:uid="{00000000-0005-0000-0000-0000010F0000}"/>
    <cellStyle name="Comma 22 11 2 2" xfId="3847" xr:uid="{00000000-0005-0000-0000-0000020F0000}"/>
    <cellStyle name="Comma 22 11 2 3" xfId="3848" xr:uid="{00000000-0005-0000-0000-0000030F0000}"/>
    <cellStyle name="Comma 22 11 3" xfId="3849" xr:uid="{00000000-0005-0000-0000-0000040F0000}"/>
    <cellStyle name="Comma 22 11 4" xfId="3850" xr:uid="{00000000-0005-0000-0000-0000050F0000}"/>
    <cellStyle name="Comma 22 12" xfId="3851" xr:uid="{00000000-0005-0000-0000-0000060F0000}"/>
    <cellStyle name="Comma 22 12 2" xfId="3852" xr:uid="{00000000-0005-0000-0000-0000070F0000}"/>
    <cellStyle name="Comma 22 12 2 2" xfId="3853" xr:uid="{00000000-0005-0000-0000-0000080F0000}"/>
    <cellStyle name="Comma 22 12 2 3" xfId="3854" xr:uid="{00000000-0005-0000-0000-0000090F0000}"/>
    <cellStyle name="Comma 22 12 3" xfId="3855" xr:uid="{00000000-0005-0000-0000-00000A0F0000}"/>
    <cellStyle name="Comma 22 12 4" xfId="3856" xr:uid="{00000000-0005-0000-0000-00000B0F0000}"/>
    <cellStyle name="Comma 22 13" xfId="3857" xr:uid="{00000000-0005-0000-0000-00000C0F0000}"/>
    <cellStyle name="Comma 22 13 2" xfId="3858" xr:uid="{00000000-0005-0000-0000-00000D0F0000}"/>
    <cellStyle name="Comma 22 13 2 2" xfId="3859" xr:uid="{00000000-0005-0000-0000-00000E0F0000}"/>
    <cellStyle name="Comma 22 13 2 3" xfId="3860" xr:uid="{00000000-0005-0000-0000-00000F0F0000}"/>
    <cellStyle name="Comma 22 13 3" xfId="3861" xr:uid="{00000000-0005-0000-0000-0000100F0000}"/>
    <cellStyle name="Comma 22 13 4" xfId="3862" xr:uid="{00000000-0005-0000-0000-0000110F0000}"/>
    <cellStyle name="Comma 22 14" xfId="3863" xr:uid="{00000000-0005-0000-0000-0000120F0000}"/>
    <cellStyle name="Comma 22 14 2" xfId="3864" xr:uid="{00000000-0005-0000-0000-0000130F0000}"/>
    <cellStyle name="Comma 22 14 2 2" xfId="3865" xr:uid="{00000000-0005-0000-0000-0000140F0000}"/>
    <cellStyle name="Comma 22 14 2 3" xfId="3866" xr:uid="{00000000-0005-0000-0000-0000150F0000}"/>
    <cellStyle name="Comma 22 14 3" xfId="3867" xr:uid="{00000000-0005-0000-0000-0000160F0000}"/>
    <cellStyle name="Comma 22 14 4" xfId="3868" xr:uid="{00000000-0005-0000-0000-0000170F0000}"/>
    <cellStyle name="Comma 22 15" xfId="3869" xr:uid="{00000000-0005-0000-0000-0000180F0000}"/>
    <cellStyle name="Comma 22 15 2" xfId="3870" xr:uid="{00000000-0005-0000-0000-0000190F0000}"/>
    <cellStyle name="Comma 22 15 2 2" xfId="3871" xr:uid="{00000000-0005-0000-0000-00001A0F0000}"/>
    <cellStyle name="Comma 22 15 2 3" xfId="3872" xr:uid="{00000000-0005-0000-0000-00001B0F0000}"/>
    <cellStyle name="Comma 22 15 3" xfId="3873" xr:uid="{00000000-0005-0000-0000-00001C0F0000}"/>
    <cellStyle name="Comma 22 15 4" xfId="3874" xr:uid="{00000000-0005-0000-0000-00001D0F0000}"/>
    <cellStyle name="Comma 22 16" xfId="3875" xr:uid="{00000000-0005-0000-0000-00001E0F0000}"/>
    <cellStyle name="Comma 22 16 2" xfId="3876" xr:uid="{00000000-0005-0000-0000-00001F0F0000}"/>
    <cellStyle name="Comma 22 16 2 2" xfId="3877" xr:uid="{00000000-0005-0000-0000-0000200F0000}"/>
    <cellStyle name="Comma 22 16 2 3" xfId="3878" xr:uid="{00000000-0005-0000-0000-0000210F0000}"/>
    <cellStyle name="Comma 22 16 3" xfId="3879" xr:uid="{00000000-0005-0000-0000-0000220F0000}"/>
    <cellStyle name="Comma 22 16 4" xfId="3880" xr:uid="{00000000-0005-0000-0000-0000230F0000}"/>
    <cellStyle name="Comma 22 17" xfId="3881" xr:uid="{00000000-0005-0000-0000-0000240F0000}"/>
    <cellStyle name="Comma 22 17 2" xfId="3882" xr:uid="{00000000-0005-0000-0000-0000250F0000}"/>
    <cellStyle name="Comma 22 17 2 2" xfId="3883" xr:uid="{00000000-0005-0000-0000-0000260F0000}"/>
    <cellStyle name="Comma 22 17 2 3" xfId="3884" xr:uid="{00000000-0005-0000-0000-0000270F0000}"/>
    <cellStyle name="Comma 22 17 3" xfId="3885" xr:uid="{00000000-0005-0000-0000-0000280F0000}"/>
    <cellStyle name="Comma 22 17 4" xfId="3886" xr:uid="{00000000-0005-0000-0000-0000290F0000}"/>
    <cellStyle name="Comma 22 18" xfId="3887" xr:uid="{00000000-0005-0000-0000-00002A0F0000}"/>
    <cellStyle name="Comma 22 18 2" xfId="3888" xr:uid="{00000000-0005-0000-0000-00002B0F0000}"/>
    <cellStyle name="Comma 22 18 2 2" xfId="3889" xr:uid="{00000000-0005-0000-0000-00002C0F0000}"/>
    <cellStyle name="Comma 22 18 2 3" xfId="3890" xr:uid="{00000000-0005-0000-0000-00002D0F0000}"/>
    <cellStyle name="Comma 22 18 3" xfId="3891" xr:uid="{00000000-0005-0000-0000-00002E0F0000}"/>
    <cellStyle name="Comma 22 18 4" xfId="3892" xr:uid="{00000000-0005-0000-0000-00002F0F0000}"/>
    <cellStyle name="Comma 22 19" xfId="3893" xr:uid="{00000000-0005-0000-0000-0000300F0000}"/>
    <cellStyle name="Comma 22 19 2" xfId="3894" xr:uid="{00000000-0005-0000-0000-0000310F0000}"/>
    <cellStyle name="Comma 22 19 2 2" xfId="3895" xr:uid="{00000000-0005-0000-0000-0000320F0000}"/>
    <cellStyle name="Comma 22 19 2 3" xfId="3896" xr:uid="{00000000-0005-0000-0000-0000330F0000}"/>
    <cellStyle name="Comma 22 19 3" xfId="3897" xr:uid="{00000000-0005-0000-0000-0000340F0000}"/>
    <cellStyle name="Comma 22 19 4" xfId="3898" xr:uid="{00000000-0005-0000-0000-0000350F0000}"/>
    <cellStyle name="Comma 22 2" xfId="3899" xr:uid="{00000000-0005-0000-0000-0000360F0000}"/>
    <cellStyle name="Comma 22 2 2" xfId="3900" xr:uid="{00000000-0005-0000-0000-0000370F0000}"/>
    <cellStyle name="Comma 22 2 2 2" xfId="3901" xr:uid="{00000000-0005-0000-0000-0000380F0000}"/>
    <cellStyle name="Comma 22 2 2 3" xfId="3902" xr:uid="{00000000-0005-0000-0000-0000390F0000}"/>
    <cellStyle name="Comma 22 2 3" xfId="3903" xr:uid="{00000000-0005-0000-0000-00003A0F0000}"/>
    <cellStyle name="Comma 22 2 4" xfId="3904" xr:uid="{00000000-0005-0000-0000-00003B0F0000}"/>
    <cellStyle name="Comma 22 20" xfId="3905" xr:uid="{00000000-0005-0000-0000-00003C0F0000}"/>
    <cellStyle name="Comma 22 20 2" xfId="3906" xr:uid="{00000000-0005-0000-0000-00003D0F0000}"/>
    <cellStyle name="Comma 22 20 2 2" xfId="3907" xr:uid="{00000000-0005-0000-0000-00003E0F0000}"/>
    <cellStyle name="Comma 22 20 2 3" xfId="3908" xr:uid="{00000000-0005-0000-0000-00003F0F0000}"/>
    <cellStyle name="Comma 22 20 3" xfId="3909" xr:uid="{00000000-0005-0000-0000-0000400F0000}"/>
    <cellStyle name="Comma 22 20 4" xfId="3910" xr:uid="{00000000-0005-0000-0000-0000410F0000}"/>
    <cellStyle name="Comma 22 21" xfId="3911" xr:uid="{00000000-0005-0000-0000-0000420F0000}"/>
    <cellStyle name="Comma 22 21 2" xfId="3912" xr:uid="{00000000-0005-0000-0000-0000430F0000}"/>
    <cellStyle name="Comma 22 21 2 2" xfId="3913" xr:uid="{00000000-0005-0000-0000-0000440F0000}"/>
    <cellStyle name="Comma 22 21 2 3" xfId="3914" xr:uid="{00000000-0005-0000-0000-0000450F0000}"/>
    <cellStyle name="Comma 22 21 3" xfId="3915" xr:uid="{00000000-0005-0000-0000-0000460F0000}"/>
    <cellStyle name="Comma 22 21 4" xfId="3916" xr:uid="{00000000-0005-0000-0000-0000470F0000}"/>
    <cellStyle name="Comma 22 22" xfId="3917" xr:uid="{00000000-0005-0000-0000-0000480F0000}"/>
    <cellStyle name="Comma 22 22 2" xfId="3918" xr:uid="{00000000-0005-0000-0000-0000490F0000}"/>
    <cellStyle name="Comma 22 22 2 2" xfId="3919" xr:uid="{00000000-0005-0000-0000-00004A0F0000}"/>
    <cellStyle name="Comma 22 22 2 3" xfId="3920" xr:uid="{00000000-0005-0000-0000-00004B0F0000}"/>
    <cellStyle name="Comma 22 22 3" xfId="3921" xr:uid="{00000000-0005-0000-0000-00004C0F0000}"/>
    <cellStyle name="Comma 22 22 4" xfId="3922" xr:uid="{00000000-0005-0000-0000-00004D0F0000}"/>
    <cellStyle name="Comma 22 23" xfId="3923" xr:uid="{00000000-0005-0000-0000-00004E0F0000}"/>
    <cellStyle name="Comma 22 23 2" xfId="3924" xr:uid="{00000000-0005-0000-0000-00004F0F0000}"/>
    <cellStyle name="Comma 22 23 2 2" xfId="3925" xr:uid="{00000000-0005-0000-0000-0000500F0000}"/>
    <cellStyle name="Comma 22 23 2 3" xfId="3926" xr:uid="{00000000-0005-0000-0000-0000510F0000}"/>
    <cellStyle name="Comma 22 23 3" xfId="3927" xr:uid="{00000000-0005-0000-0000-0000520F0000}"/>
    <cellStyle name="Comma 22 23 4" xfId="3928" xr:uid="{00000000-0005-0000-0000-0000530F0000}"/>
    <cellStyle name="Comma 22 24" xfId="3929" xr:uid="{00000000-0005-0000-0000-0000540F0000}"/>
    <cellStyle name="Comma 22 24 2" xfId="3930" xr:uid="{00000000-0005-0000-0000-0000550F0000}"/>
    <cellStyle name="Comma 22 24 3" xfId="3931" xr:uid="{00000000-0005-0000-0000-0000560F0000}"/>
    <cellStyle name="Comma 22 25" xfId="3932" xr:uid="{00000000-0005-0000-0000-0000570F0000}"/>
    <cellStyle name="Comma 22 26" xfId="3933" xr:uid="{00000000-0005-0000-0000-0000580F0000}"/>
    <cellStyle name="Comma 22 3" xfId="3934" xr:uid="{00000000-0005-0000-0000-0000590F0000}"/>
    <cellStyle name="Comma 22 3 2" xfId="3935" xr:uid="{00000000-0005-0000-0000-00005A0F0000}"/>
    <cellStyle name="Comma 22 3 2 2" xfId="3936" xr:uid="{00000000-0005-0000-0000-00005B0F0000}"/>
    <cellStyle name="Comma 22 3 2 3" xfId="3937" xr:uid="{00000000-0005-0000-0000-00005C0F0000}"/>
    <cellStyle name="Comma 22 3 3" xfId="3938" xr:uid="{00000000-0005-0000-0000-00005D0F0000}"/>
    <cellStyle name="Comma 22 3 4" xfId="3939" xr:uid="{00000000-0005-0000-0000-00005E0F0000}"/>
    <cellStyle name="Comma 22 4" xfId="3940" xr:uid="{00000000-0005-0000-0000-00005F0F0000}"/>
    <cellStyle name="Comma 22 4 2" xfId="3941" xr:uid="{00000000-0005-0000-0000-0000600F0000}"/>
    <cellStyle name="Comma 22 4 2 2" xfId="3942" xr:uid="{00000000-0005-0000-0000-0000610F0000}"/>
    <cellStyle name="Comma 22 4 2 3" xfId="3943" xr:uid="{00000000-0005-0000-0000-0000620F0000}"/>
    <cellStyle name="Comma 22 4 3" xfId="3944" xr:uid="{00000000-0005-0000-0000-0000630F0000}"/>
    <cellStyle name="Comma 22 4 4" xfId="3945" xr:uid="{00000000-0005-0000-0000-0000640F0000}"/>
    <cellStyle name="Comma 22 5" xfId="3946" xr:uid="{00000000-0005-0000-0000-0000650F0000}"/>
    <cellStyle name="Comma 22 5 2" xfId="3947" xr:uid="{00000000-0005-0000-0000-0000660F0000}"/>
    <cellStyle name="Comma 22 5 2 2" xfId="3948" xr:uid="{00000000-0005-0000-0000-0000670F0000}"/>
    <cellStyle name="Comma 22 5 2 3" xfId="3949" xr:uid="{00000000-0005-0000-0000-0000680F0000}"/>
    <cellStyle name="Comma 22 5 3" xfId="3950" xr:uid="{00000000-0005-0000-0000-0000690F0000}"/>
    <cellStyle name="Comma 22 5 4" xfId="3951" xr:uid="{00000000-0005-0000-0000-00006A0F0000}"/>
    <cellStyle name="Comma 22 6" xfId="3952" xr:uid="{00000000-0005-0000-0000-00006B0F0000}"/>
    <cellStyle name="Comma 22 6 2" xfId="3953" xr:uid="{00000000-0005-0000-0000-00006C0F0000}"/>
    <cellStyle name="Comma 22 6 2 2" xfId="3954" xr:uid="{00000000-0005-0000-0000-00006D0F0000}"/>
    <cellStyle name="Comma 22 6 2 3" xfId="3955" xr:uid="{00000000-0005-0000-0000-00006E0F0000}"/>
    <cellStyle name="Comma 22 6 3" xfId="3956" xr:uid="{00000000-0005-0000-0000-00006F0F0000}"/>
    <cellStyle name="Comma 22 6 4" xfId="3957" xr:uid="{00000000-0005-0000-0000-0000700F0000}"/>
    <cellStyle name="Comma 22 7" xfId="3958" xr:uid="{00000000-0005-0000-0000-0000710F0000}"/>
    <cellStyle name="Comma 22 7 2" xfId="3959" xr:uid="{00000000-0005-0000-0000-0000720F0000}"/>
    <cellStyle name="Comma 22 7 2 2" xfId="3960" xr:uid="{00000000-0005-0000-0000-0000730F0000}"/>
    <cellStyle name="Comma 22 7 2 3" xfId="3961" xr:uid="{00000000-0005-0000-0000-0000740F0000}"/>
    <cellStyle name="Comma 22 7 3" xfId="3962" xr:uid="{00000000-0005-0000-0000-0000750F0000}"/>
    <cellStyle name="Comma 22 7 4" xfId="3963" xr:uid="{00000000-0005-0000-0000-0000760F0000}"/>
    <cellStyle name="Comma 22 8" xfId="3964" xr:uid="{00000000-0005-0000-0000-0000770F0000}"/>
    <cellStyle name="Comma 22 8 2" xfId="3965" xr:uid="{00000000-0005-0000-0000-0000780F0000}"/>
    <cellStyle name="Comma 22 8 2 2" xfId="3966" xr:uid="{00000000-0005-0000-0000-0000790F0000}"/>
    <cellStyle name="Comma 22 8 2 3" xfId="3967" xr:uid="{00000000-0005-0000-0000-00007A0F0000}"/>
    <cellStyle name="Comma 22 8 3" xfId="3968" xr:uid="{00000000-0005-0000-0000-00007B0F0000}"/>
    <cellStyle name="Comma 22 8 4" xfId="3969" xr:uid="{00000000-0005-0000-0000-00007C0F0000}"/>
    <cellStyle name="Comma 22 9" xfId="3970" xr:uid="{00000000-0005-0000-0000-00007D0F0000}"/>
    <cellStyle name="Comma 22 9 2" xfId="3971" xr:uid="{00000000-0005-0000-0000-00007E0F0000}"/>
    <cellStyle name="Comma 22 9 2 2" xfId="3972" xr:uid="{00000000-0005-0000-0000-00007F0F0000}"/>
    <cellStyle name="Comma 22 9 2 3" xfId="3973" xr:uid="{00000000-0005-0000-0000-0000800F0000}"/>
    <cellStyle name="Comma 22 9 3" xfId="3974" xr:uid="{00000000-0005-0000-0000-0000810F0000}"/>
    <cellStyle name="Comma 22 9 4" xfId="3975" xr:uid="{00000000-0005-0000-0000-0000820F0000}"/>
    <cellStyle name="Comma 23" xfId="3976" xr:uid="{00000000-0005-0000-0000-0000830F0000}"/>
    <cellStyle name="Comma 23 2" xfId="3977" xr:uid="{00000000-0005-0000-0000-0000840F0000}"/>
    <cellStyle name="Comma 23 2 2" xfId="3978" xr:uid="{00000000-0005-0000-0000-0000850F0000}"/>
    <cellStyle name="Comma 23 2 3" xfId="3979" xr:uid="{00000000-0005-0000-0000-0000860F0000}"/>
    <cellStyle name="Comma 23 3" xfId="3980" xr:uid="{00000000-0005-0000-0000-0000870F0000}"/>
    <cellStyle name="Comma 23 4" xfId="3981" xr:uid="{00000000-0005-0000-0000-0000880F0000}"/>
    <cellStyle name="Comma 24" xfId="3982" xr:uid="{00000000-0005-0000-0000-0000890F0000}"/>
    <cellStyle name="Comma 24 2" xfId="3983" xr:uid="{00000000-0005-0000-0000-00008A0F0000}"/>
    <cellStyle name="Comma 24 2 2" xfId="3984" xr:uid="{00000000-0005-0000-0000-00008B0F0000}"/>
    <cellStyle name="Comma 24 2 3" xfId="3985" xr:uid="{00000000-0005-0000-0000-00008C0F0000}"/>
    <cellStyle name="Comma 24 3" xfId="3986" xr:uid="{00000000-0005-0000-0000-00008D0F0000}"/>
    <cellStyle name="Comma 24 4" xfId="3987" xr:uid="{00000000-0005-0000-0000-00008E0F0000}"/>
    <cellStyle name="Comma 25" xfId="3988" xr:uid="{00000000-0005-0000-0000-00008F0F0000}"/>
    <cellStyle name="Comma 25 2" xfId="3989" xr:uid="{00000000-0005-0000-0000-0000900F0000}"/>
    <cellStyle name="Comma 25 2 2" xfId="3990" xr:uid="{00000000-0005-0000-0000-0000910F0000}"/>
    <cellStyle name="Comma 25 2 3" xfId="3991" xr:uid="{00000000-0005-0000-0000-0000920F0000}"/>
    <cellStyle name="Comma 25 3" xfId="3992" xr:uid="{00000000-0005-0000-0000-0000930F0000}"/>
    <cellStyle name="Comma 25 4" xfId="3993" xr:uid="{00000000-0005-0000-0000-0000940F0000}"/>
    <cellStyle name="Comma 26" xfId="3994" xr:uid="{00000000-0005-0000-0000-0000950F0000}"/>
    <cellStyle name="Comma 26 2" xfId="3995" xr:uid="{00000000-0005-0000-0000-0000960F0000}"/>
    <cellStyle name="Comma 26 2 2" xfId="3996" xr:uid="{00000000-0005-0000-0000-0000970F0000}"/>
    <cellStyle name="Comma 26 2 3" xfId="3997" xr:uid="{00000000-0005-0000-0000-0000980F0000}"/>
    <cellStyle name="Comma 26 3" xfId="3998" xr:uid="{00000000-0005-0000-0000-0000990F0000}"/>
    <cellStyle name="Comma 26 4" xfId="3999" xr:uid="{00000000-0005-0000-0000-00009A0F0000}"/>
    <cellStyle name="Comma 27" xfId="4000" xr:uid="{00000000-0005-0000-0000-00009B0F0000}"/>
    <cellStyle name="Comma 27 2" xfId="4001" xr:uid="{00000000-0005-0000-0000-00009C0F0000}"/>
    <cellStyle name="Comma 27 2 2" xfId="4002" xr:uid="{00000000-0005-0000-0000-00009D0F0000}"/>
    <cellStyle name="Comma 27 2 3" xfId="4003" xr:uid="{00000000-0005-0000-0000-00009E0F0000}"/>
    <cellStyle name="Comma 27 3" xfId="4004" xr:uid="{00000000-0005-0000-0000-00009F0F0000}"/>
    <cellStyle name="Comma 27 4" xfId="4005" xr:uid="{00000000-0005-0000-0000-0000A00F0000}"/>
    <cellStyle name="Comma 28" xfId="4006" xr:uid="{00000000-0005-0000-0000-0000A10F0000}"/>
    <cellStyle name="Comma 28 2" xfId="4007" xr:uid="{00000000-0005-0000-0000-0000A20F0000}"/>
    <cellStyle name="Comma 28 2 2" xfId="4008" xr:uid="{00000000-0005-0000-0000-0000A30F0000}"/>
    <cellStyle name="Comma 28 2 3" xfId="4009" xr:uid="{00000000-0005-0000-0000-0000A40F0000}"/>
    <cellStyle name="Comma 28 3" xfId="4010" xr:uid="{00000000-0005-0000-0000-0000A50F0000}"/>
    <cellStyle name="Comma 28 4" xfId="4011" xr:uid="{00000000-0005-0000-0000-0000A60F0000}"/>
    <cellStyle name="Comma 29" xfId="4012" xr:uid="{00000000-0005-0000-0000-0000A70F0000}"/>
    <cellStyle name="Comma 29 10" xfId="4013" xr:uid="{00000000-0005-0000-0000-0000A80F0000}"/>
    <cellStyle name="Comma 29 10 2" xfId="4014" xr:uid="{00000000-0005-0000-0000-0000A90F0000}"/>
    <cellStyle name="Comma 29 10 2 2" xfId="4015" xr:uid="{00000000-0005-0000-0000-0000AA0F0000}"/>
    <cellStyle name="Comma 29 10 2 3" xfId="4016" xr:uid="{00000000-0005-0000-0000-0000AB0F0000}"/>
    <cellStyle name="Comma 29 10 3" xfId="4017" xr:uid="{00000000-0005-0000-0000-0000AC0F0000}"/>
    <cellStyle name="Comma 29 10 4" xfId="4018" xr:uid="{00000000-0005-0000-0000-0000AD0F0000}"/>
    <cellStyle name="Comma 29 11" xfId="4019" xr:uid="{00000000-0005-0000-0000-0000AE0F0000}"/>
    <cellStyle name="Comma 29 11 2" xfId="4020" xr:uid="{00000000-0005-0000-0000-0000AF0F0000}"/>
    <cellStyle name="Comma 29 11 2 2" xfId="4021" xr:uid="{00000000-0005-0000-0000-0000B00F0000}"/>
    <cellStyle name="Comma 29 11 2 3" xfId="4022" xr:uid="{00000000-0005-0000-0000-0000B10F0000}"/>
    <cellStyle name="Comma 29 11 3" xfId="4023" xr:uid="{00000000-0005-0000-0000-0000B20F0000}"/>
    <cellStyle name="Comma 29 11 4" xfId="4024" xr:uid="{00000000-0005-0000-0000-0000B30F0000}"/>
    <cellStyle name="Comma 29 12" xfId="4025" xr:uid="{00000000-0005-0000-0000-0000B40F0000}"/>
    <cellStyle name="Comma 29 12 2" xfId="4026" xr:uid="{00000000-0005-0000-0000-0000B50F0000}"/>
    <cellStyle name="Comma 29 12 2 2" xfId="4027" xr:uid="{00000000-0005-0000-0000-0000B60F0000}"/>
    <cellStyle name="Comma 29 12 2 3" xfId="4028" xr:uid="{00000000-0005-0000-0000-0000B70F0000}"/>
    <cellStyle name="Comma 29 12 3" xfId="4029" xr:uid="{00000000-0005-0000-0000-0000B80F0000}"/>
    <cellStyle name="Comma 29 12 4" xfId="4030" xr:uid="{00000000-0005-0000-0000-0000B90F0000}"/>
    <cellStyle name="Comma 29 13" xfId="4031" xr:uid="{00000000-0005-0000-0000-0000BA0F0000}"/>
    <cellStyle name="Comma 29 13 2" xfId="4032" xr:uid="{00000000-0005-0000-0000-0000BB0F0000}"/>
    <cellStyle name="Comma 29 13 2 2" xfId="4033" xr:uid="{00000000-0005-0000-0000-0000BC0F0000}"/>
    <cellStyle name="Comma 29 13 2 3" xfId="4034" xr:uid="{00000000-0005-0000-0000-0000BD0F0000}"/>
    <cellStyle name="Comma 29 13 3" xfId="4035" xr:uid="{00000000-0005-0000-0000-0000BE0F0000}"/>
    <cellStyle name="Comma 29 13 4" xfId="4036" xr:uid="{00000000-0005-0000-0000-0000BF0F0000}"/>
    <cellStyle name="Comma 29 14" xfId="4037" xr:uid="{00000000-0005-0000-0000-0000C00F0000}"/>
    <cellStyle name="Comma 29 14 2" xfId="4038" xr:uid="{00000000-0005-0000-0000-0000C10F0000}"/>
    <cellStyle name="Comma 29 14 2 2" xfId="4039" xr:uid="{00000000-0005-0000-0000-0000C20F0000}"/>
    <cellStyle name="Comma 29 14 2 3" xfId="4040" xr:uid="{00000000-0005-0000-0000-0000C30F0000}"/>
    <cellStyle name="Comma 29 14 3" xfId="4041" xr:uid="{00000000-0005-0000-0000-0000C40F0000}"/>
    <cellStyle name="Comma 29 14 4" xfId="4042" xr:uid="{00000000-0005-0000-0000-0000C50F0000}"/>
    <cellStyle name="Comma 29 15" xfId="4043" xr:uid="{00000000-0005-0000-0000-0000C60F0000}"/>
    <cellStyle name="Comma 29 15 2" xfId="4044" xr:uid="{00000000-0005-0000-0000-0000C70F0000}"/>
    <cellStyle name="Comma 29 15 2 2" xfId="4045" xr:uid="{00000000-0005-0000-0000-0000C80F0000}"/>
    <cellStyle name="Comma 29 15 2 3" xfId="4046" xr:uid="{00000000-0005-0000-0000-0000C90F0000}"/>
    <cellStyle name="Comma 29 15 3" xfId="4047" xr:uid="{00000000-0005-0000-0000-0000CA0F0000}"/>
    <cellStyle name="Comma 29 15 4" xfId="4048" xr:uid="{00000000-0005-0000-0000-0000CB0F0000}"/>
    <cellStyle name="Comma 29 16" xfId="4049" xr:uid="{00000000-0005-0000-0000-0000CC0F0000}"/>
    <cellStyle name="Comma 29 16 2" xfId="4050" xr:uid="{00000000-0005-0000-0000-0000CD0F0000}"/>
    <cellStyle name="Comma 29 16 2 2" xfId="4051" xr:uid="{00000000-0005-0000-0000-0000CE0F0000}"/>
    <cellStyle name="Comma 29 16 2 3" xfId="4052" xr:uid="{00000000-0005-0000-0000-0000CF0F0000}"/>
    <cellStyle name="Comma 29 16 3" xfId="4053" xr:uid="{00000000-0005-0000-0000-0000D00F0000}"/>
    <cellStyle name="Comma 29 16 4" xfId="4054" xr:uid="{00000000-0005-0000-0000-0000D10F0000}"/>
    <cellStyle name="Comma 29 17" xfId="4055" xr:uid="{00000000-0005-0000-0000-0000D20F0000}"/>
    <cellStyle name="Comma 29 17 2" xfId="4056" xr:uid="{00000000-0005-0000-0000-0000D30F0000}"/>
    <cellStyle name="Comma 29 17 2 2" xfId="4057" xr:uid="{00000000-0005-0000-0000-0000D40F0000}"/>
    <cellStyle name="Comma 29 17 2 3" xfId="4058" xr:uid="{00000000-0005-0000-0000-0000D50F0000}"/>
    <cellStyle name="Comma 29 17 3" xfId="4059" xr:uid="{00000000-0005-0000-0000-0000D60F0000}"/>
    <cellStyle name="Comma 29 17 4" xfId="4060" xr:uid="{00000000-0005-0000-0000-0000D70F0000}"/>
    <cellStyle name="Comma 29 18" xfId="4061" xr:uid="{00000000-0005-0000-0000-0000D80F0000}"/>
    <cellStyle name="Comma 29 18 2" xfId="4062" xr:uid="{00000000-0005-0000-0000-0000D90F0000}"/>
    <cellStyle name="Comma 29 18 2 2" xfId="4063" xr:uid="{00000000-0005-0000-0000-0000DA0F0000}"/>
    <cellStyle name="Comma 29 18 2 3" xfId="4064" xr:uid="{00000000-0005-0000-0000-0000DB0F0000}"/>
    <cellStyle name="Comma 29 18 3" xfId="4065" xr:uid="{00000000-0005-0000-0000-0000DC0F0000}"/>
    <cellStyle name="Comma 29 18 4" xfId="4066" xr:uid="{00000000-0005-0000-0000-0000DD0F0000}"/>
    <cellStyle name="Comma 29 19" xfId="4067" xr:uid="{00000000-0005-0000-0000-0000DE0F0000}"/>
    <cellStyle name="Comma 29 19 2" xfId="4068" xr:uid="{00000000-0005-0000-0000-0000DF0F0000}"/>
    <cellStyle name="Comma 29 19 2 2" xfId="4069" xr:uid="{00000000-0005-0000-0000-0000E00F0000}"/>
    <cellStyle name="Comma 29 19 2 3" xfId="4070" xr:uid="{00000000-0005-0000-0000-0000E10F0000}"/>
    <cellStyle name="Comma 29 19 3" xfId="4071" xr:uid="{00000000-0005-0000-0000-0000E20F0000}"/>
    <cellStyle name="Comma 29 19 4" xfId="4072" xr:uid="{00000000-0005-0000-0000-0000E30F0000}"/>
    <cellStyle name="Comma 29 2" xfId="4073" xr:uid="{00000000-0005-0000-0000-0000E40F0000}"/>
    <cellStyle name="Comma 29 2 2" xfId="4074" xr:uid="{00000000-0005-0000-0000-0000E50F0000}"/>
    <cellStyle name="Comma 29 2 2 2" xfId="4075" xr:uid="{00000000-0005-0000-0000-0000E60F0000}"/>
    <cellStyle name="Comma 29 2 2 3" xfId="4076" xr:uid="{00000000-0005-0000-0000-0000E70F0000}"/>
    <cellStyle name="Comma 29 2 3" xfId="4077" xr:uid="{00000000-0005-0000-0000-0000E80F0000}"/>
    <cellStyle name="Comma 29 2 4" xfId="4078" xr:uid="{00000000-0005-0000-0000-0000E90F0000}"/>
    <cellStyle name="Comma 29 20" xfId="4079" xr:uid="{00000000-0005-0000-0000-0000EA0F0000}"/>
    <cellStyle name="Comma 29 20 2" xfId="4080" xr:uid="{00000000-0005-0000-0000-0000EB0F0000}"/>
    <cellStyle name="Comma 29 20 2 2" xfId="4081" xr:uid="{00000000-0005-0000-0000-0000EC0F0000}"/>
    <cellStyle name="Comma 29 20 2 3" xfId="4082" xr:uid="{00000000-0005-0000-0000-0000ED0F0000}"/>
    <cellStyle name="Comma 29 20 3" xfId="4083" xr:uid="{00000000-0005-0000-0000-0000EE0F0000}"/>
    <cellStyle name="Comma 29 20 4" xfId="4084" xr:uid="{00000000-0005-0000-0000-0000EF0F0000}"/>
    <cellStyle name="Comma 29 21" xfId="4085" xr:uid="{00000000-0005-0000-0000-0000F00F0000}"/>
    <cellStyle name="Comma 29 21 2" xfId="4086" xr:uid="{00000000-0005-0000-0000-0000F10F0000}"/>
    <cellStyle name="Comma 29 21 2 2" xfId="4087" xr:uid="{00000000-0005-0000-0000-0000F20F0000}"/>
    <cellStyle name="Comma 29 21 2 3" xfId="4088" xr:uid="{00000000-0005-0000-0000-0000F30F0000}"/>
    <cellStyle name="Comma 29 21 3" xfId="4089" xr:uid="{00000000-0005-0000-0000-0000F40F0000}"/>
    <cellStyle name="Comma 29 21 4" xfId="4090" xr:uid="{00000000-0005-0000-0000-0000F50F0000}"/>
    <cellStyle name="Comma 29 22" xfId="4091" xr:uid="{00000000-0005-0000-0000-0000F60F0000}"/>
    <cellStyle name="Comma 29 22 2" xfId="4092" xr:uid="{00000000-0005-0000-0000-0000F70F0000}"/>
    <cellStyle name="Comma 29 22 2 2" xfId="4093" xr:uid="{00000000-0005-0000-0000-0000F80F0000}"/>
    <cellStyle name="Comma 29 22 2 3" xfId="4094" xr:uid="{00000000-0005-0000-0000-0000F90F0000}"/>
    <cellStyle name="Comma 29 22 3" xfId="4095" xr:uid="{00000000-0005-0000-0000-0000FA0F0000}"/>
    <cellStyle name="Comma 29 22 4" xfId="4096" xr:uid="{00000000-0005-0000-0000-0000FB0F0000}"/>
    <cellStyle name="Comma 29 23" xfId="4097" xr:uid="{00000000-0005-0000-0000-0000FC0F0000}"/>
    <cellStyle name="Comma 29 23 2" xfId="4098" xr:uid="{00000000-0005-0000-0000-0000FD0F0000}"/>
    <cellStyle name="Comma 29 23 2 2" xfId="4099" xr:uid="{00000000-0005-0000-0000-0000FE0F0000}"/>
    <cellStyle name="Comma 29 23 2 3" xfId="4100" xr:uid="{00000000-0005-0000-0000-0000FF0F0000}"/>
    <cellStyle name="Comma 29 23 3" xfId="4101" xr:uid="{00000000-0005-0000-0000-000000100000}"/>
    <cellStyle name="Comma 29 23 4" xfId="4102" xr:uid="{00000000-0005-0000-0000-000001100000}"/>
    <cellStyle name="Comma 29 24" xfId="4103" xr:uid="{00000000-0005-0000-0000-000002100000}"/>
    <cellStyle name="Comma 29 24 2" xfId="4104" xr:uid="{00000000-0005-0000-0000-000003100000}"/>
    <cellStyle name="Comma 29 24 3" xfId="4105" xr:uid="{00000000-0005-0000-0000-000004100000}"/>
    <cellStyle name="Comma 29 25" xfId="4106" xr:uid="{00000000-0005-0000-0000-000005100000}"/>
    <cellStyle name="Comma 29 26" xfId="4107" xr:uid="{00000000-0005-0000-0000-000006100000}"/>
    <cellStyle name="Comma 29 3" xfId="4108" xr:uid="{00000000-0005-0000-0000-000007100000}"/>
    <cellStyle name="Comma 29 3 2" xfId="4109" xr:uid="{00000000-0005-0000-0000-000008100000}"/>
    <cellStyle name="Comma 29 3 2 2" xfId="4110" xr:uid="{00000000-0005-0000-0000-000009100000}"/>
    <cellStyle name="Comma 29 3 2 3" xfId="4111" xr:uid="{00000000-0005-0000-0000-00000A100000}"/>
    <cellStyle name="Comma 29 3 3" xfId="4112" xr:uid="{00000000-0005-0000-0000-00000B100000}"/>
    <cellStyle name="Comma 29 3 4" xfId="4113" xr:uid="{00000000-0005-0000-0000-00000C100000}"/>
    <cellStyle name="Comma 29 4" xfId="4114" xr:uid="{00000000-0005-0000-0000-00000D100000}"/>
    <cellStyle name="Comma 29 4 2" xfId="4115" xr:uid="{00000000-0005-0000-0000-00000E100000}"/>
    <cellStyle name="Comma 29 4 2 2" xfId="4116" xr:uid="{00000000-0005-0000-0000-00000F100000}"/>
    <cellStyle name="Comma 29 4 2 3" xfId="4117" xr:uid="{00000000-0005-0000-0000-000010100000}"/>
    <cellStyle name="Comma 29 4 3" xfId="4118" xr:uid="{00000000-0005-0000-0000-000011100000}"/>
    <cellStyle name="Comma 29 4 4" xfId="4119" xr:uid="{00000000-0005-0000-0000-000012100000}"/>
    <cellStyle name="Comma 29 5" xfId="4120" xr:uid="{00000000-0005-0000-0000-000013100000}"/>
    <cellStyle name="Comma 29 5 2" xfId="4121" xr:uid="{00000000-0005-0000-0000-000014100000}"/>
    <cellStyle name="Comma 29 5 2 2" xfId="4122" xr:uid="{00000000-0005-0000-0000-000015100000}"/>
    <cellStyle name="Comma 29 5 2 3" xfId="4123" xr:uid="{00000000-0005-0000-0000-000016100000}"/>
    <cellStyle name="Comma 29 5 3" xfId="4124" xr:uid="{00000000-0005-0000-0000-000017100000}"/>
    <cellStyle name="Comma 29 5 4" xfId="4125" xr:uid="{00000000-0005-0000-0000-000018100000}"/>
    <cellStyle name="Comma 29 6" xfId="4126" xr:uid="{00000000-0005-0000-0000-000019100000}"/>
    <cellStyle name="Comma 29 6 2" xfId="4127" xr:uid="{00000000-0005-0000-0000-00001A100000}"/>
    <cellStyle name="Comma 29 6 2 2" xfId="4128" xr:uid="{00000000-0005-0000-0000-00001B100000}"/>
    <cellStyle name="Comma 29 6 2 3" xfId="4129" xr:uid="{00000000-0005-0000-0000-00001C100000}"/>
    <cellStyle name="Comma 29 6 3" xfId="4130" xr:uid="{00000000-0005-0000-0000-00001D100000}"/>
    <cellStyle name="Comma 29 6 4" xfId="4131" xr:uid="{00000000-0005-0000-0000-00001E100000}"/>
    <cellStyle name="Comma 29 7" xfId="4132" xr:uid="{00000000-0005-0000-0000-00001F100000}"/>
    <cellStyle name="Comma 29 7 2" xfId="4133" xr:uid="{00000000-0005-0000-0000-000020100000}"/>
    <cellStyle name="Comma 29 7 2 2" xfId="4134" xr:uid="{00000000-0005-0000-0000-000021100000}"/>
    <cellStyle name="Comma 29 7 2 3" xfId="4135" xr:uid="{00000000-0005-0000-0000-000022100000}"/>
    <cellStyle name="Comma 29 7 3" xfId="4136" xr:uid="{00000000-0005-0000-0000-000023100000}"/>
    <cellStyle name="Comma 29 7 4" xfId="4137" xr:uid="{00000000-0005-0000-0000-000024100000}"/>
    <cellStyle name="Comma 29 8" xfId="4138" xr:uid="{00000000-0005-0000-0000-000025100000}"/>
    <cellStyle name="Comma 29 8 2" xfId="4139" xr:uid="{00000000-0005-0000-0000-000026100000}"/>
    <cellStyle name="Comma 29 8 2 2" xfId="4140" xr:uid="{00000000-0005-0000-0000-000027100000}"/>
    <cellStyle name="Comma 29 8 2 3" xfId="4141" xr:uid="{00000000-0005-0000-0000-000028100000}"/>
    <cellStyle name="Comma 29 8 3" xfId="4142" xr:uid="{00000000-0005-0000-0000-000029100000}"/>
    <cellStyle name="Comma 29 8 4" xfId="4143" xr:uid="{00000000-0005-0000-0000-00002A100000}"/>
    <cellStyle name="Comma 29 9" xfId="4144" xr:uid="{00000000-0005-0000-0000-00002B100000}"/>
    <cellStyle name="Comma 29 9 2" xfId="4145" xr:uid="{00000000-0005-0000-0000-00002C100000}"/>
    <cellStyle name="Comma 29 9 2 2" xfId="4146" xr:uid="{00000000-0005-0000-0000-00002D100000}"/>
    <cellStyle name="Comma 29 9 2 3" xfId="4147" xr:uid="{00000000-0005-0000-0000-00002E100000}"/>
    <cellStyle name="Comma 29 9 3" xfId="4148" xr:uid="{00000000-0005-0000-0000-00002F100000}"/>
    <cellStyle name="Comma 29 9 4" xfId="4149" xr:uid="{00000000-0005-0000-0000-000030100000}"/>
    <cellStyle name="Comma 3" xfId="4150" xr:uid="{00000000-0005-0000-0000-000031100000}"/>
    <cellStyle name="Comma 3 10" xfId="4151" xr:uid="{00000000-0005-0000-0000-000032100000}"/>
    <cellStyle name="Comma 3 10 2" xfId="4152" xr:uid="{00000000-0005-0000-0000-000033100000}"/>
    <cellStyle name="Comma 3 10 2 2" xfId="4153" xr:uid="{00000000-0005-0000-0000-000034100000}"/>
    <cellStyle name="Comma 3 10 2 3" xfId="4154" xr:uid="{00000000-0005-0000-0000-000035100000}"/>
    <cellStyle name="Comma 3 10 3" xfId="4155" xr:uid="{00000000-0005-0000-0000-000036100000}"/>
    <cellStyle name="Comma 3 10 4" xfId="4156" xr:uid="{00000000-0005-0000-0000-000037100000}"/>
    <cellStyle name="Comma 3 11" xfId="4157" xr:uid="{00000000-0005-0000-0000-000038100000}"/>
    <cellStyle name="Comma 3 11 2" xfId="4158" xr:uid="{00000000-0005-0000-0000-000039100000}"/>
    <cellStyle name="Comma 3 11 2 2" xfId="4159" xr:uid="{00000000-0005-0000-0000-00003A100000}"/>
    <cellStyle name="Comma 3 11 2 3" xfId="4160" xr:uid="{00000000-0005-0000-0000-00003B100000}"/>
    <cellStyle name="Comma 3 11 3" xfId="4161" xr:uid="{00000000-0005-0000-0000-00003C100000}"/>
    <cellStyle name="Comma 3 11 4" xfId="4162" xr:uid="{00000000-0005-0000-0000-00003D100000}"/>
    <cellStyle name="Comma 3 12" xfId="4163" xr:uid="{00000000-0005-0000-0000-00003E100000}"/>
    <cellStyle name="Comma 3 12 2" xfId="4164" xr:uid="{00000000-0005-0000-0000-00003F100000}"/>
    <cellStyle name="Comma 3 12 2 2" xfId="4165" xr:uid="{00000000-0005-0000-0000-000040100000}"/>
    <cellStyle name="Comma 3 12 2 3" xfId="4166" xr:uid="{00000000-0005-0000-0000-000041100000}"/>
    <cellStyle name="Comma 3 12 3" xfId="4167" xr:uid="{00000000-0005-0000-0000-000042100000}"/>
    <cellStyle name="Comma 3 12 4" xfId="4168" xr:uid="{00000000-0005-0000-0000-000043100000}"/>
    <cellStyle name="Comma 3 13" xfId="4169" xr:uid="{00000000-0005-0000-0000-000044100000}"/>
    <cellStyle name="Comma 3 13 2" xfId="4170" xr:uid="{00000000-0005-0000-0000-000045100000}"/>
    <cellStyle name="Comma 3 13 2 2" xfId="4171" xr:uid="{00000000-0005-0000-0000-000046100000}"/>
    <cellStyle name="Comma 3 13 2 3" xfId="4172" xr:uid="{00000000-0005-0000-0000-000047100000}"/>
    <cellStyle name="Comma 3 13 3" xfId="4173" xr:uid="{00000000-0005-0000-0000-000048100000}"/>
    <cellStyle name="Comma 3 13 4" xfId="4174" xr:uid="{00000000-0005-0000-0000-000049100000}"/>
    <cellStyle name="Comma 3 14" xfId="4175" xr:uid="{00000000-0005-0000-0000-00004A100000}"/>
    <cellStyle name="Comma 3 14 2" xfId="4176" xr:uid="{00000000-0005-0000-0000-00004B100000}"/>
    <cellStyle name="Comma 3 14 2 2" xfId="4177" xr:uid="{00000000-0005-0000-0000-00004C100000}"/>
    <cellStyle name="Comma 3 14 2 3" xfId="4178" xr:uid="{00000000-0005-0000-0000-00004D100000}"/>
    <cellStyle name="Comma 3 14 3" xfId="4179" xr:uid="{00000000-0005-0000-0000-00004E100000}"/>
    <cellStyle name="Comma 3 14 4" xfId="4180" xr:uid="{00000000-0005-0000-0000-00004F100000}"/>
    <cellStyle name="Comma 3 15" xfId="4181" xr:uid="{00000000-0005-0000-0000-000050100000}"/>
    <cellStyle name="Comma 3 15 2" xfId="4182" xr:uid="{00000000-0005-0000-0000-000051100000}"/>
    <cellStyle name="Comma 3 15 2 2" xfId="4183" xr:uid="{00000000-0005-0000-0000-000052100000}"/>
    <cellStyle name="Comma 3 15 2 3" xfId="4184" xr:uid="{00000000-0005-0000-0000-000053100000}"/>
    <cellStyle name="Comma 3 15 3" xfId="4185" xr:uid="{00000000-0005-0000-0000-000054100000}"/>
    <cellStyle name="Comma 3 15 4" xfId="4186" xr:uid="{00000000-0005-0000-0000-000055100000}"/>
    <cellStyle name="Comma 3 16" xfId="4187" xr:uid="{00000000-0005-0000-0000-000056100000}"/>
    <cellStyle name="Comma 3 16 2" xfId="4188" xr:uid="{00000000-0005-0000-0000-000057100000}"/>
    <cellStyle name="Comma 3 16 2 2" xfId="4189" xr:uid="{00000000-0005-0000-0000-000058100000}"/>
    <cellStyle name="Comma 3 16 2 3" xfId="4190" xr:uid="{00000000-0005-0000-0000-000059100000}"/>
    <cellStyle name="Comma 3 16 3" xfId="4191" xr:uid="{00000000-0005-0000-0000-00005A100000}"/>
    <cellStyle name="Comma 3 16 4" xfId="4192" xr:uid="{00000000-0005-0000-0000-00005B100000}"/>
    <cellStyle name="Comma 3 17" xfId="4193" xr:uid="{00000000-0005-0000-0000-00005C100000}"/>
    <cellStyle name="Comma 3 17 2" xfId="4194" xr:uid="{00000000-0005-0000-0000-00005D100000}"/>
    <cellStyle name="Comma 3 17 2 2" xfId="4195" xr:uid="{00000000-0005-0000-0000-00005E100000}"/>
    <cellStyle name="Comma 3 17 2 3" xfId="4196" xr:uid="{00000000-0005-0000-0000-00005F100000}"/>
    <cellStyle name="Comma 3 17 3" xfId="4197" xr:uid="{00000000-0005-0000-0000-000060100000}"/>
    <cellStyle name="Comma 3 17 4" xfId="4198" xr:uid="{00000000-0005-0000-0000-000061100000}"/>
    <cellStyle name="Comma 3 18" xfId="4199" xr:uid="{00000000-0005-0000-0000-000062100000}"/>
    <cellStyle name="Comma 3 18 2" xfId="4200" xr:uid="{00000000-0005-0000-0000-000063100000}"/>
    <cellStyle name="Comma 3 18 2 2" xfId="4201" xr:uid="{00000000-0005-0000-0000-000064100000}"/>
    <cellStyle name="Comma 3 18 2 3" xfId="4202" xr:uid="{00000000-0005-0000-0000-000065100000}"/>
    <cellStyle name="Comma 3 18 3" xfId="4203" xr:uid="{00000000-0005-0000-0000-000066100000}"/>
    <cellStyle name="Comma 3 18 4" xfId="4204" xr:uid="{00000000-0005-0000-0000-000067100000}"/>
    <cellStyle name="Comma 3 19" xfId="4205" xr:uid="{00000000-0005-0000-0000-000068100000}"/>
    <cellStyle name="Comma 3 19 2" xfId="4206" xr:uid="{00000000-0005-0000-0000-000069100000}"/>
    <cellStyle name="Comma 3 19 2 2" xfId="4207" xr:uid="{00000000-0005-0000-0000-00006A100000}"/>
    <cellStyle name="Comma 3 19 2 3" xfId="4208" xr:uid="{00000000-0005-0000-0000-00006B100000}"/>
    <cellStyle name="Comma 3 19 3" xfId="4209" xr:uid="{00000000-0005-0000-0000-00006C100000}"/>
    <cellStyle name="Comma 3 19 4" xfId="4210" xr:uid="{00000000-0005-0000-0000-00006D100000}"/>
    <cellStyle name="Comma 3 2" xfId="4211" xr:uid="{00000000-0005-0000-0000-00006E100000}"/>
    <cellStyle name="Comma 3 2 2" xfId="4212" xr:uid="{00000000-0005-0000-0000-00006F100000}"/>
    <cellStyle name="Comma 3 2 3" xfId="4213" xr:uid="{00000000-0005-0000-0000-000070100000}"/>
    <cellStyle name="Comma 3 20" xfId="4214" xr:uid="{00000000-0005-0000-0000-000071100000}"/>
    <cellStyle name="Comma 3 20 2" xfId="4215" xr:uid="{00000000-0005-0000-0000-000072100000}"/>
    <cellStyle name="Comma 3 20 2 2" xfId="4216" xr:uid="{00000000-0005-0000-0000-000073100000}"/>
    <cellStyle name="Comma 3 20 2 3" xfId="4217" xr:uid="{00000000-0005-0000-0000-000074100000}"/>
    <cellStyle name="Comma 3 20 3" xfId="4218" xr:uid="{00000000-0005-0000-0000-000075100000}"/>
    <cellStyle name="Comma 3 20 4" xfId="4219" xr:uid="{00000000-0005-0000-0000-000076100000}"/>
    <cellStyle name="Comma 3 21" xfId="4220" xr:uid="{00000000-0005-0000-0000-000077100000}"/>
    <cellStyle name="Comma 3 21 2" xfId="4221" xr:uid="{00000000-0005-0000-0000-000078100000}"/>
    <cellStyle name="Comma 3 21 2 2" xfId="4222" xr:uid="{00000000-0005-0000-0000-000079100000}"/>
    <cellStyle name="Comma 3 21 2 3" xfId="4223" xr:uid="{00000000-0005-0000-0000-00007A100000}"/>
    <cellStyle name="Comma 3 21 3" xfId="4224" xr:uid="{00000000-0005-0000-0000-00007B100000}"/>
    <cellStyle name="Comma 3 21 4" xfId="4225" xr:uid="{00000000-0005-0000-0000-00007C100000}"/>
    <cellStyle name="Comma 3 22" xfId="4226" xr:uid="{00000000-0005-0000-0000-00007D100000}"/>
    <cellStyle name="Comma 3 22 2" xfId="4227" xr:uid="{00000000-0005-0000-0000-00007E100000}"/>
    <cellStyle name="Comma 3 22 2 2" xfId="4228" xr:uid="{00000000-0005-0000-0000-00007F100000}"/>
    <cellStyle name="Comma 3 22 2 3" xfId="4229" xr:uid="{00000000-0005-0000-0000-000080100000}"/>
    <cellStyle name="Comma 3 22 3" xfId="4230" xr:uid="{00000000-0005-0000-0000-000081100000}"/>
    <cellStyle name="Comma 3 22 4" xfId="4231" xr:uid="{00000000-0005-0000-0000-000082100000}"/>
    <cellStyle name="Comma 3 23" xfId="4232" xr:uid="{00000000-0005-0000-0000-000083100000}"/>
    <cellStyle name="Comma 3 23 2" xfId="4233" xr:uid="{00000000-0005-0000-0000-000084100000}"/>
    <cellStyle name="Comma 3 23 2 2" xfId="4234" xr:uid="{00000000-0005-0000-0000-000085100000}"/>
    <cellStyle name="Comma 3 23 2 3" xfId="4235" xr:uid="{00000000-0005-0000-0000-000086100000}"/>
    <cellStyle name="Comma 3 23 3" xfId="4236" xr:uid="{00000000-0005-0000-0000-000087100000}"/>
    <cellStyle name="Comma 3 23 4" xfId="4237" xr:uid="{00000000-0005-0000-0000-000088100000}"/>
    <cellStyle name="Comma 3 24" xfId="4238" xr:uid="{00000000-0005-0000-0000-000089100000}"/>
    <cellStyle name="Comma 3 24 2" xfId="4239" xr:uid="{00000000-0005-0000-0000-00008A100000}"/>
    <cellStyle name="Comma 3 24 2 2" xfId="4240" xr:uid="{00000000-0005-0000-0000-00008B100000}"/>
    <cellStyle name="Comma 3 24 2 3" xfId="4241" xr:uid="{00000000-0005-0000-0000-00008C100000}"/>
    <cellStyle name="Comma 3 24 3" xfId="4242" xr:uid="{00000000-0005-0000-0000-00008D100000}"/>
    <cellStyle name="Comma 3 24 4" xfId="4243" xr:uid="{00000000-0005-0000-0000-00008E100000}"/>
    <cellStyle name="Comma 3 25" xfId="4244" xr:uid="{00000000-0005-0000-0000-00008F100000}"/>
    <cellStyle name="Comma 3 25 2" xfId="4245" xr:uid="{00000000-0005-0000-0000-000090100000}"/>
    <cellStyle name="Comma 3 25 2 2" xfId="4246" xr:uid="{00000000-0005-0000-0000-000091100000}"/>
    <cellStyle name="Comma 3 25 2 3" xfId="4247" xr:uid="{00000000-0005-0000-0000-000092100000}"/>
    <cellStyle name="Comma 3 25 3" xfId="4248" xr:uid="{00000000-0005-0000-0000-000093100000}"/>
    <cellStyle name="Comma 3 25 4" xfId="4249" xr:uid="{00000000-0005-0000-0000-000094100000}"/>
    <cellStyle name="Comma 3 26" xfId="4250" xr:uid="{00000000-0005-0000-0000-000095100000}"/>
    <cellStyle name="Comma 3 26 2" xfId="4251" xr:uid="{00000000-0005-0000-0000-000096100000}"/>
    <cellStyle name="Comma 3 26 2 2" xfId="4252" xr:uid="{00000000-0005-0000-0000-000097100000}"/>
    <cellStyle name="Comma 3 26 2 3" xfId="4253" xr:uid="{00000000-0005-0000-0000-000098100000}"/>
    <cellStyle name="Comma 3 26 3" xfId="4254" xr:uid="{00000000-0005-0000-0000-000099100000}"/>
    <cellStyle name="Comma 3 26 4" xfId="4255" xr:uid="{00000000-0005-0000-0000-00009A100000}"/>
    <cellStyle name="Comma 3 27" xfId="4256" xr:uid="{00000000-0005-0000-0000-00009B100000}"/>
    <cellStyle name="Comma 3 28" xfId="4257" xr:uid="{00000000-0005-0000-0000-00009C100000}"/>
    <cellStyle name="Comma 3 3" xfId="4258" xr:uid="{00000000-0005-0000-0000-00009D100000}"/>
    <cellStyle name="Comma 3 3 2" xfId="4259" xr:uid="{00000000-0005-0000-0000-00009E100000}"/>
    <cellStyle name="Comma 3 3 3" xfId="4260" xr:uid="{00000000-0005-0000-0000-00009F100000}"/>
    <cellStyle name="Comma 3 4" xfId="4261" xr:uid="{00000000-0005-0000-0000-0000A0100000}"/>
    <cellStyle name="Comma 3 4 2" xfId="4262" xr:uid="{00000000-0005-0000-0000-0000A1100000}"/>
    <cellStyle name="Comma 3 4 2 2" xfId="4263" xr:uid="{00000000-0005-0000-0000-0000A2100000}"/>
    <cellStyle name="Comma 3 4 2 3" xfId="4264" xr:uid="{00000000-0005-0000-0000-0000A3100000}"/>
    <cellStyle name="Comma 3 4 3" xfId="4265" xr:uid="{00000000-0005-0000-0000-0000A4100000}"/>
    <cellStyle name="Comma 3 4 4" xfId="4266" xr:uid="{00000000-0005-0000-0000-0000A5100000}"/>
    <cellStyle name="Comma 3 5" xfId="4267" xr:uid="{00000000-0005-0000-0000-0000A6100000}"/>
    <cellStyle name="Comma 3 5 2" xfId="4268" xr:uid="{00000000-0005-0000-0000-0000A7100000}"/>
    <cellStyle name="Comma 3 5 2 2" xfId="4269" xr:uid="{00000000-0005-0000-0000-0000A8100000}"/>
    <cellStyle name="Comma 3 5 2 3" xfId="4270" xr:uid="{00000000-0005-0000-0000-0000A9100000}"/>
    <cellStyle name="Comma 3 5 3" xfId="4271" xr:uid="{00000000-0005-0000-0000-0000AA100000}"/>
    <cellStyle name="Comma 3 5 4" xfId="4272" xr:uid="{00000000-0005-0000-0000-0000AB100000}"/>
    <cellStyle name="Comma 3 6" xfId="4273" xr:uid="{00000000-0005-0000-0000-0000AC100000}"/>
    <cellStyle name="Comma 3 6 2" xfId="4274" xr:uid="{00000000-0005-0000-0000-0000AD100000}"/>
    <cellStyle name="Comma 3 6 2 2" xfId="4275" xr:uid="{00000000-0005-0000-0000-0000AE100000}"/>
    <cellStyle name="Comma 3 6 2 3" xfId="4276" xr:uid="{00000000-0005-0000-0000-0000AF100000}"/>
    <cellStyle name="Comma 3 6 3" xfId="4277" xr:uid="{00000000-0005-0000-0000-0000B0100000}"/>
    <cellStyle name="Comma 3 6 4" xfId="4278" xr:uid="{00000000-0005-0000-0000-0000B1100000}"/>
    <cellStyle name="Comma 3 7" xfId="4279" xr:uid="{00000000-0005-0000-0000-0000B2100000}"/>
    <cellStyle name="Comma 3 7 2" xfId="4280" xr:uid="{00000000-0005-0000-0000-0000B3100000}"/>
    <cellStyle name="Comma 3 7 2 2" xfId="4281" xr:uid="{00000000-0005-0000-0000-0000B4100000}"/>
    <cellStyle name="Comma 3 7 2 3" xfId="4282" xr:uid="{00000000-0005-0000-0000-0000B5100000}"/>
    <cellStyle name="Comma 3 7 3" xfId="4283" xr:uid="{00000000-0005-0000-0000-0000B6100000}"/>
    <cellStyle name="Comma 3 7 4" xfId="4284" xr:uid="{00000000-0005-0000-0000-0000B7100000}"/>
    <cellStyle name="Comma 3 8" xfId="4285" xr:uid="{00000000-0005-0000-0000-0000B8100000}"/>
    <cellStyle name="Comma 3 8 2" xfId="4286" xr:uid="{00000000-0005-0000-0000-0000B9100000}"/>
    <cellStyle name="Comma 3 8 2 2" xfId="4287" xr:uid="{00000000-0005-0000-0000-0000BA100000}"/>
    <cellStyle name="Comma 3 8 2 3" xfId="4288" xr:uid="{00000000-0005-0000-0000-0000BB100000}"/>
    <cellStyle name="Comma 3 8 3" xfId="4289" xr:uid="{00000000-0005-0000-0000-0000BC100000}"/>
    <cellStyle name="Comma 3 8 4" xfId="4290" xr:uid="{00000000-0005-0000-0000-0000BD100000}"/>
    <cellStyle name="Comma 3 9" xfId="4291" xr:uid="{00000000-0005-0000-0000-0000BE100000}"/>
    <cellStyle name="Comma 3 9 2" xfId="4292" xr:uid="{00000000-0005-0000-0000-0000BF100000}"/>
    <cellStyle name="Comma 3 9 2 2" xfId="4293" xr:uid="{00000000-0005-0000-0000-0000C0100000}"/>
    <cellStyle name="Comma 3 9 2 3" xfId="4294" xr:uid="{00000000-0005-0000-0000-0000C1100000}"/>
    <cellStyle name="Comma 3 9 3" xfId="4295" xr:uid="{00000000-0005-0000-0000-0000C2100000}"/>
    <cellStyle name="Comma 3 9 4" xfId="4296" xr:uid="{00000000-0005-0000-0000-0000C3100000}"/>
    <cellStyle name="Comma 30" xfId="4297" xr:uid="{00000000-0005-0000-0000-0000C4100000}"/>
    <cellStyle name="Comma 30 2" xfId="4298" xr:uid="{00000000-0005-0000-0000-0000C5100000}"/>
    <cellStyle name="Comma 30 2 2" xfId="4299" xr:uid="{00000000-0005-0000-0000-0000C6100000}"/>
    <cellStyle name="Comma 30 2 3" xfId="4300" xr:uid="{00000000-0005-0000-0000-0000C7100000}"/>
    <cellStyle name="Comma 30 3" xfId="4301" xr:uid="{00000000-0005-0000-0000-0000C8100000}"/>
    <cellStyle name="Comma 30 4" xfId="4302" xr:uid="{00000000-0005-0000-0000-0000C9100000}"/>
    <cellStyle name="Comma 31" xfId="4303" xr:uid="{00000000-0005-0000-0000-0000CA100000}"/>
    <cellStyle name="Comma 31 10" xfId="4304" xr:uid="{00000000-0005-0000-0000-0000CB100000}"/>
    <cellStyle name="Comma 31 10 2" xfId="4305" xr:uid="{00000000-0005-0000-0000-0000CC100000}"/>
    <cellStyle name="Comma 31 10 2 2" xfId="4306" xr:uid="{00000000-0005-0000-0000-0000CD100000}"/>
    <cellStyle name="Comma 31 10 2 3" xfId="4307" xr:uid="{00000000-0005-0000-0000-0000CE100000}"/>
    <cellStyle name="Comma 31 10 3" xfId="4308" xr:uid="{00000000-0005-0000-0000-0000CF100000}"/>
    <cellStyle name="Comma 31 10 4" xfId="4309" xr:uid="{00000000-0005-0000-0000-0000D0100000}"/>
    <cellStyle name="Comma 31 11" xfId="4310" xr:uid="{00000000-0005-0000-0000-0000D1100000}"/>
    <cellStyle name="Comma 31 11 2" xfId="4311" xr:uid="{00000000-0005-0000-0000-0000D2100000}"/>
    <cellStyle name="Comma 31 11 2 2" xfId="4312" xr:uid="{00000000-0005-0000-0000-0000D3100000}"/>
    <cellStyle name="Comma 31 11 2 3" xfId="4313" xr:uid="{00000000-0005-0000-0000-0000D4100000}"/>
    <cellStyle name="Comma 31 11 3" xfId="4314" xr:uid="{00000000-0005-0000-0000-0000D5100000}"/>
    <cellStyle name="Comma 31 11 4" xfId="4315" xr:uid="{00000000-0005-0000-0000-0000D6100000}"/>
    <cellStyle name="Comma 31 12" xfId="4316" xr:uid="{00000000-0005-0000-0000-0000D7100000}"/>
    <cellStyle name="Comma 31 12 2" xfId="4317" xr:uid="{00000000-0005-0000-0000-0000D8100000}"/>
    <cellStyle name="Comma 31 12 2 2" xfId="4318" xr:uid="{00000000-0005-0000-0000-0000D9100000}"/>
    <cellStyle name="Comma 31 12 2 3" xfId="4319" xr:uid="{00000000-0005-0000-0000-0000DA100000}"/>
    <cellStyle name="Comma 31 12 3" xfId="4320" xr:uid="{00000000-0005-0000-0000-0000DB100000}"/>
    <cellStyle name="Comma 31 12 4" xfId="4321" xr:uid="{00000000-0005-0000-0000-0000DC100000}"/>
    <cellStyle name="Comma 31 13" xfId="4322" xr:uid="{00000000-0005-0000-0000-0000DD100000}"/>
    <cellStyle name="Comma 31 13 2" xfId="4323" xr:uid="{00000000-0005-0000-0000-0000DE100000}"/>
    <cellStyle name="Comma 31 13 2 2" xfId="4324" xr:uid="{00000000-0005-0000-0000-0000DF100000}"/>
    <cellStyle name="Comma 31 13 2 3" xfId="4325" xr:uid="{00000000-0005-0000-0000-0000E0100000}"/>
    <cellStyle name="Comma 31 13 3" xfId="4326" xr:uid="{00000000-0005-0000-0000-0000E1100000}"/>
    <cellStyle name="Comma 31 13 4" xfId="4327" xr:uid="{00000000-0005-0000-0000-0000E2100000}"/>
    <cellStyle name="Comma 31 14" xfId="4328" xr:uid="{00000000-0005-0000-0000-0000E3100000}"/>
    <cellStyle name="Comma 31 14 2" xfId="4329" xr:uid="{00000000-0005-0000-0000-0000E4100000}"/>
    <cellStyle name="Comma 31 14 2 2" xfId="4330" xr:uid="{00000000-0005-0000-0000-0000E5100000}"/>
    <cellStyle name="Comma 31 14 2 3" xfId="4331" xr:uid="{00000000-0005-0000-0000-0000E6100000}"/>
    <cellStyle name="Comma 31 14 3" xfId="4332" xr:uid="{00000000-0005-0000-0000-0000E7100000}"/>
    <cellStyle name="Comma 31 14 4" xfId="4333" xr:uid="{00000000-0005-0000-0000-0000E8100000}"/>
    <cellStyle name="Comma 31 15" xfId="4334" xr:uid="{00000000-0005-0000-0000-0000E9100000}"/>
    <cellStyle name="Comma 31 15 2" xfId="4335" xr:uid="{00000000-0005-0000-0000-0000EA100000}"/>
    <cellStyle name="Comma 31 15 2 2" xfId="4336" xr:uid="{00000000-0005-0000-0000-0000EB100000}"/>
    <cellStyle name="Comma 31 15 2 3" xfId="4337" xr:uid="{00000000-0005-0000-0000-0000EC100000}"/>
    <cellStyle name="Comma 31 15 3" xfId="4338" xr:uid="{00000000-0005-0000-0000-0000ED100000}"/>
    <cellStyle name="Comma 31 15 4" xfId="4339" xr:uid="{00000000-0005-0000-0000-0000EE100000}"/>
    <cellStyle name="Comma 31 16" xfId="4340" xr:uid="{00000000-0005-0000-0000-0000EF100000}"/>
    <cellStyle name="Comma 31 16 2" xfId="4341" xr:uid="{00000000-0005-0000-0000-0000F0100000}"/>
    <cellStyle name="Comma 31 16 2 2" xfId="4342" xr:uid="{00000000-0005-0000-0000-0000F1100000}"/>
    <cellStyle name="Comma 31 16 2 3" xfId="4343" xr:uid="{00000000-0005-0000-0000-0000F2100000}"/>
    <cellStyle name="Comma 31 16 3" xfId="4344" xr:uid="{00000000-0005-0000-0000-0000F3100000}"/>
    <cellStyle name="Comma 31 16 4" xfId="4345" xr:uid="{00000000-0005-0000-0000-0000F4100000}"/>
    <cellStyle name="Comma 31 17" xfId="4346" xr:uid="{00000000-0005-0000-0000-0000F5100000}"/>
    <cellStyle name="Comma 31 17 2" xfId="4347" xr:uid="{00000000-0005-0000-0000-0000F6100000}"/>
    <cellStyle name="Comma 31 17 2 2" xfId="4348" xr:uid="{00000000-0005-0000-0000-0000F7100000}"/>
    <cellStyle name="Comma 31 17 2 3" xfId="4349" xr:uid="{00000000-0005-0000-0000-0000F8100000}"/>
    <cellStyle name="Comma 31 17 3" xfId="4350" xr:uid="{00000000-0005-0000-0000-0000F9100000}"/>
    <cellStyle name="Comma 31 17 4" xfId="4351" xr:uid="{00000000-0005-0000-0000-0000FA100000}"/>
    <cellStyle name="Comma 31 18" xfId="4352" xr:uid="{00000000-0005-0000-0000-0000FB100000}"/>
    <cellStyle name="Comma 31 18 2" xfId="4353" xr:uid="{00000000-0005-0000-0000-0000FC100000}"/>
    <cellStyle name="Comma 31 18 2 2" xfId="4354" xr:uid="{00000000-0005-0000-0000-0000FD100000}"/>
    <cellStyle name="Comma 31 18 2 3" xfId="4355" xr:uid="{00000000-0005-0000-0000-0000FE100000}"/>
    <cellStyle name="Comma 31 18 3" xfId="4356" xr:uid="{00000000-0005-0000-0000-0000FF100000}"/>
    <cellStyle name="Comma 31 18 4" xfId="4357" xr:uid="{00000000-0005-0000-0000-000000110000}"/>
    <cellStyle name="Comma 31 19" xfId="4358" xr:uid="{00000000-0005-0000-0000-000001110000}"/>
    <cellStyle name="Comma 31 19 2" xfId="4359" xr:uid="{00000000-0005-0000-0000-000002110000}"/>
    <cellStyle name="Comma 31 19 2 2" xfId="4360" xr:uid="{00000000-0005-0000-0000-000003110000}"/>
    <cellStyle name="Comma 31 19 2 3" xfId="4361" xr:uid="{00000000-0005-0000-0000-000004110000}"/>
    <cellStyle name="Comma 31 19 3" xfId="4362" xr:uid="{00000000-0005-0000-0000-000005110000}"/>
    <cellStyle name="Comma 31 19 4" xfId="4363" xr:uid="{00000000-0005-0000-0000-000006110000}"/>
    <cellStyle name="Comma 31 2" xfId="4364" xr:uid="{00000000-0005-0000-0000-000007110000}"/>
    <cellStyle name="Comma 31 2 2" xfId="4365" xr:uid="{00000000-0005-0000-0000-000008110000}"/>
    <cellStyle name="Comma 31 2 2 2" xfId="4366" xr:uid="{00000000-0005-0000-0000-000009110000}"/>
    <cellStyle name="Comma 31 2 2 3" xfId="4367" xr:uid="{00000000-0005-0000-0000-00000A110000}"/>
    <cellStyle name="Comma 31 2 3" xfId="4368" xr:uid="{00000000-0005-0000-0000-00000B110000}"/>
    <cellStyle name="Comma 31 2 4" xfId="4369" xr:uid="{00000000-0005-0000-0000-00000C110000}"/>
    <cellStyle name="Comma 31 20" xfId="4370" xr:uid="{00000000-0005-0000-0000-00000D110000}"/>
    <cellStyle name="Comma 31 20 2" xfId="4371" xr:uid="{00000000-0005-0000-0000-00000E110000}"/>
    <cellStyle name="Comma 31 20 2 2" xfId="4372" xr:uid="{00000000-0005-0000-0000-00000F110000}"/>
    <cellStyle name="Comma 31 20 2 3" xfId="4373" xr:uid="{00000000-0005-0000-0000-000010110000}"/>
    <cellStyle name="Comma 31 20 3" xfId="4374" xr:uid="{00000000-0005-0000-0000-000011110000}"/>
    <cellStyle name="Comma 31 20 4" xfId="4375" xr:uid="{00000000-0005-0000-0000-000012110000}"/>
    <cellStyle name="Comma 31 21" xfId="4376" xr:uid="{00000000-0005-0000-0000-000013110000}"/>
    <cellStyle name="Comma 31 21 2" xfId="4377" xr:uid="{00000000-0005-0000-0000-000014110000}"/>
    <cellStyle name="Comma 31 21 2 2" xfId="4378" xr:uid="{00000000-0005-0000-0000-000015110000}"/>
    <cellStyle name="Comma 31 21 2 3" xfId="4379" xr:uid="{00000000-0005-0000-0000-000016110000}"/>
    <cellStyle name="Comma 31 21 3" xfId="4380" xr:uid="{00000000-0005-0000-0000-000017110000}"/>
    <cellStyle name="Comma 31 21 4" xfId="4381" xr:uid="{00000000-0005-0000-0000-000018110000}"/>
    <cellStyle name="Comma 31 22" xfId="4382" xr:uid="{00000000-0005-0000-0000-000019110000}"/>
    <cellStyle name="Comma 31 22 2" xfId="4383" xr:uid="{00000000-0005-0000-0000-00001A110000}"/>
    <cellStyle name="Comma 31 22 2 2" xfId="4384" xr:uid="{00000000-0005-0000-0000-00001B110000}"/>
    <cellStyle name="Comma 31 22 2 3" xfId="4385" xr:uid="{00000000-0005-0000-0000-00001C110000}"/>
    <cellStyle name="Comma 31 22 3" xfId="4386" xr:uid="{00000000-0005-0000-0000-00001D110000}"/>
    <cellStyle name="Comma 31 22 4" xfId="4387" xr:uid="{00000000-0005-0000-0000-00001E110000}"/>
    <cellStyle name="Comma 31 23" xfId="4388" xr:uid="{00000000-0005-0000-0000-00001F110000}"/>
    <cellStyle name="Comma 31 23 2" xfId="4389" xr:uid="{00000000-0005-0000-0000-000020110000}"/>
    <cellStyle name="Comma 31 23 2 2" xfId="4390" xr:uid="{00000000-0005-0000-0000-000021110000}"/>
    <cellStyle name="Comma 31 23 2 3" xfId="4391" xr:uid="{00000000-0005-0000-0000-000022110000}"/>
    <cellStyle name="Comma 31 23 3" xfId="4392" xr:uid="{00000000-0005-0000-0000-000023110000}"/>
    <cellStyle name="Comma 31 23 4" xfId="4393" xr:uid="{00000000-0005-0000-0000-000024110000}"/>
    <cellStyle name="Comma 31 24" xfId="4394" xr:uid="{00000000-0005-0000-0000-000025110000}"/>
    <cellStyle name="Comma 31 24 2" xfId="4395" xr:uid="{00000000-0005-0000-0000-000026110000}"/>
    <cellStyle name="Comma 31 24 3" xfId="4396" xr:uid="{00000000-0005-0000-0000-000027110000}"/>
    <cellStyle name="Comma 31 25" xfId="4397" xr:uid="{00000000-0005-0000-0000-000028110000}"/>
    <cellStyle name="Comma 31 26" xfId="4398" xr:uid="{00000000-0005-0000-0000-000029110000}"/>
    <cellStyle name="Comma 31 3" xfId="4399" xr:uid="{00000000-0005-0000-0000-00002A110000}"/>
    <cellStyle name="Comma 31 3 2" xfId="4400" xr:uid="{00000000-0005-0000-0000-00002B110000}"/>
    <cellStyle name="Comma 31 3 2 2" xfId="4401" xr:uid="{00000000-0005-0000-0000-00002C110000}"/>
    <cellStyle name="Comma 31 3 2 3" xfId="4402" xr:uid="{00000000-0005-0000-0000-00002D110000}"/>
    <cellStyle name="Comma 31 3 3" xfId="4403" xr:uid="{00000000-0005-0000-0000-00002E110000}"/>
    <cellStyle name="Comma 31 3 4" xfId="4404" xr:uid="{00000000-0005-0000-0000-00002F110000}"/>
    <cellStyle name="Comma 31 4" xfId="4405" xr:uid="{00000000-0005-0000-0000-000030110000}"/>
    <cellStyle name="Comma 31 4 2" xfId="4406" xr:uid="{00000000-0005-0000-0000-000031110000}"/>
    <cellStyle name="Comma 31 4 2 2" xfId="4407" xr:uid="{00000000-0005-0000-0000-000032110000}"/>
    <cellStyle name="Comma 31 4 2 3" xfId="4408" xr:uid="{00000000-0005-0000-0000-000033110000}"/>
    <cellStyle name="Comma 31 4 3" xfId="4409" xr:uid="{00000000-0005-0000-0000-000034110000}"/>
    <cellStyle name="Comma 31 4 4" xfId="4410" xr:uid="{00000000-0005-0000-0000-000035110000}"/>
    <cellStyle name="Comma 31 5" xfId="4411" xr:uid="{00000000-0005-0000-0000-000036110000}"/>
    <cellStyle name="Comma 31 5 2" xfId="4412" xr:uid="{00000000-0005-0000-0000-000037110000}"/>
    <cellStyle name="Comma 31 5 2 2" xfId="4413" xr:uid="{00000000-0005-0000-0000-000038110000}"/>
    <cellStyle name="Comma 31 5 2 3" xfId="4414" xr:uid="{00000000-0005-0000-0000-000039110000}"/>
    <cellStyle name="Comma 31 5 3" xfId="4415" xr:uid="{00000000-0005-0000-0000-00003A110000}"/>
    <cellStyle name="Comma 31 5 4" xfId="4416" xr:uid="{00000000-0005-0000-0000-00003B110000}"/>
    <cellStyle name="Comma 31 6" xfId="4417" xr:uid="{00000000-0005-0000-0000-00003C110000}"/>
    <cellStyle name="Comma 31 6 2" xfId="4418" xr:uid="{00000000-0005-0000-0000-00003D110000}"/>
    <cellStyle name="Comma 31 6 2 2" xfId="4419" xr:uid="{00000000-0005-0000-0000-00003E110000}"/>
    <cellStyle name="Comma 31 6 2 3" xfId="4420" xr:uid="{00000000-0005-0000-0000-00003F110000}"/>
    <cellStyle name="Comma 31 6 3" xfId="4421" xr:uid="{00000000-0005-0000-0000-000040110000}"/>
    <cellStyle name="Comma 31 6 4" xfId="4422" xr:uid="{00000000-0005-0000-0000-000041110000}"/>
    <cellStyle name="Comma 31 7" xfId="4423" xr:uid="{00000000-0005-0000-0000-000042110000}"/>
    <cellStyle name="Comma 31 7 2" xfId="4424" xr:uid="{00000000-0005-0000-0000-000043110000}"/>
    <cellStyle name="Comma 31 7 2 2" xfId="4425" xr:uid="{00000000-0005-0000-0000-000044110000}"/>
    <cellStyle name="Comma 31 7 2 3" xfId="4426" xr:uid="{00000000-0005-0000-0000-000045110000}"/>
    <cellStyle name="Comma 31 7 3" xfId="4427" xr:uid="{00000000-0005-0000-0000-000046110000}"/>
    <cellStyle name="Comma 31 7 4" xfId="4428" xr:uid="{00000000-0005-0000-0000-000047110000}"/>
    <cellStyle name="Comma 31 8" xfId="4429" xr:uid="{00000000-0005-0000-0000-000048110000}"/>
    <cellStyle name="Comma 31 8 2" xfId="4430" xr:uid="{00000000-0005-0000-0000-000049110000}"/>
    <cellStyle name="Comma 31 8 2 2" xfId="4431" xr:uid="{00000000-0005-0000-0000-00004A110000}"/>
    <cellStyle name="Comma 31 8 2 3" xfId="4432" xr:uid="{00000000-0005-0000-0000-00004B110000}"/>
    <cellStyle name="Comma 31 8 3" xfId="4433" xr:uid="{00000000-0005-0000-0000-00004C110000}"/>
    <cellStyle name="Comma 31 8 4" xfId="4434" xr:uid="{00000000-0005-0000-0000-00004D110000}"/>
    <cellStyle name="Comma 31 9" xfId="4435" xr:uid="{00000000-0005-0000-0000-00004E110000}"/>
    <cellStyle name="Comma 31 9 2" xfId="4436" xr:uid="{00000000-0005-0000-0000-00004F110000}"/>
    <cellStyle name="Comma 31 9 2 2" xfId="4437" xr:uid="{00000000-0005-0000-0000-000050110000}"/>
    <cellStyle name="Comma 31 9 2 3" xfId="4438" xr:uid="{00000000-0005-0000-0000-000051110000}"/>
    <cellStyle name="Comma 31 9 3" xfId="4439" xr:uid="{00000000-0005-0000-0000-000052110000}"/>
    <cellStyle name="Comma 31 9 4" xfId="4440" xr:uid="{00000000-0005-0000-0000-000053110000}"/>
    <cellStyle name="Comma 32" xfId="4441" xr:uid="{00000000-0005-0000-0000-000054110000}"/>
    <cellStyle name="Comma 32 10" xfId="4442" xr:uid="{00000000-0005-0000-0000-000055110000}"/>
    <cellStyle name="Comma 32 10 2" xfId="4443" xr:uid="{00000000-0005-0000-0000-000056110000}"/>
    <cellStyle name="Comma 32 10 2 2" xfId="4444" xr:uid="{00000000-0005-0000-0000-000057110000}"/>
    <cellStyle name="Comma 32 10 2 3" xfId="4445" xr:uid="{00000000-0005-0000-0000-000058110000}"/>
    <cellStyle name="Comma 32 10 3" xfId="4446" xr:uid="{00000000-0005-0000-0000-000059110000}"/>
    <cellStyle name="Comma 32 10 4" xfId="4447" xr:uid="{00000000-0005-0000-0000-00005A110000}"/>
    <cellStyle name="Comma 32 11" xfId="4448" xr:uid="{00000000-0005-0000-0000-00005B110000}"/>
    <cellStyle name="Comma 32 11 2" xfId="4449" xr:uid="{00000000-0005-0000-0000-00005C110000}"/>
    <cellStyle name="Comma 32 11 2 2" xfId="4450" xr:uid="{00000000-0005-0000-0000-00005D110000}"/>
    <cellStyle name="Comma 32 11 2 3" xfId="4451" xr:uid="{00000000-0005-0000-0000-00005E110000}"/>
    <cellStyle name="Comma 32 11 3" xfId="4452" xr:uid="{00000000-0005-0000-0000-00005F110000}"/>
    <cellStyle name="Comma 32 11 4" xfId="4453" xr:uid="{00000000-0005-0000-0000-000060110000}"/>
    <cellStyle name="Comma 32 12" xfId="4454" xr:uid="{00000000-0005-0000-0000-000061110000}"/>
    <cellStyle name="Comma 32 12 2" xfId="4455" xr:uid="{00000000-0005-0000-0000-000062110000}"/>
    <cellStyle name="Comma 32 12 2 2" xfId="4456" xr:uid="{00000000-0005-0000-0000-000063110000}"/>
    <cellStyle name="Comma 32 12 2 3" xfId="4457" xr:uid="{00000000-0005-0000-0000-000064110000}"/>
    <cellStyle name="Comma 32 12 3" xfId="4458" xr:uid="{00000000-0005-0000-0000-000065110000}"/>
    <cellStyle name="Comma 32 12 4" xfId="4459" xr:uid="{00000000-0005-0000-0000-000066110000}"/>
    <cellStyle name="Comma 32 13" xfId="4460" xr:uid="{00000000-0005-0000-0000-000067110000}"/>
    <cellStyle name="Comma 32 13 2" xfId="4461" xr:uid="{00000000-0005-0000-0000-000068110000}"/>
    <cellStyle name="Comma 32 13 2 2" xfId="4462" xr:uid="{00000000-0005-0000-0000-000069110000}"/>
    <cellStyle name="Comma 32 13 2 3" xfId="4463" xr:uid="{00000000-0005-0000-0000-00006A110000}"/>
    <cellStyle name="Comma 32 13 3" xfId="4464" xr:uid="{00000000-0005-0000-0000-00006B110000}"/>
    <cellStyle name="Comma 32 13 4" xfId="4465" xr:uid="{00000000-0005-0000-0000-00006C110000}"/>
    <cellStyle name="Comma 32 14" xfId="4466" xr:uid="{00000000-0005-0000-0000-00006D110000}"/>
    <cellStyle name="Comma 32 14 2" xfId="4467" xr:uid="{00000000-0005-0000-0000-00006E110000}"/>
    <cellStyle name="Comma 32 14 2 2" xfId="4468" xr:uid="{00000000-0005-0000-0000-00006F110000}"/>
    <cellStyle name="Comma 32 14 2 3" xfId="4469" xr:uid="{00000000-0005-0000-0000-000070110000}"/>
    <cellStyle name="Comma 32 14 3" xfId="4470" xr:uid="{00000000-0005-0000-0000-000071110000}"/>
    <cellStyle name="Comma 32 14 4" xfId="4471" xr:uid="{00000000-0005-0000-0000-000072110000}"/>
    <cellStyle name="Comma 32 15" xfId="4472" xr:uid="{00000000-0005-0000-0000-000073110000}"/>
    <cellStyle name="Comma 32 15 2" xfId="4473" xr:uid="{00000000-0005-0000-0000-000074110000}"/>
    <cellStyle name="Comma 32 15 2 2" xfId="4474" xr:uid="{00000000-0005-0000-0000-000075110000}"/>
    <cellStyle name="Comma 32 15 2 3" xfId="4475" xr:uid="{00000000-0005-0000-0000-000076110000}"/>
    <cellStyle name="Comma 32 15 3" xfId="4476" xr:uid="{00000000-0005-0000-0000-000077110000}"/>
    <cellStyle name="Comma 32 15 4" xfId="4477" xr:uid="{00000000-0005-0000-0000-000078110000}"/>
    <cellStyle name="Comma 32 16" xfId="4478" xr:uid="{00000000-0005-0000-0000-000079110000}"/>
    <cellStyle name="Comma 32 16 2" xfId="4479" xr:uid="{00000000-0005-0000-0000-00007A110000}"/>
    <cellStyle name="Comma 32 16 2 2" xfId="4480" xr:uid="{00000000-0005-0000-0000-00007B110000}"/>
    <cellStyle name="Comma 32 16 2 3" xfId="4481" xr:uid="{00000000-0005-0000-0000-00007C110000}"/>
    <cellStyle name="Comma 32 16 3" xfId="4482" xr:uid="{00000000-0005-0000-0000-00007D110000}"/>
    <cellStyle name="Comma 32 16 4" xfId="4483" xr:uid="{00000000-0005-0000-0000-00007E110000}"/>
    <cellStyle name="Comma 32 17" xfId="4484" xr:uid="{00000000-0005-0000-0000-00007F110000}"/>
    <cellStyle name="Comma 32 17 2" xfId="4485" xr:uid="{00000000-0005-0000-0000-000080110000}"/>
    <cellStyle name="Comma 32 17 2 2" xfId="4486" xr:uid="{00000000-0005-0000-0000-000081110000}"/>
    <cellStyle name="Comma 32 17 2 3" xfId="4487" xr:uid="{00000000-0005-0000-0000-000082110000}"/>
    <cellStyle name="Comma 32 17 3" xfId="4488" xr:uid="{00000000-0005-0000-0000-000083110000}"/>
    <cellStyle name="Comma 32 17 4" xfId="4489" xr:uid="{00000000-0005-0000-0000-000084110000}"/>
    <cellStyle name="Comma 32 18" xfId="4490" xr:uid="{00000000-0005-0000-0000-000085110000}"/>
    <cellStyle name="Comma 32 18 2" xfId="4491" xr:uid="{00000000-0005-0000-0000-000086110000}"/>
    <cellStyle name="Comma 32 18 2 2" xfId="4492" xr:uid="{00000000-0005-0000-0000-000087110000}"/>
    <cellStyle name="Comma 32 18 2 3" xfId="4493" xr:uid="{00000000-0005-0000-0000-000088110000}"/>
    <cellStyle name="Comma 32 18 3" xfId="4494" xr:uid="{00000000-0005-0000-0000-000089110000}"/>
    <cellStyle name="Comma 32 18 4" xfId="4495" xr:uid="{00000000-0005-0000-0000-00008A110000}"/>
    <cellStyle name="Comma 32 19" xfId="4496" xr:uid="{00000000-0005-0000-0000-00008B110000}"/>
    <cellStyle name="Comma 32 19 2" xfId="4497" xr:uid="{00000000-0005-0000-0000-00008C110000}"/>
    <cellStyle name="Comma 32 19 2 2" xfId="4498" xr:uid="{00000000-0005-0000-0000-00008D110000}"/>
    <cellStyle name="Comma 32 19 2 3" xfId="4499" xr:uid="{00000000-0005-0000-0000-00008E110000}"/>
    <cellStyle name="Comma 32 19 3" xfId="4500" xr:uid="{00000000-0005-0000-0000-00008F110000}"/>
    <cellStyle name="Comma 32 19 4" xfId="4501" xr:uid="{00000000-0005-0000-0000-000090110000}"/>
    <cellStyle name="Comma 32 2" xfId="4502" xr:uid="{00000000-0005-0000-0000-000091110000}"/>
    <cellStyle name="Comma 32 2 2" xfId="4503" xr:uid="{00000000-0005-0000-0000-000092110000}"/>
    <cellStyle name="Comma 32 2 2 2" xfId="4504" xr:uid="{00000000-0005-0000-0000-000093110000}"/>
    <cellStyle name="Comma 32 2 2 3" xfId="4505" xr:uid="{00000000-0005-0000-0000-000094110000}"/>
    <cellStyle name="Comma 32 2 3" xfId="4506" xr:uid="{00000000-0005-0000-0000-000095110000}"/>
    <cellStyle name="Comma 32 2 4" xfId="4507" xr:uid="{00000000-0005-0000-0000-000096110000}"/>
    <cellStyle name="Comma 32 20" xfId="4508" xr:uid="{00000000-0005-0000-0000-000097110000}"/>
    <cellStyle name="Comma 32 20 2" xfId="4509" xr:uid="{00000000-0005-0000-0000-000098110000}"/>
    <cellStyle name="Comma 32 20 2 2" xfId="4510" xr:uid="{00000000-0005-0000-0000-000099110000}"/>
    <cellStyle name="Comma 32 20 2 3" xfId="4511" xr:uid="{00000000-0005-0000-0000-00009A110000}"/>
    <cellStyle name="Comma 32 20 3" xfId="4512" xr:uid="{00000000-0005-0000-0000-00009B110000}"/>
    <cellStyle name="Comma 32 20 4" xfId="4513" xr:uid="{00000000-0005-0000-0000-00009C110000}"/>
    <cellStyle name="Comma 32 21" xfId="4514" xr:uid="{00000000-0005-0000-0000-00009D110000}"/>
    <cellStyle name="Comma 32 21 2" xfId="4515" xr:uid="{00000000-0005-0000-0000-00009E110000}"/>
    <cellStyle name="Comma 32 21 2 2" xfId="4516" xr:uid="{00000000-0005-0000-0000-00009F110000}"/>
    <cellStyle name="Comma 32 21 2 3" xfId="4517" xr:uid="{00000000-0005-0000-0000-0000A0110000}"/>
    <cellStyle name="Comma 32 21 3" xfId="4518" xr:uid="{00000000-0005-0000-0000-0000A1110000}"/>
    <cellStyle name="Comma 32 21 4" xfId="4519" xr:uid="{00000000-0005-0000-0000-0000A2110000}"/>
    <cellStyle name="Comma 32 22" xfId="4520" xr:uid="{00000000-0005-0000-0000-0000A3110000}"/>
    <cellStyle name="Comma 32 22 2" xfId="4521" xr:uid="{00000000-0005-0000-0000-0000A4110000}"/>
    <cellStyle name="Comma 32 22 2 2" xfId="4522" xr:uid="{00000000-0005-0000-0000-0000A5110000}"/>
    <cellStyle name="Comma 32 22 2 3" xfId="4523" xr:uid="{00000000-0005-0000-0000-0000A6110000}"/>
    <cellStyle name="Comma 32 22 3" xfId="4524" xr:uid="{00000000-0005-0000-0000-0000A7110000}"/>
    <cellStyle name="Comma 32 22 4" xfId="4525" xr:uid="{00000000-0005-0000-0000-0000A8110000}"/>
    <cellStyle name="Comma 32 23" xfId="4526" xr:uid="{00000000-0005-0000-0000-0000A9110000}"/>
    <cellStyle name="Comma 32 23 2" xfId="4527" xr:uid="{00000000-0005-0000-0000-0000AA110000}"/>
    <cellStyle name="Comma 32 23 2 2" xfId="4528" xr:uid="{00000000-0005-0000-0000-0000AB110000}"/>
    <cellStyle name="Comma 32 23 2 3" xfId="4529" xr:uid="{00000000-0005-0000-0000-0000AC110000}"/>
    <cellStyle name="Comma 32 23 3" xfId="4530" xr:uid="{00000000-0005-0000-0000-0000AD110000}"/>
    <cellStyle name="Comma 32 23 4" xfId="4531" xr:uid="{00000000-0005-0000-0000-0000AE110000}"/>
    <cellStyle name="Comma 32 24" xfId="4532" xr:uid="{00000000-0005-0000-0000-0000AF110000}"/>
    <cellStyle name="Comma 32 24 2" xfId="4533" xr:uid="{00000000-0005-0000-0000-0000B0110000}"/>
    <cellStyle name="Comma 32 24 3" xfId="4534" xr:uid="{00000000-0005-0000-0000-0000B1110000}"/>
    <cellStyle name="Comma 32 25" xfId="4535" xr:uid="{00000000-0005-0000-0000-0000B2110000}"/>
    <cellStyle name="Comma 32 26" xfId="4536" xr:uid="{00000000-0005-0000-0000-0000B3110000}"/>
    <cellStyle name="Comma 32 3" xfId="4537" xr:uid="{00000000-0005-0000-0000-0000B4110000}"/>
    <cellStyle name="Comma 32 3 2" xfId="4538" xr:uid="{00000000-0005-0000-0000-0000B5110000}"/>
    <cellStyle name="Comma 32 3 2 2" xfId="4539" xr:uid="{00000000-0005-0000-0000-0000B6110000}"/>
    <cellStyle name="Comma 32 3 2 3" xfId="4540" xr:uid="{00000000-0005-0000-0000-0000B7110000}"/>
    <cellStyle name="Comma 32 3 3" xfId="4541" xr:uid="{00000000-0005-0000-0000-0000B8110000}"/>
    <cellStyle name="Comma 32 3 4" xfId="4542" xr:uid="{00000000-0005-0000-0000-0000B9110000}"/>
    <cellStyle name="Comma 32 4" xfId="4543" xr:uid="{00000000-0005-0000-0000-0000BA110000}"/>
    <cellStyle name="Comma 32 4 2" xfId="4544" xr:uid="{00000000-0005-0000-0000-0000BB110000}"/>
    <cellStyle name="Comma 32 4 2 2" xfId="4545" xr:uid="{00000000-0005-0000-0000-0000BC110000}"/>
    <cellStyle name="Comma 32 4 2 3" xfId="4546" xr:uid="{00000000-0005-0000-0000-0000BD110000}"/>
    <cellStyle name="Comma 32 4 3" xfId="4547" xr:uid="{00000000-0005-0000-0000-0000BE110000}"/>
    <cellStyle name="Comma 32 4 4" xfId="4548" xr:uid="{00000000-0005-0000-0000-0000BF110000}"/>
    <cellStyle name="Comma 32 5" xfId="4549" xr:uid="{00000000-0005-0000-0000-0000C0110000}"/>
    <cellStyle name="Comma 32 5 2" xfId="4550" xr:uid="{00000000-0005-0000-0000-0000C1110000}"/>
    <cellStyle name="Comma 32 5 2 2" xfId="4551" xr:uid="{00000000-0005-0000-0000-0000C2110000}"/>
    <cellStyle name="Comma 32 5 2 3" xfId="4552" xr:uid="{00000000-0005-0000-0000-0000C3110000}"/>
    <cellStyle name="Comma 32 5 3" xfId="4553" xr:uid="{00000000-0005-0000-0000-0000C4110000}"/>
    <cellStyle name="Comma 32 5 4" xfId="4554" xr:uid="{00000000-0005-0000-0000-0000C5110000}"/>
    <cellStyle name="Comma 32 6" xfId="4555" xr:uid="{00000000-0005-0000-0000-0000C6110000}"/>
    <cellStyle name="Comma 32 6 2" xfId="4556" xr:uid="{00000000-0005-0000-0000-0000C7110000}"/>
    <cellStyle name="Comma 32 6 2 2" xfId="4557" xr:uid="{00000000-0005-0000-0000-0000C8110000}"/>
    <cellStyle name="Comma 32 6 2 3" xfId="4558" xr:uid="{00000000-0005-0000-0000-0000C9110000}"/>
    <cellStyle name="Comma 32 6 3" xfId="4559" xr:uid="{00000000-0005-0000-0000-0000CA110000}"/>
    <cellStyle name="Comma 32 6 4" xfId="4560" xr:uid="{00000000-0005-0000-0000-0000CB110000}"/>
    <cellStyle name="Comma 32 7" xfId="4561" xr:uid="{00000000-0005-0000-0000-0000CC110000}"/>
    <cellStyle name="Comma 32 7 2" xfId="4562" xr:uid="{00000000-0005-0000-0000-0000CD110000}"/>
    <cellStyle name="Comma 32 7 2 2" xfId="4563" xr:uid="{00000000-0005-0000-0000-0000CE110000}"/>
    <cellStyle name="Comma 32 7 2 3" xfId="4564" xr:uid="{00000000-0005-0000-0000-0000CF110000}"/>
    <cellStyle name="Comma 32 7 3" xfId="4565" xr:uid="{00000000-0005-0000-0000-0000D0110000}"/>
    <cellStyle name="Comma 32 7 4" xfId="4566" xr:uid="{00000000-0005-0000-0000-0000D1110000}"/>
    <cellStyle name="Comma 32 8" xfId="4567" xr:uid="{00000000-0005-0000-0000-0000D2110000}"/>
    <cellStyle name="Comma 32 8 2" xfId="4568" xr:uid="{00000000-0005-0000-0000-0000D3110000}"/>
    <cellStyle name="Comma 32 8 2 2" xfId="4569" xr:uid="{00000000-0005-0000-0000-0000D4110000}"/>
    <cellStyle name="Comma 32 8 2 3" xfId="4570" xr:uid="{00000000-0005-0000-0000-0000D5110000}"/>
    <cellStyle name="Comma 32 8 3" xfId="4571" xr:uid="{00000000-0005-0000-0000-0000D6110000}"/>
    <cellStyle name="Comma 32 8 4" xfId="4572" xr:uid="{00000000-0005-0000-0000-0000D7110000}"/>
    <cellStyle name="Comma 32 9" xfId="4573" xr:uid="{00000000-0005-0000-0000-0000D8110000}"/>
    <cellStyle name="Comma 32 9 2" xfId="4574" xr:uid="{00000000-0005-0000-0000-0000D9110000}"/>
    <cellStyle name="Comma 32 9 2 2" xfId="4575" xr:uid="{00000000-0005-0000-0000-0000DA110000}"/>
    <cellStyle name="Comma 32 9 2 3" xfId="4576" xr:uid="{00000000-0005-0000-0000-0000DB110000}"/>
    <cellStyle name="Comma 32 9 3" xfId="4577" xr:uid="{00000000-0005-0000-0000-0000DC110000}"/>
    <cellStyle name="Comma 32 9 4" xfId="4578" xr:uid="{00000000-0005-0000-0000-0000DD110000}"/>
    <cellStyle name="Comma 33" xfId="4579" xr:uid="{00000000-0005-0000-0000-0000DE110000}"/>
    <cellStyle name="Comma 33 10" xfId="4580" xr:uid="{00000000-0005-0000-0000-0000DF110000}"/>
    <cellStyle name="Comma 33 10 2" xfId="4581" xr:uid="{00000000-0005-0000-0000-0000E0110000}"/>
    <cellStyle name="Comma 33 10 2 2" xfId="4582" xr:uid="{00000000-0005-0000-0000-0000E1110000}"/>
    <cellStyle name="Comma 33 10 2 3" xfId="4583" xr:uid="{00000000-0005-0000-0000-0000E2110000}"/>
    <cellStyle name="Comma 33 10 3" xfId="4584" xr:uid="{00000000-0005-0000-0000-0000E3110000}"/>
    <cellStyle name="Comma 33 10 4" xfId="4585" xr:uid="{00000000-0005-0000-0000-0000E4110000}"/>
    <cellStyle name="Comma 33 11" xfId="4586" xr:uid="{00000000-0005-0000-0000-0000E5110000}"/>
    <cellStyle name="Comma 33 11 2" xfId="4587" xr:uid="{00000000-0005-0000-0000-0000E6110000}"/>
    <cellStyle name="Comma 33 11 2 2" xfId="4588" xr:uid="{00000000-0005-0000-0000-0000E7110000}"/>
    <cellStyle name="Comma 33 11 2 3" xfId="4589" xr:uid="{00000000-0005-0000-0000-0000E8110000}"/>
    <cellStyle name="Comma 33 11 3" xfId="4590" xr:uid="{00000000-0005-0000-0000-0000E9110000}"/>
    <cellStyle name="Comma 33 11 4" xfId="4591" xr:uid="{00000000-0005-0000-0000-0000EA110000}"/>
    <cellStyle name="Comma 33 12" xfId="4592" xr:uid="{00000000-0005-0000-0000-0000EB110000}"/>
    <cellStyle name="Comma 33 12 2" xfId="4593" xr:uid="{00000000-0005-0000-0000-0000EC110000}"/>
    <cellStyle name="Comma 33 12 2 2" xfId="4594" xr:uid="{00000000-0005-0000-0000-0000ED110000}"/>
    <cellStyle name="Comma 33 12 2 3" xfId="4595" xr:uid="{00000000-0005-0000-0000-0000EE110000}"/>
    <cellStyle name="Comma 33 12 3" xfId="4596" xr:uid="{00000000-0005-0000-0000-0000EF110000}"/>
    <cellStyle name="Comma 33 12 4" xfId="4597" xr:uid="{00000000-0005-0000-0000-0000F0110000}"/>
    <cellStyle name="Comma 33 13" xfId="4598" xr:uid="{00000000-0005-0000-0000-0000F1110000}"/>
    <cellStyle name="Comma 33 13 2" xfId="4599" xr:uid="{00000000-0005-0000-0000-0000F2110000}"/>
    <cellStyle name="Comma 33 13 2 2" xfId="4600" xr:uid="{00000000-0005-0000-0000-0000F3110000}"/>
    <cellStyle name="Comma 33 13 2 3" xfId="4601" xr:uid="{00000000-0005-0000-0000-0000F4110000}"/>
    <cellStyle name="Comma 33 13 3" xfId="4602" xr:uid="{00000000-0005-0000-0000-0000F5110000}"/>
    <cellStyle name="Comma 33 13 4" xfId="4603" xr:uid="{00000000-0005-0000-0000-0000F6110000}"/>
    <cellStyle name="Comma 33 14" xfId="4604" xr:uid="{00000000-0005-0000-0000-0000F7110000}"/>
    <cellStyle name="Comma 33 14 2" xfId="4605" xr:uid="{00000000-0005-0000-0000-0000F8110000}"/>
    <cellStyle name="Comma 33 14 2 2" xfId="4606" xr:uid="{00000000-0005-0000-0000-0000F9110000}"/>
    <cellStyle name="Comma 33 14 2 3" xfId="4607" xr:uid="{00000000-0005-0000-0000-0000FA110000}"/>
    <cellStyle name="Comma 33 14 3" xfId="4608" xr:uid="{00000000-0005-0000-0000-0000FB110000}"/>
    <cellStyle name="Comma 33 14 4" xfId="4609" xr:uid="{00000000-0005-0000-0000-0000FC110000}"/>
    <cellStyle name="Comma 33 15" xfId="4610" xr:uid="{00000000-0005-0000-0000-0000FD110000}"/>
    <cellStyle name="Comma 33 15 2" xfId="4611" xr:uid="{00000000-0005-0000-0000-0000FE110000}"/>
    <cellStyle name="Comma 33 15 2 2" xfId="4612" xr:uid="{00000000-0005-0000-0000-0000FF110000}"/>
    <cellStyle name="Comma 33 15 2 3" xfId="4613" xr:uid="{00000000-0005-0000-0000-000000120000}"/>
    <cellStyle name="Comma 33 15 3" xfId="4614" xr:uid="{00000000-0005-0000-0000-000001120000}"/>
    <cellStyle name="Comma 33 15 4" xfId="4615" xr:uid="{00000000-0005-0000-0000-000002120000}"/>
    <cellStyle name="Comma 33 16" xfId="4616" xr:uid="{00000000-0005-0000-0000-000003120000}"/>
    <cellStyle name="Comma 33 16 2" xfId="4617" xr:uid="{00000000-0005-0000-0000-000004120000}"/>
    <cellStyle name="Comma 33 16 2 2" xfId="4618" xr:uid="{00000000-0005-0000-0000-000005120000}"/>
    <cellStyle name="Comma 33 16 2 3" xfId="4619" xr:uid="{00000000-0005-0000-0000-000006120000}"/>
    <cellStyle name="Comma 33 16 3" xfId="4620" xr:uid="{00000000-0005-0000-0000-000007120000}"/>
    <cellStyle name="Comma 33 16 4" xfId="4621" xr:uid="{00000000-0005-0000-0000-000008120000}"/>
    <cellStyle name="Comma 33 17" xfId="4622" xr:uid="{00000000-0005-0000-0000-000009120000}"/>
    <cellStyle name="Comma 33 17 2" xfId="4623" xr:uid="{00000000-0005-0000-0000-00000A120000}"/>
    <cellStyle name="Comma 33 17 2 2" xfId="4624" xr:uid="{00000000-0005-0000-0000-00000B120000}"/>
    <cellStyle name="Comma 33 17 2 3" xfId="4625" xr:uid="{00000000-0005-0000-0000-00000C120000}"/>
    <cellStyle name="Comma 33 17 3" xfId="4626" xr:uid="{00000000-0005-0000-0000-00000D120000}"/>
    <cellStyle name="Comma 33 17 4" xfId="4627" xr:uid="{00000000-0005-0000-0000-00000E120000}"/>
    <cellStyle name="Comma 33 18" xfId="4628" xr:uid="{00000000-0005-0000-0000-00000F120000}"/>
    <cellStyle name="Comma 33 18 2" xfId="4629" xr:uid="{00000000-0005-0000-0000-000010120000}"/>
    <cellStyle name="Comma 33 18 2 2" xfId="4630" xr:uid="{00000000-0005-0000-0000-000011120000}"/>
    <cellStyle name="Comma 33 18 2 3" xfId="4631" xr:uid="{00000000-0005-0000-0000-000012120000}"/>
    <cellStyle name="Comma 33 18 3" xfId="4632" xr:uid="{00000000-0005-0000-0000-000013120000}"/>
    <cellStyle name="Comma 33 18 4" xfId="4633" xr:uid="{00000000-0005-0000-0000-000014120000}"/>
    <cellStyle name="Comma 33 19" xfId="4634" xr:uid="{00000000-0005-0000-0000-000015120000}"/>
    <cellStyle name="Comma 33 19 2" xfId="4635" xr:uid="{00000000-0005-0000-0000-000016120000}"/>
    <cellStyle name="Comma 33 19 2 2" xfId="4636" xr:uid="{00000000-0005-0000-0000-000017120000}"/>
    <cellStyle name="Comma 33 19 2 3" xfId="4637" xr:uid="{00000000-0005-0000-0000-000018120000}"/>
    <cellStyle name="Comma 33 19 3" xfId="4638" xr:uid="{00000000-0005-0000-0000-000019120000}"/>
    <cellStyle name="Comma 33 19 4" xfId="4639" xr:uid="{00000000-0005-0000-0000-00001A120000}"/>
    <cellStyle name="Comma 33 2" xfId="4640" xr:uid="{00000000-0005-0000-0000-00001B120000}"/>
    <cellStyle name="Comma 33 2 2" xfId="4641" xr:uid="{00000000-0005-0000-0000-00001C120000}"/>
    <cellStyle name="Comma 33 2 2 2" xfId="4642" xr:uid="{00000000-0005-0000-0000-00001D120000}"/>
    <cellStyle name="Comma 33 2 2 3" xfId="4643" xr:uid="{00000000-0005-0000-0000-00001E120000}"/>
    <cellStyle name="Comma 33 2 3" xfId="4644" xr:uid="{00000000-0005-0000-0000-00001F120000}"/>
    <cellStyle name="Comma 33 2 4" xfId="4645" xr:uid="{00000000-0005-0000-0000-000020120000}"/>
    <cellStyle name="Comma 33 20" xfId="4646" xr:uid="{00000000-0005-0000-0000-000021120000}"/>
    <cellStyle name="Comma 33 20 2" xfId="4647" xr:uid="{00000000-0005-0000-0000-000022120000}"/>
    <cellStyle name="Comma 33 20 2 2" xfId="4648" xr:uid="{00000000-0005-0000-0000-000023120000}"/>
    <cellStyle name="Comma 33 20 2 3" xfId="4649" xr:uid="{00000000-0005-0000-0000-000024120000}"/>
    <cellStyle name="Comma 33 20 3" xfId="4650" xr:uid="{00000000-0005-0000-0000-000025120000}"/>
    <cellStyle name="Comma 33 20 4" xfId="4651" xr:uid="{00000000-0005-0000-0000-000026120000}"/>
    <cellStyle name="Comma 33 21" xfId="4652" xr:uid="{00000000-0005-0000-0000-000027120000}"/>
    <cellStyle name="Comma 33 21 2" xfId="4653" xr:uid="{00000000-0005-0000-0000-000028120000}"/>
    <cellStyle name="Comma 33 21 2 2" xfId="4654" xr:uid="{00000000-0005-0000-0000-000029120000}"/>
    <cellStyle name="Comma 33 21 2 3" xfId="4655" xr:uid="{00000000-0005-0000-0000-00002A120000}"/>
    <cellStyle name="Comma 33 21 3" xfId="4656" xr:uid="{00000000-0005-0000-0000-00002B120000}"/>
    <cellStyle name="Comma 33 21 4" xfId="4657" xr:uid="{00000000-0005-0000-0000-00002C120000}"/>
    <cellStyle name="Comma 33 22" xfId="4658" xr:uid="{00000000-0005-0000-0000-00002D120000}"/>
    <cellStyle name="Comma 33 22 2" xfId="4659" xr:uid="{00000000-0005-0000-0000-00002E120000}"/>
    <cellStyle name="Comma 33 22 2 2" xfId="4660" xr:uid="{00000000-0005-0000-0000-00002F120000}"/>
    <cellStyle name="Comma 33 22 2 3" xfId="4661" xr:uid="{00000000-0005-0000-0000-000030120000}"/>
    <cellStyle name="Comma 33 22 3" xfId="4662" xr:uid="{00000000-0005-0000-0000-000031120000}"/>
    <cellStyle name="Comma 33 22 4" xfId="4663" xr:uid="{00000000-0005-0000-0000-000032120000}"/>
    <cellStyle name="Comma 33 23" xfId="4664" xr:uid="{00000000-0005-0000-0000-000033120000}"/>
    <cellStyle name="Comma 33 23 2" xfId="4665" xr:uid="{00000000-0005-0000-0000-000034120000}"/>
    <cellStyle name="Comma 33 23 2 2" xfId="4666" xr:uid="{00000000-0005-0000-0000-000035120000}"/>
    <cellStyle name="Comma 33 23 2 3" xfId="4667" xr:uid="{00000000-0005-0000-0000-000036120000}"/>
    <cellStyle name="Comma 33 23 3" xfId="4668" xr:uid="{00000000-0005-0000-0000-000037120000}"/>
    <cellStyle name="Comma 33 23 4" xfId="4669" xr:uid="{00000000-0005-0000-0000-000038120000}"/>
    <cellStyle name="Comma 33 24" xfId="4670" xr:uid="{00000000-0005-0000-0000-000039120000}"/>
    <cellStyle name="Comma 33 24 2" xfId="4671" xr:uid="{00000000-0005-0000-0000-00003A120000}"/>
    <cellStyle name="Comma 33 24 3" xfId="4672" xr:uid="{00000000-0005-0000-0000-00003B120000}"/>
    <cellStyle name="Comma 33 25" xfId="4673" xr:uid="{00000000-0005-0000-0000-00003C120000}"/>
    <cellStyle name="Comma 33 26" xfId="4674" xr:uid="{00000000-0005-0000-0000-00003D120000}"/>
    <cellStyle name="Comma 33 3" xfId="4675" xr:uid="{00000000-0005-0000-0000-00003E120000}"/>
    <cellStyle name="Comma 33 3 2" xfId="4676" xr:uid="{00000000-0005-0000-0000-00003F120000}"/>
    <cellStyle name="Comma 33 3 2 2" xfId="4677" xr:uid="{00000000-0005-0000-0000-000040120000}"/>
    <cellStyle name="Comma 33 3 2 3" xfId="4678" xr:uid="{00000000-0005-0000-0000-000041120000}"/>
    <cellStyle name="Comma 33 3 3" xfId="4679" xr:uid="{00000000-0005-0000-0000-000042120000}"/>
    <cellStyle name="Comma 33 3 4" xfId="4680" xr:uid="{00000000-0005-0000-0000-000043120000}"/>
    <cellStyle name="Comma 33 4" xfId="4681" xr:uid="{00000000-0005-0000-0000-000044120000}"/>
    <cellStyle name="Comma 33 4 2" xfId="4682" xr:uid="{00000000-0005-0000-0000-000045120000}"/>
    <cellStyle name="Comma 33 4 2 2" xfId="4683" xr:uid="{00000000-0005-0000-0000-000046120000}"/>
    <cellStyle name="Comma 33 4 2 3" xfId="4684" xr:uid="{00000000-0005-0000-0000-000047120000}"/>
    <cellStyle name="Comma 33 4 3" xfId="4685" xr:uid="{00000000-0005-0000-0000-000048120000}"/>
    <cellStyle name="Comma 33 4 4" xfId="4686" xr:uid="{00000000-0005-0000-0000-000049120000}"/>
    <cellStyle name="Comma 33 5" xfId="4687" xr:uid="{00000000-0005-0000-0000-00004A120000}"/>
    <cellStyle name="Comma 33 5 2" xfId="4688" xr:uid="{00000000-0005-0000-0000-00004B120000}"/>
    <cellStyle name="Comma 33 5 2 2" xfId="4689" xr:uid="{00000000-0005-0000-0000-00004C120000}"/>
    <cellStyle name="Comma 33 5 2 3" xfId="4690" xr:uid="{00000000-0005-0000-0000-00004D120000}"/>
    <cellStyle name="Comma 33 5 3" xfId="4691" xr:uid="{00000000-0005-0000-0000-00004E120000}"/>
    <cellStyle name="Comma 33 5 4" xfId="4692" xr:uid="{00000000-0005-0000-0000-00004F120000}"/>
    <cellStyle name="Comma 33 6" xfId="4693" xr:uid="{00000000-0005-0000-0000-000050120000}"/>
    <cellStyle name="Comma 33 6 2" xfId="4694" xr:uid="{00000000-0005-0000-0000-000051120000}"/>
    <cellStyle name="Comma 33 6 2 2" xfId="4695" xr:uid="{00000000-0005-0000-0000-000052120000}"/>
    <cellStyle name="Comma 33 6 2 3" xfId="4696" xr:uid="{00000000-0005-0000-0000-000053120000}"/>
    <cellStyle name="Comma 33 6 3" xfId="4697" xr:uid="{00000000-0005-0000-0000-000054120000}"/>
    <cellStyle name="Comma 33 6 4" xfId="4698" xr:uid="{00000000-0005-0000-0000-000055120000}"/>
    <cellStyle name="Comma 33 7" xfId="4699" xr:uid="{00000000-0005-0000-0000-000056120000}"/>
    <cellStyle name="Comma 33 7 2" xfId="4700" xr:uid="{00000000-0005-0000-0000-000057120000}"/>
    <cellStyle name="Comma 33 7 2 2" xfId="4701" xr:uid="{00000000-0005-0000-0000-000058120000}"/>
    <cellStyle name="Comma 33 7 2 3" xfId="4702" xr:uid="{00000000-0005-0000-0000-000059120000}"/>
    <cellStyle name="Comma 33 7 3" xfId="4703" xr:uid="{00000000-0005-0000-0000-00005A120000}"/>
    <cellStyle name="Comma 33 7 4" xfId="4704" xr:uid="{00000000-0005-0000-0000-00005B120000}"/>
    <cellStyle name="Comma 33 8" xfId="4705" xr:uid="{00000000-0005-0000-0000-00005C120000}"/>
    <cellStyle name="Comma 33 8 2" xfId="4706" xr:uid="{00000000-0005-0000-0000-00005D120000}"/>
    <cellStyle name="Comma 33 8 2 2" xfId="4707" xr:uid="{00000000-0005-0000-0000-00005E120000}"/>
    <cellStyle name="Comma 33 8 2 3" xfId="4708" xr:uid="{00000000-0005-0000-0000-00005F120000}"/>
    <cellStyle name="Comma 33 8 3" xfId="4709" xr:uid="{00000000-0005-0000-0000-000060120000}"/>
    <cellStyle name="Comma 33 8 4" xfId="4710" xr:uid="{00000000-0005-0000-0000-000061120000}"/>
    <cellStyle name="Comma 33 9" xfId="4711" xr:uid="{00000000-0005-0000-0000-000062120000}"/>
    <cellStyle name="Comma 33 9 2" xfId="4712" xr:uid="{00000000-0005-0000-0000-000063120000}"/>
    <cellStyle name="Comma 33 9 2 2" xfId="4713" xr:uid="{00000000-0005-0000-0000-000064120000}"/>
    <cellStyle name="Comma 33 9 2 3" xfId="4714" xr:uid="{00000000-0005-0000-0000-000065120000}"/>
    <cellStyle name="Comma 33 9 3" xfId="4715" xr:uid="{00000000-0005-0000-0000-000066120000}"/>
    <cellStyle name="Comma 33 9 4" xfId="4716" xr:uid="{00000000-0005-0000-0000-000067120000}"/>
    <cellStyle name="Comma 34" xfId="4717" xr:uid="{00000000-0005-0000-0000-000068120000}"/>
    <cellStyle name="Comma 34 10" xfId="4718" xr:uid="{00000000-0005-0000-0000-000069120000}"/>
    <cellStyle name="Comma 34 10 2" xfId="4719" xr:uid="{00000000-0005-0000-0000-00006A120000}"/>
    <cellStyle name="Comma 34 10 2 2" xfId="4720" xr:uid="{00000000-0005-0000-0000-00006B120000}"/>
    <cellStyle name="Comma 34 10 2 3" xfId="4721" xr:uid="{00000000-0005-0000-0000-00006C120000}"/>
    <cellStyle name="Comma 34 10 3" xfId="4722" xr:uid="{00000000-0005-0000-0000-00006D120000}"/>
    <cellStyle name="Comma 34 10 4" xfId="4723" xr:uid="{00000000-0005-0000-0000-00006E120000}"/>
    <cellStyle name="Comma 34 11" xfId="4724" xr:uid="{00000000-0005-0000-0000-00006F120000}"/>
    <cellStyle name="Comma 34 11 2" xfId="4725" xr:uid="{00000000-0005-0000-0000-000070120000}"/>
    <cellStyle name="Comma 34 11 2 2" xfId="4726" xr:uid="{00000000-0005-0000-0000-000071120000}"/>
    <cellStyle name="Comma 34 11 2 3" xfId="4727" xr:uid="{00000000-0005-0000-0000-000072120000}"/>
    <cellStyle name="Comma 34 11 3" xfId="4728" xr:uid="{00000000-0005-0000-0000-000073120000}"/>
    <cellStyle name="Comma 34 11 4" xfId="4729" xr:uid="{00000000-0005-0000-0000-000074120000}"/>
    <cellStyle name="Comma 34 12" xfId="4730" xr:uid="{00000000-0005-0000-0000-000075120000}"/>
    <cellStyle name="Comma 34 12 2" xfId="4731" xr:uid="{00000000-0005-0000-0000-000076120000}"/>
    <cellStyle name="Comma 34 12 2 2" xfId="4732" xr:uid="{00000000-0005-0000-0000-000077120000}"/>
    <cellStyle name="Comma 34 12 2 3" xfId="4733" xr:uid="{00000000-0005-0000-0000-000078120000}"/>
    <cellStyle name="Comma 34 12 3" xfId="4734" xr:uid="{00000000-0005-0000-0000-000079120000}"/>
    <cellStyle name="Comma 34 12 4" xfId="4735" xr:uid="{00000000-0005-0000-0000-00007A120000}"/>
    <cellStyle name="Comma 34 13" xfId="4736" xr:uid="{00000000-0005-0000-0000-00007B120000}"/>
    <cellStyle name="Comma 34 13 2" xfId="4737" xr:uid="{00000000-0005-0000-0000-00007C120000}"/>
    <cellStyle name="Comma 34 13 2 2" xfId="4738" xr:uid="{00000000-0005-0000-0000-00007D120000}"/>
    <cellStyle name="Comma 34 13 2 3" xfId="4739" xr:uid="{00000000-0005-0000-0000-00007E120000}"/>
    <cellStyle name="Comma 34 13 3" xfId="4740" xr:uid="{00000000-0005-0000-0000-00007F120000}"/>
    <cellStyle name="Comma 34 13 4" xfId="4741" xr:uid="{00000000-0005-0000-0000-000080120000}"/>
    <cellStyle name="Comma 34 14" xfId="4742" xr:uid="{00000000-0005-0000-0000-000081120000}"/>
    <cellStyle name="Comma 34 14 2" xfId="4743" xr:uid="{00000000-0005-0000-0000-000082120000}"/>
    <cellStyle name="Comma 34 14 2 2" xfId="4744" xr:uid="{00000000-0005-0000-0000-000083120000}"/>
    <cellStyle name="Comma 34 14 2 3" xfId="4745" xr:uid="{00000000-0005-0000-0000-000084120000}"/>
    <cellStyle name="Comma 34 14 3" xfId="4746" xr:uid="{00000000-0005-0000-0000-000085120000}"/>
    <cellStyle name="Comma 34 14 4" xfId="4747" xr:uid="{00000000-0005-0000-0000-000086120000}"/>
    <cellStyle name="Comma 34 15" xfId="4748" xr:uid="{00000000-0005-0000-0000-000087120000}"/>
    <cellStyle name="Comma 34 15 2" xfId="4749" xr:uid="{00000000-0005-0000-0000-000088120000}"/>
    <cellStyle name="Comma 34 15 2 2" xfId="4750" xr:uid="{00000000-0005-0000-0000-000089120000}"/>
    <cellStyle name="Comma 34 15 2 3" xfId="4751" xr:uid="{00000000-0005-0000-0000-00008A120000}"/>
    <cellStyle name="Comma 34 15 3" xfId="4752" xr:uid="{00000000-0005-0000-0000-00008B120000}"/>
    <cellStyle name="Comma 34 15 4" xfId="4753" xr:uid="{00000000-0005-0000-0000-00008C120000}"/>
    <cellStyle name="Comma 34 16" xfId="4754" xr:uid="{00000000-0005-0000-0000-00008D120000}"/>
    <cellStyle name="Comma 34 16 2" xfId="4755" xr:uid="{00000000-0005-0000-0000-00008E120000}"/>
    <cellStyle name="Comma 34 16 2 2" xfId="4756" xr:uid="{00000000-0005-0000-0000-00008F120000}"/>
    <cellStyle name="Comma 34 16 2 3" xfId="4757" xr:uid="{00000000-0005-0000-0000-000090120000}"/>
    <cellStyle name="Comma 34 16 3" xfId="4758" xr:uid="{00000000-0005-0000-0000-000091120000}"/>
    <cellStyle name="Comma 34 16 4" xfId="4759" xr:uid="{00000000-0005-0000-0000-000092120000}"/>
    <cellStyle name="Comma 34 17" xfId="4760" xr:uid="{00000000-0005-0000-0000-000093120000}"/>
    <cellStyle name="Comma 34 17 2" xfId="4761" xr:uid="{00000000-0005-0000-0000-000094120000}"/>
    <cellStyle name="Comma 34 17 2 2" xfId="4762" xr:uid="{00000000-0005-0000-0000-000095120000}"/>
    <cellStyle name="Comma 34 17 2 3" xfId="4763" xr:uid="{00000000-0005-0000-0000-000096120000}"/>
    <cellStyle name="Comma 34 17 3" xfId="4764" xr:uid="{00000000-0005-0000-0000-000097120000}"/>
    <cellStyle name="Comma 34 17 4" xfId="4765" xr:uid="{00000000-0005-0000-0000-000098120000}"/>
    <cellStyle name="Comma 34 18" xfId="4766" xr:uid="{00000000-0005-0000-0000-000099120000}"/>
    <cellStyle name="Comma 34 18 2" xfId="4767" xr:uid="{00000000-0005-0000-0000-00009A120000}"/>
    <cellStyle name="Comma 34 18 2 2" xfId="4768" xr:uid="{00000000-0005-0000-0000-00009B120000}"/>
    <cellStyle name="Comma 34 18 2 3" xfId="4769" xr:uid="{00000000-0005-0000-0000-00009C120000}"/>
    <cellStyle name="Comma 34 18 3" xfId="4770" xr:uid="{00000000-0005-0000-0000-00009D120000}"/>
    <cellStyle name="Comma 34 18 4" xfId="4771" xr:uid="{00000000-0005-0000-0000-00009E120000}"/>
    <cellStyle name="Comma 34 19" xfId="4772" xr:uid="{00000000-0005-0000-0000-00009F120000}"/>
    <cellStyle name="Comma 34 19 2" xfId="4773" xr:uid="{00000000-0005-0000-0000-0000A0120000}"/>
    <cellStyle name="Comma 34 19 2 2" xfId="4774" xr:uid="{00000000-0005-0000-0000-0000A1120000}"/>
    <cellStyle name="Comma 34 19 2 3" xfId="4775" xr:uid="{00000000-0005-0000-0000-0000A2120000}"/>
    <cellStyle name="Comma 34 19 3" xfId="4776" xr:uid="{00000000-0005-0000-0000-0000A3120000}"/>
    <cellStyle name="Comma 34 19 4" xfId="4777" xr:uid="{00000000-0005-0000-0000-0000A4120000}"/>
    <cellStyle name="Comma 34 2" xfId="4778" xr:uid="{00000000-0005-0000-0000-0000A5120000}"/>
    <cellStyle name="Comma 34 2 2" xfId="4779" xr:uid="{00000000-0005-0000-0000-0000A6120000}"/>
    <cellStyle name="Comma 34 2 2 2" xfId="4780" xr:uid="{00000000-0005-0000-0000-0000A7120000}"/>
    <cellStyle name="Comma 34 2 2 3" xfId="4781" xr:uid="{00000000-0005-0000-0000-0000A8120000}"/>
    <cellStyle name="Comma 34 2 3" xfId="4782" xr:uid="{00000000-0005-0000-0000-0000A9120000}"/>
    <cellStyle name="Comma 34 2 4" xfId="4783" xr:uid="{00000000-0005-0000-0000-0000AA120000}"/>
    <cellStyle name="Comma 34 20" xfId="4784" xr:uid="{00000000-0005-0000-0000-0000AB120000}"/>
    <cellStyle name="Comma 34 20 2" xfId="4785" xr:uid="{00000000-0005-0000-0000-0000AC120000}"/>
    <cellStyle name="Comma 34 20 2 2" xfId="4786" xr:uid="{00000000-0005-0000-0000-0000AD120000}"/>
    <cellStyle name="Comma 34 20 2 3" xfId="4787" xr:uid="{00000000-0005-0000-0000-0000AE120000}"/>
    <cellStyle name="Comma 34 20 3" xfId="4788" xr:uid="{00000000-0005-0000-0000-0000AF120000}"/>
    <cellStyle name="Comma 34 20 4" xfId="4789" xr:uid="{00000000-0005-0000-0000-0000B0120000}"/>
    <cellStyle name="Comma 34 21" xfId="4790" xr:uid="{00000000-0005-0000-0000-0000B1120000}"/>
    <cellStyle name="Comma 34 21 2" xfId="4791" xr:uid="{00000000-0005-0000-0000-0000B2120000}"/>
    <cellStyle name="Comma 34 21 2 2" xfId="4792" xr:uid="{00000000-0005-0000-0000-0000B3120000}"/>
    <cellStyle name="Comma 34 21 2 3" xfId="4793" xr:uid="{00000000-0005-0000-0000-0000B4120000}"/>
    <cellStyle name="Comma 34 21 3" xfId="4794" xr:uid="{00000000-0005-0000-0000-0000B5120000}"/>
    <cellStyle name="Comma 34 21 4" xfId="4795" xr:uid="{00000000-0005-0000-0000-0000B6120000}"/>
    <cellStyle name="Comma 34 22" xfId="4796" xr:uid="{00000000-0005-0000-0000-0000B7120000}"/>
    <cellStyle name="Comma 34 22 2" xfId="4797" xr:uid="{00000000-0005-0000-0000-0000B8120000}"/>
    <cellStyle name="Comma 34 22 2 2" xfId="4798" xr:uid="{00000000-0005-0000-0000-0000B9120000}"/>
    <cellStyle name="Comma 34 22 2 3" xfId="4799" xr:uid="{00000000-0005-0000-0000-0000BA120000}"/>
    <cellStyle name="Comma 34 22 3" xfId="4800" xr:uid="{00000000-0005-0000-0000-0000BB120000}"/>
    <cellStyle name="Comma 34 22 4" xfId="4801" xr:uid="{00000000-0005-0000-0000-0000BC120000}"/>
    <cellStyle name="Comma 34 23" xfId="4802" xr:uid="{00000000-0005-0000-0000-0000BD120000}"/>
    <cellStyle name="Comma 34 23 2" xfId="4803" xr:uid="{00000000-0005-0000-0000-0000BE120000}"/>
    <cellStyle name="Comma 34 23 2 2" xfId="4804" xr:uid="{00000000-0005-0000-0000-0000BF120000}"/>
    <cellStyle name="Comma 34 23 2 3" xfId="4805" xr:uid="{00000000-0005-0000-0000-0000C0120000}"/>
    <cellStyle name="Comma 34 23 3" xfId="4806" xr:uid="{00000000-0005-0000-0000-0000C1120000}"/>
    <cellStyle name="Comma 34 23 4" xfId="4807" xr:uid="{00000000-0005-0000-0000-0000C2120000}"/>
    <cellStyle name="Comma 34 24" xfId="4808" xr:uid="{00000000-0005-0000-0000-0000C3120000}"/>
    <cellStyle name="Comma 34 24 2" xfId="4809" xr:uid="{00000000-0005-0000-0000-0000C4120000}"/>
    <cellStyle name="Comma 34 24 3" xfId="4810" xr:uid="{00000000-0005-0000-0000-0000C5120000}"/>
    <cellStyle name="Comma 34 25" xfId="4811" xr:uid="{00000000-0005-0000-0000-0000C6120000}"/>
    <cellStyle name="Comma 34 26" xfId="4812" xr:uid="{00000000-0005-0000-0000-0000C7120000}"/>
    <cellStyle name="Comma 34 3" xfId="4813" xr:uid="{00000000-0005-0000-0000-0000C8120000}"/>
    <cellStyle name="Comma 34 3 2" xfId="4814" xr:uid="{00000000-0005-0000-0000-0000C9120000}"/>
    <cellStyle name="Comma 34 3 2 2" xfId="4815" xr:uid="{00000000-0005-0000-0000-0000CA120000}"/>
    <cellStyle name="Comma 34 3 2 3" xfId="4816" xr:uid="{00000000-0005-0000-0000-0000CB120000}"/>
    <cellStyle name="Comma 34 3 3" xfId="4817" xr:uid="{00000000-0005-0000-0000-0000CC120000}"/>
    <cellStyle name="Comma 34 3 4" xfId="4818" xr:uid="{00000000-0005-0000-0000-0000CD120000}"/>
    <cellStyle name="Comma 34 4" xfId="4819" xr:uid="{00000000-0005-0000-0000-0000CE120000}"/>
    <cellStyle name="Comma 34 4 2" xfId="4820" xr:uid="{00000000-0005-0000-0000-0000CF120000}"/>
    <cellStyle name="Comma 34 4 2 2" xfId="4821" xr:uid="{00000000-0005-0000-0000-0000D0120000}"/>
    <cellStyle name="Comma 34 4 2 3" xfId="4822" xr:uid="{00000000-0005-0000-0000-0000D1120000}"/>
    <cellStyle name="Comma 34 4 3" xfId="4823" xr:uid="{00000000-0005-0000-0000-0000D2120000}"/>
    <cellStyle name="Comma 34 4 4" xfId="4824" xr:uid="{00000000-0005-0000-0000-0000D3120000}"/>
    <cellStyle name="Comma 34 5" xfId="4825" xr:uid="{00000000-0005-0000-0000-0000D4120000}"/>
    <cellStyle name="Comma 34 5 2" xfId="4826" xr:uid="{00000000-0005-0000-0000-0000D5120000}"/>
    <cellStyle name="Comma 34 5 2 2" xfId="4827" xr:uid="{00000000-0005-0000-0000-0000D6120000}"/>
    <cellStyle name="Comma 34 5 2 3" xfId="4828" xr:uid="{00000000-0005-0000-0000-0000D7120000}"/>
    <cellStyle name="Comma 34 5 3" xfId="4829" xr:uid="{00000000-0005-0000-0000-0000D8120000}"/>
    <cellStyle name="Comma 34 5 4" xfId="4830" xr:uid="{00000000-0005-0000-0000-0000D9120000}"/>
    <cellStyle name="Comma 34 6" xfId="4831" xr:uid="{00000000-0005-0000-0000-0000DA120000}"/>
    <cellStyle name="Comma 34 6 2" xfId="4832" xr:uid="{00000000-0005-0000-0000-0000DB120000}"/>
    <cellStyle name="Comma 34 6 2 2" xfId="4833" xr:uid="{00000000-0005-0000-0000-0000DC120000}"/>
    <cellStyle name="Comma 34 6 2 3" xfId="4834" xr:uid="{00000000-0005-0000-0000-0000DD120000}"/>
    <cellStyle name="Comma 34 6 3" xfId="4835" xr:uid="{00000000-0005-0000-0000-0000DE120000}"/>
    <cellStyle name="Comma 34 6 4" xfId="4836" xr:uid="{00000000-0005-0000-0000-0000DF120000}"/>
    <cellStyle name="Comma 34 7" xfId="4837" xr:uid="{00000000-0005-0000-0000-0000E0120000}"/>
    <cellStyle name="Comma 34 7 2" xfId="4838" xr:uid="{00000000-0005-0000-0000-0000E1120000}"/>
    <cellStyle name="Comma 34 7 2 2" xfId="4839" xr:uid="{00000000-0005-0000-0000-0000E2120000}"/>
    <cellStyle name="Comma 34 7 2 3" xfId="4840" xr:uid="{00000000-0005-0000-0000-0000E3120000}"/>
    <cellStyle name="Comma 34 7 3" xfId="4841" xr:uid="{00000000-0005-0000-0000-0000E4120000}"/>
    <cellStyle name="Comma 34 7 4" xfId="4842" xr:uid="{00000000-0005-0000-0000-0000E5120000}"/>
    <cellStyle name="Comma 34 8" xfId="4843" xr:uid="{00000000-0005-0000-0000-0000E6120000}"/>
    <cellStyle name="Comma 34 8 2" xfId="4844" xr:uid="{00000000-0005-0000-0000-0000E7120000}"/>
    <cellStyle name="Comma 34 8 2 2" xfId="4845" xr:uid="{00000000-0005-0000-0000-0000E8120000}"/>
    <cellStyle name="Comma 34 8 2 3" xfId="4846" xr:uid="{00000000-0005-0000-0000-0000E9120000}"/>
    <cellStyle name="Comma 34 8 3" xfId="4847" xr:uid="{00000000-0005-0000-0000-0000EA120000}"/>
    <cellStyle name="Comma 34 8 4" xfId="4848" xr:uid="{00000000-0005-0000-0000-0000EB120000}"/>
    <cellStyle name="Comma 34 9" xfId="4849" xr:uid="{00000000-0005-0000-0000-0000EC120000}"/>
    <cellStyle name="Comma 34 9 2" xfId="4850" xr:uid="{00000000-0005-0000-0000-0000ED120000}"/>
    <cellStyle name="Comma 34 9 2 2" xfId="4851" xr:uid="{00000000-0005-0000-0000-0000EE120000}"/>
    <cellStyle name="Comma 34 9 2 3" xfId="4852" xr:uid="{00000000-0005-0000-0000-0000EF120000}"/>
    <cellStyle name="Comma 34 9 3" xfId="4853" xr:uid="{00000000-0005-0000-0000-0000F0120000}"/>
    <cellStyle name="Comma 34 9 4" xfId="4854" xr:uid="{00000000-0005-0000-0000-0000F1120000}"/>
    <cellStyle name="Comma 35" xfId="4855" xr:uid="{00000000-0005-0000-0000-0000F2120000}"/>
    <cellStyle name="Comma 35 10" xfId="4856" xr:uid="{00000000-0005-0000-0000-0000F3120000}"/>
    <cellStyle name="Comma 35 10 2" xfId="4857" xr:uid="{00000000-0005-0000-0000-0000F4120000}"/>
    <cellStyle name="Comma 35 10 2 2" xfId="4858" xr:uid="{00000000-0005-0000-0000-0000F5120000}"/>
    <cellStyle name="Comma 35 10 2 3" xfId="4859" xr:uid="{00000000-0005-0000-0000-0000F6120000}"/>
    <cellStyle name="Comma 35 10 3" xfId="4860" xr:uid="{00000000-0005-0000-0000-0000F7120000}"/>
    <cellStyle name="Comma 35 10 4" xfId="4861" xr:uid="{00000000-0005-0000-0000-0000F8120000}"/>
    <cellStyle name="Comma 35 11" xfId="4862" xr:uid="{00000000-0005-0000-0000-0000F9120000}"/>
    <cellStyle name="Comma 35 11 2" xfId="4863" xr:uid="{00000000-0005-0000-0000-0000FA120000}"/>
    <cellStyle name="Comma 35 11 2 2" xfId="4864" xr:uid="{00000000-0005-0000-0000-0000FB120000}"/>
    <cellStyle name="Comma 35 11 2 3" xfId="4865" xr:uid="{00000000-0005-0000-0000-0000FC120000}"/>
    <cellStyle name="Comma 35 11 3" xfId="4866" xr:uid="{00000000-0005-0000-0000-0000FD120000}"/>
    <cellStyle name="Comma 35 11 4" xfId="4867" xr:uid="{00000000-0005-0000-0000-0000FE120000}"/>
    <cellStyle name="Comma 35 12" xfId="4868" xr:uid="{00000000-0005-0000-0000-0000FF120000}"/>
    <cellStyle name="Comma 35 12 2" xfId="4869" xr:uid="{00000000-0005-0000-0000-000000130000}"/>
    <cellStyle name="Comma 35 12 2 2" xfId="4870" xr:uid="{00000000-0005-0000-0000-000001130000}"/>
    <cellStyle name="Comma 35 12 2 3" xfId="4871" xr:uid="{00000000-0005-0000-0000-000002130000}"/>
    <cellStyle name="Comma 35 12 3" xfId="4872" xr:uid="{00000000-0005-0000-0000-000003130000}"/>
    <cellStyle name="Comma 35 12 4" xfId="4873" xr:uid="{00000000-0005-0000-0000-000004130000}"/>
    <cellStyle name="Comma 35 13" xfId="4874" xr:uid="{00000000-0005-0000-0000-000005130000}"/>
    <cellStyle name="Comma 35 13 2" xfId="4875" xr:uid="{00000000-0005-0000-0000-000006130000}"/>
    <cellStyle name="Comma 35 13 2 2" xfId="4876" xr:uid="{00000000-0005-0000-0000-000007130000}"/>
    <cellStyle name="Comma 35 13 2 3" xfId="4877" xr:uid="{00000000-0005-0000-0000-000008130000}"/>
    <cellStyle name="Comma 35 13 3" xfId="4878" xr:uid="{00000000-0005-0000-0000-000009130000}"/>
    <cellStyle name="Comma 35 13 4" xfId="4879" xr:uid="{00000000-0005-0000-0000-00000A130000}"/>
    <cellStyle name="Comma 35 14" xfId="4880" xr:uid="{00000000-0005-0000-0000-00000B130000}"/>
    <cellStyle name="Comma 35 14 2" xfId="4881" xr:uid="{00000000-0005-0000-0000-00000C130000}"/>
    <cellStyle name="Comma 35 14 2 2" xfId="4882" xr:uid="{00000000-0005-0000-0000-00000D130000}"/>
    <cellStyle name="Comma 35 14 2 3" xfId="4883" xr:uid="{00000000-0005-0000-0000-00000E130000}"/>
    <cellStyle name="Comma 35 14 3" xfId="4884" xr:uid="{00000000-0005-0000-0000-00000F130000}"/>
    <cellStyle name="Comma 35 14 4" xfId="4885" xr:uid="{00000000-0005-0000-0000-000010130000}"/>
    <cellStyle name="Comma 35 15" xfId="4886" xr:uid="{00000000-0005-0000-0000-000011130000}"/>
    <cellStyle name="Comma 35 15 2" xfId="4887" xr:uid="{00000000-0005-0000-0000-000012130000}"/>
    <cellStyle name="Comma 35 15 2 2" xfId="4888" xr:uid="{00000000-0005-0000-0000-000013130000}"/>
    <cellStyle name="Comma 35 15 2 3" xfId="4889" xr:uid="{00000000-0005-0000-0000-000014130000}"/>
    <cellStyle name="Comma 35 15 3" xfId="4890" xr:uid="{00000000-0005-0000-0000-000015130000}"/>
    <cellStyle name="Comma 35 15 4" xfId="4891" xr:uid="{00000000-0005-0000-0000-000016130000}"/>
    <cellStyle name="Comma 35 16" xfId="4892" xr:uid="{00000000-0005-0000-0000-000017130000}"/>
    <cellStyle name="Comma 35 16 2" xfId="4893" xr:uid="{00000000-0005-0000-0000-000018130000}"/>
    <cellStyle name="Comma 35 16 2 2" xfId="4894" xr:uid="{00000000-0005-0000-0000-000019130000}"/>
    <cellStyle name="Comma 35 16 2 3" xfId="4895" xr:uid="{00000000-0005-0000-0000-00001A130000}"/>
    <cellStyle name="Comma 35 16 3" xfId="4896" xr:uid="{00000000-0005-0000-0000-00001B130000}"/>
    <cellStyle name="Comma 35 16 4" xfId="4897" xr:uid="{00000000-0005-0000-0000-00001C130000}"/>
    <cellStyle name="Comma 35 17" xfId="4898" xr:uid="{00000000-0005-0000-0000-00001D130000}"/>
    <cellStyle name="Comma 35 17 2" xfId="4899" xr:uid="{00000000-0005-0000-0000-00001E130000}"/>
    <cellStyle name="Comma 35 17 2 2" xfId="4900" xr:uid="{00000000-0005-0000-0000-00001F130000}"/>
    <cellStyle name="Comma 35 17 2 3" xfId="4901" xr:uid="{00000000-0005-0000-0000-000020130000}"/>
    <cellStyle name="Comma 35 17 3" xfId="4902" xr:uid="{00000000-0005-0000-0000-000021130000}"/>
    <cellStyle name="Comma 35 17 4" xfId="4903" xr:uid="{00000000-0005-0000-0000-000022130000}"/>
    <cellStyle name="Comma 35 18" xfId="4904" xr:uid="{00000000-0005-0000-0000-000023130000}"/>
    <cellStyle name="Comma 35 18 2" xfId="4905" xr:uid="{00000000-0005-0000-0000-000024130000}"/>
    <cellStyle name="Comma 35 18 2 2" xfId="4906" xr:uid="{00000000-0005-0000-0000-000025130000}"/>
    <cellStyle name="Comma 35 18 2 3" xfId="4907" xr:uid="{00000000-0005-0000-0000-000026130000}"/>
    <cellStyle name="Comma 35 18 3" xfId="4908" xr:uid="{00000000-0005-0000-0000-000027130000}"/>
    <cellStyle name="Comma 35 18 4" xfId="4909" xr:uid="{00000000-0005-0000-0000-000028130000}"/>
    <cellStyle name="Comma 35 19" xfId="4910" xr:uid="{00000000-0005-0000-0000-000029130000}"/>
    <cellStyle name="Comma 35 19 2" xfId="4911" xr:uid="{00000000-0005-0000-0000-00002A130000}"/>
    <cellStyle name="Comma 35 19 2 2" xfId="4912" xr:uid="{00000000-0005-0000-0000-00002B130000}"/>
    <cellStyle name="Comma 35 19 2 3" xfId="4913" xr:uid="{00000000-0005-0000-0000-00002C130000}"/>
    <cellStyle name="Comma 35 19 3" xfId="4914" xr:uid="{00000000-0005-0000-0000-00002D130000}"/>
    <cellStyle name="Comma 35 19 4" xfId="4915" xr:uid="{00000000-0005-0000-0000-00002E130000}"/>
    <cellStyle name="Comma 35 2" xfId="4916" xr:uid="{00000000-0005-0000-0000-00002F130000}"/>
    <cellStyle name="Comma 35 2 2" xfId="4917" xr:uid="{00000000-0005-0000-0000-000030130000}"/>
    <cellStyle name="Comma 35 2 2 2" xfId="4918" xr:uid="{00000000-0005-0000-0000-000031130000}"/>
    <cellStyle name="Comma 35 2 2 3" xfId="4919" xr:uid="{00000000-0005-0000-0000-000032130000}"/>
    <cellStyle name="Comma 35 2 3" xfId="4920" xr:uid="{00000000-0005-0000-0000-000033130000}"/>
    <cellStyle name="Comma 35 2 4" xfId="4921" xr:uid="{00000000-0005-0000-0000-000034130000}"/>
    <cellStyle name="Comma 35 20" xfId="4922" xr:uid="{00000000-0005-0000-0000-000035130000}"/>
    <cellStyle name="Comma 35 20 2" xfId="4923" xr:uid="{00000000-0005-0000-0000-000036130000}"/>
    <cellStyle name="Comma 35 20 2 2" xfId="4924" xr:uid="{00000000-0005-0000-0000-000037130000}"/>
    <cellStyle name="Comma 35 20 2 3" xfId="4925" xr:uid="{00000000-0005-0000-0000-000038130000}"/>
    <cellStyle name="Comma 35 20 3" xfId="4926" xr:uid="{00000000-0005-0000-0000-000039130000}"/>
    <cellStyle name="Comma 35 20 4" xfId="4927" xr:uid="{00000000-0005-0000-0000-00003A130000}"/>
    <cellStyle name="Comma 35 21" xfId="4928" xr:uid="{00000000-0005-0000-0000-00003B130000}"/>
    <cellStyle name="Comma 35 21 2" xfId="4929" xr:uid="{00000000-0005-0000-0000-00003C130000}"/>
    <cellStyle name="Comma 35 21 2 2" xfId="4930" xr:uid="{00000000-0005-0000-0000-00003D130000}"/>
    <cellStyle name="Comma 35 21 2 3" xfId="4931" xr:uid="{00000000-0005-0000-0000-00003E130000}"/>
    <cellStyle name="Comma 35 21 3" xfId="4932" xr:uid="{00000000-0005-0000-0000-00003F130000}"/>
    <cellStyle name="Comma 35 21 4" xfId="4933" xr:uid="{00000000-0005-0000-0000-000040130000}"/>
    <cellStyle name="Comma 35 22" xfId="4934" xr:uid="{00000000-0005-0000-0000-000041130000}"/>
    <cellStyle name="Comma 35 22 2" xfId="4935" xr:uid="{00000000-0005-0000-0000-000042130000}"/>
    <cellStyle name="Comma 35 22 2 2" xfId="4936" xr:uid="{00000000-0005-0000-0000-000043130000}"/>
    <cellStyle name="Comma 35 22 2 3" xfId="4937" xr:uid="{00000000-0005-0000-0000-000044130000}"/>
    <cellStyle name="Comma 35 22 3" xfId="4938" xr:uid="{00000000-0005-0000-0000-000045130000}"/>
    <cellStyle name="Comma 35 22 4" xfId="4939" xr:uid="{00000000-0005-0000-0000-000046130000}"/>
    <cellStyle name="Comma 35 23" xfId="4940" xr:uid="{00000000-0005-0000-0000-000047130000}"/>
    <cellStyle name="Comma 35 23 2" xfId="4941" xr:uid="{00000000-0005-0000-0000-000048130000}"/>
    <cellStyle name="Comma 35 23 2 2" xfId="4942" xr:uid="{00000000-0005-0000-0000-000049130000}"/>
    <cellStyle name="Comma 35 23 2 3" xfId="4943" xr:uid="{00000000-0005-0000-0000-00004A130000}"/>
    <cellStyle name="Comma 35 23 3" xfId="4944" xr:uid="{00000000-0005-0000-0000-00004B130000}"/>
    <cellStyle name="Comma 35 23 4" xfId="4945" xr:uid="{00000000-0005-0000-0000-00004C130000}"/>
    <cellStyle name="Comma 35 24" xfId="4946" xr:uid="{00000000-0005-0000-0000-00004D130000}"/>
    <cellStyle name="Comma 35 24 2" xfId="4947" xr:uid="{00000000-0005-0000-0000-00004E130000}"/>
    <cellStyle name="Comma 35 24 3" xfId="4948" xr:uid="{00000000-0005-0000-0000-00004F130000}"/>
    <cellStyle name="Comma 35 25" xfId="4949" xr:uid="{00000000-0005-0000-0000-000050130000}"/>
    <cellStyle name="Comma 35 26" xfId="4950" xr:uid="{00000000-0005-0000-0000-000051130000}"/>
    <cellStyle name="Comma 35 3" xfId="4951" xr:uid="{00000000-0005-0000-0000-000052130000}"/>
    <cellStyle name="Comma 35 3 2" xfId="4952" xr:uid="{00000000-0005-0000-0000-000053130000}"/>
    <cellStyle name="Comma 35 3 2 2" xfId="4953" xr:uid="{00000000-0005-0000-0000-000054130000}"/>
    <cellStyle name="Comma 35 3 2 3" xfId="4954" xr:uid="{00000000-0005-0000-0000-000055130000}"/>
    <cellStyle name="Comma 35 3 3" xfId="4955" xr:uid="{00000000-0005-0000-0000-000056130000}"/>
    <cellStyle name="Comma 35 3 4" xfId="4956" xr:uid="{00000000-0005-0000-0000-000057130000}"/>
    <cellStyle name="Comma 35 4" xfId="4957" xr:uid="{00000000-0005-0000-0000-000058130000}"/>
    <cellStyle name="Comma 35 4 2" xfId="4958" xr:uid="{00000000-0005-0000-0000-000059130000}"/>
    <cellStyle name="Comma 35 4 2 2" xfId="4959" xr:uid="{00000000-0005-0000-0000-00005A130000}"/>
    <cellStyle name="Comma 35 4 2 3" xfId="4960" xr:uid="{00000000-0005-0000-0000-00005B130000}"/>
    <cellStyle name="Comma 35 4 3" xfId="4961" xr:uid="{00000000-0005-0000-0000-00005C130000}"/>
    <cellStyle name="Comma 35 4 4" xfId="4962" xr:uid="{00000000-0005-0000-0000-00005D130000}"/>
    <cellStyle name="Comma 35 5" xfId="4963" xr:uid="{00000000-0005-0000-0000-00005E130000}"/>
    <cellStyle name="Comma 35 5 2" xfId="4964" xr:uid="{00000000-0005-0000-0000-00005F130000}"/>
    <cellStyle name="Comma 35 5 2 2" xfId="4965" xr:uid="{00000000-0005-0000-0000-000060130000}"/>
    <cellStyle name="Comma 35 5 2 3" xfId="4966" xr:uid="{00000000-0005-0000-0000-000061130000}"/>
    <cellStyle name="Comma 35 5 3" xfId="4967" xr:uid="{00000000-0005-0000-0000-000062130000}"/>
    <cellStyle name="Comma 35 5 4" xfId="4968" xr:uid="{00000000-0005-0000-0000-000063130000}"/>
    <cellStyle name="Comma 35 6" xfId="4969" xr:uid="{00000000-0005-0000-0000-000064130000}"/>
    <cellStyle name="Comma 35 6 2" xfId="4970" xr:uid="{00000000-0005-0000-0000-000065130000}"/>
    <cellStyle name="Comma 35 6 2 2" xfId="4971" xr:uid="{00000000-0005-0000-0000-000066130000}"/>
    <cellStyle name="Comma 35 6 2 3" xfId="4972" xr:uid="{00000000-0005-0000-0000-000067130000}"/>
    <cellStyle name="Comma 35 6 3" xfId="4973" xr:uid="{00000000-0005-0000-0000-000068130000}"/>
    <cellStyle name="Comma 35 6 4" xfId="4974" xr:uid="{00000000-0005-0000-0000-000069130000}"/>
    <cellStyle name="Comma 35 7" xfId="4975" xr:uid="{00000000-0005-0000-0000-00006A130000}"/>
    <cellStyle name="Comma 35 7 2" xfId="4976" xr:uid="{00000000-0005-0000-0000-00006B130000}"/>
    <cellStyle name="Comma 35 7 2 2" xfId="4977" xr:uid="{00000000-0005-0000-0000-00006C130000}"/>
    <cellStyle name="Comma 35 7 2 3" xfId="4978" xr:uid="{00000000-0005-0000-0000-00006D130000}"/>
    <cellStyle name="Comma 35 7 3" xfId="4979" xr:uid="{00000000-0005-0000-0000-00006E130000}"/>
    <cellStyle name="Comma 35 7 4" xfId="4980" xr:uid="{00000000-0005-0000-0000-00006F130000}"/>
    <cellStyle name="Comma 35 8" xfId="4981" xr:uid="{00000000-0005-0000-0000-000070130000}"/>
    <cellStyle name="Comma 35 8 2" xfId="4982" xr:uid="{00000000-0005-0000-0000-000071130000}"/>
    <cellStyle name="Comma 35 8 2 2" xfId="4983" xr:uid="{00000000-0005-0000-0000-000072130000}"/>
    <cellStyle name="Comma 35 8 2 3" xfId="4984" xr:uid="{00000000-0005-0000-0000-000073130000}"/>
    <cellStyle name="Comma 35 8 3" xfId="4985" xr:uid="{00000000-0005-0000-0000-000074130000}"/>
    <cellStyle name="Comma 35 8 4" xfId="4986" xr:uid="{00000000-0005-0000-0000-000075130000}"/>
    <cellStyle name="Comma 35 9" xfId="4987" xr:uid="{00000000-0005-0000-0000-000076130000}"/>
    <cellStyle name="Comma 35 9 2" xfId="4988" xr:uid="{00000000-0005-0000-0000-000077130000}"/>
    <cellStyle name="Comma 35 9 2 2" xfId="4989" xr:uid="{00000000-0005-0000-0000-000078130000}"/>
    <cellStyle name="Comma 35 9 2 3" xfId="4990" xr:uid="{00000000-0005-0000-0000-000079130000}"/>
    <cellStyle name="Comma 35 9 3" xfId="4991" xr:uid="{00000000-0005-0000-0000-00007A130000}"/>
    <cellStyle name="Comma 35 9 4" xfId="4992" xr:uid="{00000000-0005-0000-0000-00007B130000}"/>
    <cellStyle name="Comma 36" xfId="4993" xr:uid="{00000000-0005-0000-0000-00007C130000}"/>
    <cellStyle name="Comma 36 10" xfId="4994" xr:uid="{00000000-0005-0000-0000-00007D130000}"/>
    <cellStyle name="Comma 36 10 2" xfId="4995" xr:uid="{00000000-0005-0000-0000-00007E130000}"/>
    <cellStyle name="Comma 36 10 2 2" xfId="4996" xr:uid="{00000000-0005-0000-0000-00007F130000}"/>
    <cellStyle name="Comma 36 10 2 3" xfId="4997" xr:uid="{00000000-0005-0000-0000-000080130000}"/>
    <cellStyle name="Comma 36 10 3" xfId="4998" xr:uid="{00000000-0005-0000-0000-000081130000}"/>
    <cellStyle name="Comma 36 10 4" xfId="4999" xr:uid="{00000000-0005-0000-0000-000082130000}"/>
    <cellStyle name="Comma 36 11" xfId="5000" xr:uid="{00000000-0005-0000-0000-000083130000}"/>
    <cellStyle name="Comma 36 11 2" xfId="5001" xr:uid="{00000000-0005-0000-0000-000084130000}"/>
    <cellStyle name="Comma 36 11 2 2" xfId="5002" xr:uid="{00000000-0005-0000-0000-000085130000}"/>
    <cellStyle name="Comma 36 11 2 3" xfId="5003" xr:uid="{00000000-0005-0000-0000-000086130000}"/>
    <cellStyle name="Comma 36 11 3" xfId="5004" xr:uid="{00000000-0005-0000-0000-000087130000}"/>
    <cellStyle name="Comma 36 11 4" xfId="5005" xr:uid="{00000000-0005-0000-0000-000088130000}"/>
    <cellStyle name="Comma 36 12" xfId="5006" xr:uid="{00000000-0005-0000-0000-000089130000}"/>
    <cellStyle name="Comma 36 12 2" xfId="5007" xr:uid="{00000000-0005-0000-0000-00008A130000}"/>
    <cellStyle name="Comma 36 12 2 2" xfId="5008" xr:uid="{00000000-0005-0000-0000-00008B130000}"/>
    <cellStyle name="Comma 36 12 2 3" xfId="5009" xr:uid="{00000000-0005-0000-0000-00008C130000}"/>
    <cellStyle name="Comma 36 12 3" xfId="5010" xr:uid="{00000000-0005-0000-0000-00008D130000}"/>
    <cellStyle name="Comma 36 12 4" xfId="5011" xr:uid="{00000000-0005-0000-0000-00008E130000}"/>
    <cellStyle name="Comma 36 13" xfId="5012" xr:uid="{00000000-0005-0000-0000-00008F130000}"/>
    <cellStyle name="Comma 36 13 2" xfId="5013" xr:uid="{00000000-0005-0000-0000-000090130000}"/>
    <cellStyle name="Comma 36 13 2 2" xfId="5014" xr:uid="{00000000-0005-0000-0000-000091130000}"/>
    <cellStyle name="Comma 36 13 2 3" xfId="5015" xr:uid="{00000000-0005-0000-0000-000092130000}"/>
    <cellStyle name="Comma 36 13 3" xfId="5016" xr:uid="{00000000-0005-0000-0000-000093130000}"/>
    <cellStyle name="Comma 36 13 4" xfId="5017" xr:uid="{00000000-0005-0000-0000-000094130000}"/>
    <cellStyle name="Comma 36 14" xfId="5018" xr:uid="{00000000-0005-0000-0000-000095130000}"/>
    <cellStyle name="Comma 36 14 2" xfId="5019" xr:uid="{00000000-0005-0000-0000-000096130000}"/>
    <cellStyle name="Comma 36 14 2 2" xfId="5020" xr:uid="{00000000-0005-0000-0000-000097130000}"/>
    <cellStyle name="Comma 36 14 2 3" xfId="5021" xr:uid="{00000000-0005-0000-0000-000098130000}"/>
    <cellStyle name="Comma 36 14 3" xfId="5022" xr:uid="{00000000-0005-0000-0000-000099130000}"/>
    <cellStyle name="Comma 36 14 4" xfId="5023" xr:uid="{00000000-0005-0000-0000-00009A130000}"/>
    <cellStyle name="Comma 36 15" xfId="5024" xr:uid="{00000000-0005-0000-0000-00009B130000}"/>
    <cellStyle name="Comma 36 15 2" xfId="5025" xr:uid="{00000000-0005-0000-0000-00009C130000}"/>
    <cellStyle name="Comma 36 15 2 2" xfId="5026" xr:uid="{00000000-0005-0000-0000-00009D130000}"/>
    <cellStyle name="Comma 36 15 2 3" xfId="5027" xr:uid="{00000000-0005-0000-0000-00009E130000}"/>
    <cellStyle name="Comma 36 15 3" xfId="5028" xr:uid="{00000000-0005-0000-0000-00009F130000}"/>
    <cellStyle name="Comma 36 15 4" xfId="5029" xr:uid="{00000000-0005-0000-0000-0000A0130000}"/>
    <cellStyle name="Comma 36 16" xfId="5030" xr:uid="{00000000-0005-0000-0000-0000A1130000}"/>
    <cellStyle name="Comma 36 16 2" xfId="5031" xr:uid="{00000000-0005-0000-0000-0000A2130000}"/>
    <cellStyle name="Comma 36 16 2 2" xfId="5032" xr:uid="{00000000-0005-0000-0000-0000A3130000}"/>
    <cellStyle name="Comma 36 16 2 3" xfId="5033" xr:uid="{00000000-0005-0000-0000-0000A4130000}"/>
    <cellStyle name="Comma 36 16 3" xfId="5034" xr:uid="{00000000-0005-0000-0000-0000A5130000}"/>
    <cellStyle name="Comma 36 16 4" xfId="5035" xr:uid="{00000000-0005-0000-0000-0000A6130000}"/>
    <cellStyle name="Comma 36 17" xfId="5036" xr:uid="{00000000-0005-0000-0000-0000A7130000}"/>
    <cellStyle name="Comma 36 17 2" xfId="5037" xr:uid="{00000000-0005-0000-0000-0000A8130000}"/>
    <cellStyle name="Comma 36 17 2 2" xfId="5038" xr:uid="{00000000-0005-0000-0000-0000A9130000}"/>
    <cellStyle name="Comma 36 17 2 3" xfId="5039" xr:uid="{00000000-0005-0000-0000-0000AA130000}"/>
    <cellStyle name="Comma 36 17 3" xfId="5040" xr:uid="{00000000-0005-0000-0000-0000AB130000}"/>
    <cellStyle name="Comma 36 17 4" xfId="5041" xr:uid="{00000000-0005-0000-0000-0000AC130000}"/>
    <cellStyle name="Comma 36 18" xfId="5042" xr:uid="{00000000-0005-0000-0000-0000AD130000}"/>
    <cellStyle name="Comma 36 18 2" xfId="5043" xr:uid="{00000000-0005-0000-0000-0000AE130000}"/>
    <cellStyle name="Comma 36 18 2 2" xfId="5044" xr:uid="{00000000-0005-0000-0000-0000AF130000}"/>
    <cellStyle name="Comma 36 18 2 3" xfId="5045" xr:uid="{00000000-0005-0000-0000-0000B0130000}"/>
    <cellStyle name="Comma 36 18 3" xfId="5046" xr:uid="{00000000-0005-0000-0000-0000B1130000}"/>
    <cellStyle name="Comma 36 18 4" xfId="5047" xr:uid="{00000000-0005-0000-0000-0000B2130000}"/>
    <cellStyle name="Comma 36 19" xfId="5048" xr:uid="{00000000-0005-0000-0000-0000B3130000}"/>
    <cellStyle name="Comma 36 19 2" xfId="5049" xr:uid="{00000000-0005-0000-0000-0000B4130000}"/>
    <cellStyle name="Comma 36 19 2 2" xfId="5050" xr:uid="{00000000-0005-0000-0000-0000B5130000}"/>
    <cellStyle name="Comma 36 19 2 3" xfId="5051" xr:uid="{00000000-0005-0000-0000-0000B6130000}"/>
    <cellStyle name="Comma 36 19 3" xfId="5052" xr:uid="{00000000-0005-0000-0000-0000B7130000}"/>
    <cellStyle name="Comma 36 19 4" xfId="5053" xr:uid="{00000000-0005-0000-0000-0000B8130000}"/>
    <cellStyle name="Comma 36 2" xfId="5054" xr:uid="{00000000-0005-0000-0000-0000B9130000}"/>
    <cellStyle name="Comma 36 2 2" xfId="5055" xr:uid="{00000000-0005-0000-0000-0000BA130000}"/>
    <cellStyle name="Comma 36 2 2 2" xfId="5056" xr:uid="{00000000-0005-0000-0000-0000BB130000}"/>
    <cellStyle name="Comma 36 2 2 3" xfId="5057" xr:uid="{00000000-0005-0000-0000-0000BC130000}"/>
    <cellStyle name="Comma 36 2 3" xfId="5058" xr:uid="{00000000-0005-0000-0000-0000BD130000}"/>
    <cellStyle name="Comma 36 2 4" xfId="5059" xr:uid="{00000000-0005-0000-0000-0000BE130000}"/>
    <cellStyle name="Comma 36 20" xfId="5060" xr:uid="{00000000-0005-0000-0000-0000BF130000}"/>
    <cellStyle name="Comma 36 20 2" xfId="5061" xr:uid="{00000000-0005-0000-0000-0000C0130000}"/>
    <cellStyle name="Comma 36 20 2 2" xfId="5062" xr:uid="{00000000-0005-0000-0000-0000C1130000}"/>
    <cellStyle name="Comma 36 20 2 3" xfId="5063" xr:uid="{00000000-0005-0000-0000-0000C2130000}"/>
    <cellStyle name="Comma 36 20 3" xfId="5064" xr:uid="{00000000-0005-0000-0000-0000C3130000}"/>
    <cellStyle name="Comma 36 20 4" xfId="5065" xr:uid="{00000000-0005-0000-0000-0000C4130000}"/>
    <cellStyle name="Comma 36 21" xfId="5066" xr:uid="{00000000-0005-0000-0000-0000C5130000}"/>
    <cellStyle name="Comma 36 21 2" xfId="5067" xr:uid="{00000000-0005-0000-0000-0000C6130000}"/>
    <cellStyle name="Comma 36 21 2 2" xfId="5068" xr:uid="{00000000-0005-0000-0000-0000C7130000}"/>
    <cellStyle name="Comma 36 21 2 3" xfId="5069" xr:uid="{00000000-0005-0000-0000-0000C8130000}"/>
    <cellStyle name="Comma 36 21 3" xfId="5070" xr:uid="{00000000-0005-0000-0000-0000C9130000}"/>
    <cellStyle name="Comma 36 21 4" xfId="5071" xr:uid="{00000000-0005-0000-0000-0000CA130000}"/>
    <cellStyle name="Comma 36 22" xfId="5072" xr:uid="{00000000-0005-0000-0000-0000CB130000}"/>
    <cellStyle name="Comma 36 22 2" xfId="5073" xr:uid="{00000000-0005-0000-0000-0000CC130000}"/>
    <cellStyle name="Comma 36 22 2 2" xfId="5074" xr:uid="{00000000-0005-0000-0000-0000CD130000}"/>
    <cellStyle name="Comma 36 22 2 3" xfId="5075" xr:uid="{00000000-0005-0000-0000-0000CE130000}"/>
    <cellStyle name="Comma 36 22 3" xfId="5076" xr:uid="{00000000-0005-0000-0000-0000CF130000}"/>
    <cellStyle name="Comma 36 22 4" xfId="5077" xr:uid="{00000000-0005-0000-0000-0000D0130000}"/>
    <cellStyle name="Comma 36 23" xfId="5078" xr:uid="{00000000-0005-0000-0000-0000D1130000}"/>
    <cellStyle name="Comma 36 23 2" xfId="5079" xr:uid="{00000000-0005-0000-0000-0000D2130000}"/>
    <cellStyle name="Comma 36 23 2 2" xfId="5080" xr:uid="{00000000-0005-0000-0000-0000D3130000}"/>
    <cellStyle name="Comma 36 23 2 3" xfId="5081" xr:uid="{00000000-0005-0000-0000-0000D4130000}"/>
    <cellStyle name="Comma 36 23 3" xfId="5082" xr:uid="{00000000-0005-0000-0000-0000D5130000}"/>
    <cellStyle name="Comma 36 23 4" xfId="5083" xr:uid="{00000000-0005-0000-0000-0000D6130000}"/>
    <cellStyle name="Comma 36 24" xfId="5084" xr:uid="{00000000-0005-0000-0000-0000D7130000}"/>
    <cellStyle name="Comma 36 24 2" xfId="5085" xr:uid="{00000000-0005-0000-0000-0000D8130000}"/>
    <cellStyle name="Comma 36 24 3" xfId="5086" xr:uid="{00000000-0005-0000-0000-0000D9130000}"/>
    <cellStyle name="Comma 36 25" xfId="5087" xr:uid="{00000000-0005-0000-0000-0000DA130000}"/>
    <cellStyle name="Comma 36 26" xfId="5088" xr:uid="{00000000-0005-0000-0000-0000DB130000}"/>
    <cellStyle name="Comma 36 3" xfId="5089" xr:uid="{00000000-0005-0000-0000-0000DC130000}"/>
    <cellStyle name="Comma 36 3 2" xfId="5090" xr:uid="{00000000-0005-0000-0000-0000DD130000}"/>
    <cellStyle name="Comma 36 3 2 2" xfId="5091" xr:uid="{00000000-0005-0000-0000-0000DE130000}"/>
    <cellStyle name="Comma 36 3 2 3" xfId="5092" xr:uid="{00000000-0005-0000-0000-0000DF130000}"/>
    <cellStyle name="Comma 36 3 3" xfId="5093" xr:uid="{00000000-0005-0000-0000-0000E0130000}"/>
    <cellStyle name="Comma 36 3 4" xfId="5094" xr:uid="{00000000-0005-0000-0000-0000E1130000}"/>
    <cellStyle name="Comma 36 4" xfId="5095" xr:uid="{00000000-0005-0000-0000-0000E2130000}"/>
    <cellStyle name="Comma 36 4 2" xfId="5096" xr:uid="{00000000-0005-0000-0000-0000E3130000}"/>
    <cellStyle name="Comma 36 4 2 2" xfId="5097" xr:uid="{00000000-0005-0000-0000-0000E4130000}"/>
    <cellStyle name="Comma 36 4 2 3" xfId="5098" xr:uid="{00000000-0005-0000-0000-0000E5130000}"/>
    <cellStyle name="Comma 36 4 3" xfId="5099" xr:uid="{00000000-0005-0000-0000-0000E6130000}"/>
    <cellStyle name="Comma 36 4 4" xfId="5100" xr:uid="{00000000-0005-0000-0000-0000E7130000}"/>
    <cellStyle name="Comma 36 5" xfId="5101" xr:uid="{00000000-0005-0000-0000-0000E8130000}"/>
    <cellStyle name="Comma 36 5 2" xfId="5102" xr:uid="{00000000-0005-0000-0000-0000E9130000}"/>
    <cellStyle name="Comma 36 5 2 2" xfId="5103" xr:uid="{00000000-0005-0000-0000-0000EA130000}"/>
    <cellStyle name="Comma 36 5 2 3" xfId="5104" xr:uid="{00000000-0005-0000-0000-0000EB130000}"/>
    <cellStyle name="Comma 36 5 3" xfId="5105" xr:uid="{00000000-0005-0000-0000-0000EC130000}"/>
    <cellStyle name="Comma 36 5 4" xfId="5106" xr:uid="{00000000-0005-0000-0000-0000ED130000}"/>
    <cellStyle name="Comma 36 6" xfId="5107" xr:uid="{00000000-0005-0000-0000-0000EE130000}"/>
    <cellStyle name="Comma 36 6 2" xfId="5108" xr:uid="{00000000-0005-0000-0000-0000EF130000}"/>
    <cellStyle name="Comma 36 6 2 2" xfId="5109" xr:uid="{00000000-0005-0000-0000-0000F0130000}"/>
    <cellStyle name="Comma 36 6 2 3" xfId="5110" xr:uid="{00000000-0005-0000-0000-0000F1130000}"/>
    <cellStyle name="Comma 36 6 3" xfId="5111" xr:uid="{00000000-0005-0000-0000-0000F2130000}"/>
    <cellStyle name="Comma 36 6 4" xfId="5112" xr:uid="{00000000-0005-0000-0000-0000F3130000}"/>
    <cellStyle name="Comma 36 7" xfId="5113" xr:uid="{00000000-0005-0000-0000-0000F4130000}"/>
    <cellStyle name="Comma 36 7 2" xfId="5114" xr:uid="{00000000-0005-0000-0000-0000F5130000}"/>
    <cellStyle name="Comma 36 7 2 2" xfId="5115" xr:uid="{00000000-0005-0000-0000-0000F6130000}"/>
    <cellStyle name="Comma 36 7 2 3" xfId="5116" xr:uid="{00000000-0005-0000-0000-0000F7130000}"/>
    <cellStyle name="Comma 36 7 3" xfId="5117" xr:uid="{00000000-0005-0000-0000-0000F8130000}"/>
    <cellStyle name="Comma 36 7 4" xfId="5118" xr:uid="{00000000-0005-0000-0000-0000F9130000}"/>
    <cellStyle name="Comma 36 8" xfId="5119" xr:uid="{00000000-0005-0000-0000-0000FA130000}"/>
    <cellStyle name="Comma 36 8 2" xfId="5120" xr:uid="{00000000-0005-0000-0000-0000FB130000}"/>
    <cellStyle name="Comma 36 8 2 2" xfId="5121" xr:uid="{00000000-0005-0000-0000-0000FC130000}"/>
    <cellStyle name="Comma 36 8 2 3" xfId="5122" xr:uid="{00000000-0005-0000-0000-0000FD130000}"/>
    <cellStyle name="Comma 36 8 3" xfId="5123" xr:uid="{00000000-0005-0000-0000-0000FE130000}"/>
    <cellStyle name="Comma 36 8 4" xfId="5124" xr:uid="{00000000-0005-0000-0000-0000FF130000}"/>
    <cellStyle name="Comma 36 9" xfId="5125" xr:uid="{00000000-0005-0000-0000-000000140000}"/>
    <cellStyle name="Comma 36 9 2" xfId="5126" xr:uid="{00000000-0005-0000-0000-000001140000}"/>
    <cellStyle name="Comma 36 9 2 2" xfId="5127" xr:uid="{00000000-0005-0000-0000-000002140000}"/>
    <cellStyle name="Comma 36 9 2 3" xfId="5128" xr:uid="{00000000-0005-0000-0000-000003140000}"/>
    <cellStyle name="Comma 36 9 3" xfId="5129" xr:uid="{00000000-0005-0000-0000-000004140000}"/>
    <cellStyle name="Comma 36 9 4" xfId="5130" xr:uid="{00000000-0005-0000-0000-000005140000}"/>
    <cellStyle name="Comma 37" xfId="5131" xr:uid="{00000000-0005-0000-0000-000006140000}"/>
    <cellStyle name="Comma 37 10" xfId="5132" xr:uid="{00000000-0005-0000-0000-000007140000}"/>
    <cellStyle name="Comma 37 10 2" xfId="5133" xr:uid="{00000000-0005-0000-0000-000008140000}"/>
    <cellStyle name="Comma 37 10 2 2" xfId="5134" xr:uid="{00000000-0005-0000-0000-000009140000}"/>
    <cellStyle name="Comma 37 10 2 3" xfId="5135" xr:uid="{00000000-0005-0000-0000-00000A140000}"/>
    <cellStyle name="Comma 37 10 3" xfId="5136" xr:uid="{00000000-0005-0000-0000-00000B140000}"/>
    <cellStyle name="Comma 37 10 4" xfId="5137" xr:uid="{00000000-0005-0000-0000-00000C140000}"/>
    <cellStyle name="Comma 37 11" xfId="5138" xr:uid="{00000000-0005-0000-0000-00000D140000}"/>
    <cellStyle name="Comma 37 11 2" xfId="5139" xr:uid="{00000000-0005-0000-0000-00000E140000}"/>
    <cellStyle name="Comma 37 11 2 2" xfId="5140" xr:uid="{00000000-0005-0000-0000-00000F140000}"/>
    <cellStyle name="Comma 37 11 2 3" xfId="5141" xr:uid="{00000000-0005-0000-0000-000010140000}"/>
    <cellStyle name="Comma 37 11 3" xfId="5142" xr:uid="{00000000-0005-0000-0000-000011140000}"/>
    <cellStyle name="Comma 37 11 4" xfId="5143" xr:uid="{00000000-0005-0000-0000-000012140000}"/>
    <cellStyle name="Comma 37 12" xfId="5144" xr:uid="{00000000-0005-0000-0000-000013140000}"/>
    <cellStyle name="Comma 37 12 2" xfId="5145" xr:uid="{00000000-0005-0000-0000-000014140000}"/>
    <cellStyle name="Comma 37 12 2 2" xfId="5146" xr:uid="{00000000-0005-0000-0000-000015140000}"/>
    <cellStyle name="Comma 37 12 2 3" xfId="5147" xr:uid="{00000000-0005-0000-0000-000016140000}"/>
    <cellStyle name="Comma 37 12 3" xfId="5148" xr:uid="{00000000-0005-0000-0000-000017140000}"/>
    <cellStyle name="Comma 37 12 4" xfId="5149" xr:uid="{00000000-0005-0000-0000-000018140000}"/>
    <cellStyle name="Comma 37 13" xfId="5150" xr:uid="{00000000-0005-0000-0000-000019140000}"/>
    <cellStyle name="Comma 37 13 2" xfId="5151" xr:uid="{00000000-0005-0000-0000-00001A140000}"/>
    <cellStyle name="Comma 37 13 2 2" xfId="5152" xr:uid="{00000000-0005-0000-0000-00001B140000}"/>
    <cellStyle name="Comma 37 13 2 3" xfId="5153" xr:uid="{00000000-0005-0000-0000-00001C140000}"/>
    <cellStyle name="Comma 37 13 3" xfId="5154" xr:uid="{00000000-0005-0000-0000-00001D140000}"/>
    <cellStyle name="Comma 37 13 4" xfId="5155" xr:uid="{00000000-0005-0000-0000-00001E140000}"/>
    <cellStyle name="Comma 37 14" xfId="5156" xr:uid="{00000000-0005-0000-0000-00001F140000}"/>
    <cellStyle name="Comma 37 14 2" xfId="5157" xr:uid="{00000000-0005-0000-0000-000020140000}"/>
    <cellStyle name="Comma 37 14 2 2" xfId="5158" xr:uid="{00000000-0005-0000-0000-000021140000}"/>
    <cellStyle name="Comma 37 14 2 3" xfId="5159" xr:uid="{00000000-0005-0000-0000-000022140000}"/>
    <cellStyle name="Comma 37 14 3" xfId="5160" xr:uid="{00000000-0005-0000-0000-000023140000}"/>
    <cellStyle name="Comma 37 14 4" xfId="5161" xr:uid="{00000000-0005-0000-0000-000024140000}"/>
    <cellStyle name="Comma 37 15" xfId="5162" xr:uid="{00000000-0005-0000-0000-000025140000}"/>
    <cellStyle name="Comma 37 15 2" xfId="5163" xr:uid="{00000000-0005-0000-0000-000026140000}"/>
    <cellStyle name="Comma 37 15 2 2" xfId="5164" xr:uid="{00000000-0005-0000-0000-000027140000}"/>
    <cellStyle name="Comma 37 15 2 3" xfId="5165" xr:uid="{00000000-0005-0000-0000-000028140000}"/>
    <cellStyle name="Comma 37 15 3" xfId="5166" xr:uid="{00000000-0005-0000-0000-000029140000}"/>
    <cellStyle name="Comma 37 15 4" xfId="5167" xr:uid="{00000000-0005-0000-0000-00002A140000}"/>
    <cellStyle name="Comma 37 16" xfId="5168" xr:uid="{00000000-0005-0000-0000-00002B140000}"/>
    <cellStyle name="Comma 37 16 2" xfId="5169" xr:uid="{00000000-0005-0000-0000-00002C140000}"/>
    <cellStyle name="Comma 37 16 2 2" xfId="5170" xr:uid="{00000000-0005-0000-0000-00002D140000}"/>
    <cellStyle name="Comma 37 16 2 3" xfId="5171" xr:uid="{00000000-0005-0000-0000-00002E140000}"/>
    <cellStyle name="Comma 37 16 3" xfId="5172" xr:uid="{00000000-0005-0000-0000-00002F140000}"/>
    <cellStyle name="Comma 37 16 4" xfId="5173" xr:uid="{00000000-0005-0000-0000-000030140000}"/>
    <cellStyle name="Comma 37 17" xfId="5174" xr:uid="{00000000-0005-0000-0000-000031140000}"/>
    <cellStyle name="Comma 37 17 2" xfId="5175" xr:uid="{00000000-0005-0000-0000-000032140000}"/>
    <cellStyle name="Comma 37 17 2 2" xfId="5176" xr:uid="{00000000-0005-0000-0000-000033140000}"/>
    <cellStyle name="Comma 37 17 2 3" xfId="5177" xr:uid="{00000000-0005-0000-0000-000034140000}"/>
    <cellStyle name="Comma 37 17 3" xfId="5178" xr:uid="{00000000-0005-0000-0000-000035140000}"/>
    <cellStyle name="Comma 37 17 4" xfId="5179" xr:uid="{00000000-0005-0000-0000-000036140000}"/>
    <cellStyle name="Comma 37 18" xfId="5180" xr:uid="{00000000-0005-0000-0000-000037140000}"/>
    <cellStyle name="Comma 37 18 2" xfId="5181" xr:uid="{00000000-0005-0000-0000-000038140000}"/>
    <cellStyle name="Comma 37 18 2 2" xfId="5182" xr:uid="{00000000-0005-0000-0000-000039140000}"/>
    <cellStyle name="Comma 37 18 2 3" xfId="5183" xr:uid="{00000000-0005-0000-0000-00003A140000}"/>
    <cellStyle name="Comma 37 18 3" xfId="5184" xr:uid="{00000000-0005-0000-0000-00003B140000}"/>
    <cellStyle name="Comma 37 18 4" xfId="5185" xr:uid="{00000000-0005-0000-0000-00003C140000}"/>
    <cellStyle name="Comma 37 19" xfId="5186" xr:uid="{00000000-0005-0000-0000-00003D140000}"/>
    <cellStyle name="Comma 37 19 2" xfId="5187" xr:uid="{00000000-0005-0000-0000-00003E140000}"/>
    <cellStyle name="Comma 37 19 2 2" xfId="5188" xr:uid="{00000000-0005-0000-0000-00003F140000}"/>
    <cellStyle name="Comma 37 19 2 3" xfId="5189" xr:uid="{00000000-0005-0000-0000-000040140000}"/>
    <cellStyle name="Comma 37 19 3" xfId="5190" xr:uid="{00000000-0005-0000-0000-000041140000}"/>
    <cellStyle name="Comma 37 19 4" xfId="5191" xr:uid="{00000000-0005-0000-0000-000042140000}"/>
    <cellStyle name="Comma 37 2" xfId="5192" xr:uid="{00000000-0005-0000-0000-000043140000}"/>
    <cellStyle name="Comma 37 2 2" xfId="5193" xr:uid="{00000000-0005-0000-0000-000044140000}"/>
    <cellStyle name="Comma 37 2 2 2" xfId="5194" xr:uid="{00000000-0005-0000-0000-000045140000}"/>
    <cellStyle name="Comma 37 2 2 3" xfId="5195" xr:uid="{00000000-0005-0000-0000-000046140000}"/>
    <cellStyle name="Comma 37 2 3" xfId="5196" xr:uid="{00000000-0005-0000-0000-000047140000}"/>
    <cellStyle name="Comma 37 2 4" xfId="5197" xr:uid="{00000000-0005-0000-0000-000048140000}"/>
    <cellStyle name="Comma 37 20" xfId="5198" xr:uid="{00000000-0005-0000-0000-000049140000}"/>
    <cellStyle name="Comma 37 20 2" xfId="5199" xr:uid="{00000000-0005-0000-0000-00004A140000}"/>
    <cellStyle name="Comma 37 20 2 2" xfId="5200" xr:uid="{00000000-0005-0000-0000-00004B140000}"/>
    <cellStyle name="Comma 37 20 2 3" xfId="5201" xr:uid="{00000000-0005-0000-0000-00004C140000}"/>
    <cellStyle name="Comma 37 20 3" xfId="5202" xr:uid="{00000000-0005-0000-0000-00004D140000}"/>
    <cellStyle name="Comma 37 20 4" xfId="5203" xr:uid="{00000000-0005-0000-0000-00004E140000}"/>
    <cellStyle name="Comma 37 21" xfId="5204" xr:uid="{00000000-0005-0000-0000-00004F140000}"/>
    <cellStyle name="Comma 37 21 2" xfId="5205" xr:uid="{00000000-0005-0000-0000-000050140000}"/>
    <cellStyle name="Comma 37 21 2 2" xfId="5206" xr:uid="{00000000-0005-0000-0000-000051140000}"/>
    <cellStyle name="Comma 37 21 2 3" xfId="5207" xr:uid="{00000000-0005-0000-0000-000052140000}"/>
    <cellStyle name="Comma 37 21 3" xfId="5208" xr:uid="{00000000-0005-0000-0000-000053140000}"/>
    <cellStyle name="Comma 37 21 4" xfId="5209" xr:uid="{00000000-0005-0000-0000-000054140000}"/>
    <cellStyle name="Comma 37 22" xfId="5210" xr:uid="{00000000-0005-0000-0000-000055140000}"/>
    <cellStyle name="Comma 37 22 2" xfId="5211" xr:uid="{00000000-0005-0000-0000-000056140000}"/>
    <cellStyle name="Comma 37 22 2 2" xfId="5212" xr:uid="{00000000-0005-0000-0000-000057140000}"/>
    <cellStyle name="Comma 37 22 2 3" xfId="5213" xr:uid="{00000000-0005-0000-0000-000058140000}"/>
    <cellStyle name="Comma 37 22 3" xfId="5214" xr:uid="{00000000-0005-0000-0000-000059140000}"/>
    <cellStyle name="Comma 37 22 4" xfId="5215" xr:uid="{00000000-0005-0000-0000-00005A140000}"/>
    <cellStyle name="Comma 37 23" xfId="5216" xr:uid="{00000000-0005-0000-0000-00005B140000}"/>
    <cellStyle name="Comma 37 23 2" xfId="5217" xr:uid="{00000000-0005-0000-0000-00005C140000}"/>
    <cellStyle name="Comma 37 23 2 2" xfId="5218" xr:uid="{00000000-0005-0000-0000-00005D140000}"/>
    <cellStyle name="Comma 37 23 2 3" xfId="5219" xr:uid="{00000000-0005-0000-0000-00005E140000}"/>
    <cellStyle name="Comma 37 23 3" xfId="5220" xr:uid="{00000000-0005-0000-0000-00005F140000}"/>
    <cellStyle name="Comma 37 23 4" xfId="5221" xr:uid="{00000000-0005-0000-0000-000060140000}"/>
    <cellStyle name="Comma 37 24" xfId="5222" xr:uid="{00000000-0005-0000-0000-000061140000}"/>
    <cellStyle name="Comma 37 24 2" xfId="5223" xr:uid="{00000000-0005-0000-0000-000062140000}"/>
    <cellStyle name="Comma 37 24 3" xfId="5224" xr:uid="{00000000-0005-0000-0000-000063140000}"/>
    <cellStyle name="Comma 37 25" xfId="5225" xr:uid="{00000000-0005-0000-0000-000064140000}"/>
    <cellStyle name="Comma 37 26" xfId="5226" xr:uid="{00000000-0005-0000-0000-000065140000}"/>
    <cellStyle name="Comma 37 3" xfId="5227" xr:uid="{00000000-0005-0000-0000-000066140000}"/>
    <cellStyle name="Comma 37 3 2" xfId="5228" xr:uid="{00000000-0005-0000-0000-000067140000}"/>
    <cellStyle name="Comma 37 3 2 2" xfId="5229" xr:uid="{00000000-0005-0000-0000-000068140000}"/>
    <cellStyle name="Comma 37 3 2 3" xfId="5230" xr:uid="{00000000-0005-0000-0000-000069140000}"/>
    <cellStyle name="Comma 37 3 3" xfId="5231" xr:uid="{00000000-0005-0000-0000-00006A140000}"/>
    <cellStyle name="Comma 37 3 4" xfId="5232" xr:uid="{00000000-0005-0000-0000-00006B140000}"/>
    <cellStyle name="Comma 37 4" xfId="5233" xr:uid="{00000000-0005-0000-0000-00006C140000}"/>
    <cellStyle name="Comma 37 4 2" xfId="5234" xr:uid="{00000000-0005-0000-0000-00006D140000}"/>
    <cellStyle name="Comma 37 4 2 2" xfId="5235" xr:uid="{00000000-0005-0000-0000-00006E140000}"/>
    <cellStyle name="Comma 37 4 2 3" xfId="5236" xr:uid="{00000000-0005-0000-0000-00006F140000}"/>
    <cellStyle name="Comma 37 4 3" xfId="5237" xr:uid="{00000000-0005-0000-0000-000070140000}"/>
    <cellStyle name="Comma 37 4 4" xfId="5238" xr:uid="{00000000-0005-0000-0000-000071140000}"/>
    <cellStyle name="Comma 37 5" xfId="5239" xr:uid="{00000000-0005-0000-0000-000072140000}"/>
    <cellStyle name="Comma 37 5 2" xfId="5240" xr:uid="{00000000-0005-0000-0000-000073140000}"/>
    <cellStyle name="Comma 37 5 2 2" xfId="5241" xr:uid="{00000000-0005-0000-0000-000074140000}"/>
    <cellStyle name="Comma 37 5 2 3" xfId="5242" xr:uid="{00000000-0005-0000-0000-000075140000}"/>
    <cellStyle name="Comma 37 5 3" xfId="5243" xr:uid="{00000000-0005-0000-0000-000076140000}"/>
    <cellStyle name="Comma 37 5 4" xfId="5244" xr:uid="{00000000-0005-0000-0000-000077140000}"/>
    <cellStyle name="Comma 37 6" xfId="5245" xr:uid="{00000000-0005-0000-0000-000078140000}"/>
    <cellStyle name="Comma 37 6 2" xfId="5246" xr:uid="{00000000-0005-0000-0000-000079140000}"/>
    <cellStyle name="Comma 37 6 2 2" xfId="5247" xr:uid="{00000000-0005-0000-0000-00007A140000}"/>
    <cellStyle name="Comma 37 6 2 3" xfId="5248" xr:uid="{00000000-0005-0000-0000-00007B140000}"/>
    <cellStyle name="Comma 37 6 3" xfId="5249" xr:uid="{00000000-0005-0000-0000-00007C140000}"/>
    <cellStyle name="Comma 37 6 4" xfId="5250" xr:uid="{00000000-0005-0000-0000-00007D140000}"/>
    <cellStyle name="Comma 37 7" xfId="5251" xr:uid="{00000000-0005-0000-0000-00007E140000}"/>
    <cellStyle name="Comma 37 7 2" xfId="5252" xr:uid="{00000000-0005-0000-0000-00007F140000}"/>
    <cellStyle name="Comma 37 7 2 2" xfId="5253" xr:uid="{00000000-0005-0000-0000-000080140000}"/>
    <cellStyle name="Comma 37 7 2 3" xfId="5254" xr:uid="{00000000-0005-0000-0000-000081140000}"/>
    <cellStyle name="Comma 37 7 3" xfId="5255" xr:uid="{00000000-0005-0000-0000-000082140000}"/>
    <cellStyle name="Comma 37 7 4" xfId="5256" xr:uid="{00000000-0005-0000-0000-000083140000}"/>
    <cellStyle name="Comma 37 8" xfId="5257" xr:uid="{00000000-0005-0000-0000-000084140000}"/>
    <cellStyle name="Comma 37 8 2" xfId="5258" xr:uid="{00000000-0005-0000-0000-000085140000}"/>
    <cellStyle name="Comma 37 8 2 2" xfId="5259" xr:uid="{00000000-0005-0000-0000-000086140000}"/>
    <cellStyle name="Comma 37 8 2 3" xfId="5260" xr:uid="{00000000-0005-0000-0000-000087140000}"/>
    <cellStyle name="Comma 37 8 3" xfId="5261" xr:uid="{00000000-0005-0000-0000-000088140000}"/>
    <cellStyle name="Comma 37 8 4" xfId="5262" xr:uid="{00000000-0005-0000-0000-000089140000}"/>
    <cellStyle name="Comma 37 9" xfId="5263" xr:uid="{00000000-0005-0000-0000-00008A140000}"/>
    <cellStyle name="Comma 37 9 2" xfId="5264" xr:uid="{00000000-0005-0000-0000-00008B140000}"/>
    <cellStyle name="Comma 37 9 2 2" xfId="5265" xr:uid="{00000000-0005-0000-0000-00008C140000}"/>
    <cellStyle name="Comma 37 9 2 3" xfId="5266" xr:uid="{00000000-0005-0000-0000-00008D140000}"/>
    <cellStyle name="Comma 37 9 3" xfId="5267" xr:uid="{00000000-0005-0000-0000-00008E140000}"/>
    <cellStyle name="Comma 37 9 4" xfId="5268" xr:uid="{00000000-0005-0000-0000-00008F140000}"/>
    <cellStyle name="Comma 38" xfId="5269" xr:uid="{00000000-0005-0000-0000-000090140000}"/>
    <cellStyle name="Comma 39" xfId="5270" xr:uid="{00000000-0005-0000-0000-000091140000}"/>
    <cellStyle name="Comma 4" xfId="5271" xr:uid="{00000000-0005-0000-0000-000092140000}"/>
    <cellStyle name="Comma 4 10" xfId="5272" xr:uid="{00000000-0005-0000-0000-000093140000}"/>
    <cellStyle name="Comma 4 10 2" xfId="5273" xr:uid="{00000000-0005-0000-0000-000094140000}"/>
    <cellStyle name="Comma 4 10 2 2" xfId="5274" xr:uid="{00000000-0005-0000-0000-000095140000}"/>
    <cellStyle name="Comma 4 10 2 3" xfId="5275" xr:uid="{00000000-0005-0000-0000-000096140000}"/>
    <cellStyle name="Comma 4 10 3" xfId="5276" xr:uid="{00000000-0005-0000-0000-000097140000}"/>
    <cellStyle name="Comma 4 10 4" xfId="5277" xr:uid="{00000000-0005-0000-0000-000098140000}"/>
    <cellStyle name="Comma 4 11" xfId="5278" xr:uid="{00000000-0005-0000-0000-000099140000}"/>
    <cellStyle name="Comma 4 11 2" xfId="5279" xr:uid="{00000000-0005-0000-0000-00009A140000}"/>
    <cellStyle name="Comma 4 11 2 2" xfId="5280" xr:uid="{00000000-0005-0000-0000-00009B140000}"/>
    <cellStyle name="Comma 4 11 2 3" xfId="5281" xr:uid="{00000000-0005-0000-0000-00009C140000}"/>
    <cellStyle name="Comma 4 11 3" xfId="5282" xr:uid="{00000000-0005-0000-0000-00009D140000}"/>
    <cellStyle name="Comma 4 11 4" xfId="5283" xr:uid="{00000000-0005-0000-0000-00009E140000}"/>
    <cellStyle name="Comma 4 12" xfId="5284" xr:uid="{00000000-0005-0000-0000-00009F140000}"/>
    <cellStyle name="Comma 4 12 2" xfId="5285" xr:uid="{00000000-0005-0000-0000-0000A0140000}"/>
    <cellStyle name="Comma 4 12 2 2" xfId="5286" xr:uid="{00000000-0005-0000-0000-0000A1140000}"/>
    <cellStyle name="Comma 4 12 2 3" xfId="5287" xr:uid="{00000000-0005-0000-0000-0000A2140000}"/>
    <cellStyle name="Comma 4 12 3" xfId="5288" xr:uid="{00000000-0005-0000-0000-0000A3140000}"/>
    <cellStyle name="Comma 4 12 4" xfId="5289" xr:uid="{00000000-0005-0000-0000-0000A4140000}"/>
    <cellStyle name="Comma 4 13" xfId="5290" xr:uid="{00000000-0005-0000-0000-0000A5140000}"/>
    <cellStyle name="Comma 4 13 2" xfId="5291" xr:uid="{00000000-0005-0000-0000-0000A6140000}"/>
    <cellStyle name="Comma 4 13 2 2" xfId="5292" xr:uid="{00000000-0005-0000-0000-0000A7140000}"/>
    <cellStyle name="Comma 4 13 2 3" xfId="5293" xr:uid="{00000000-0005-0000-0000-0000A8140000}"/>
    <cellStyle name="Comma 4 13 3" xfId="5294" xr:uid="{00000000-0005-0000-0000-0000A9140000}"/>
    <cellStyle name="Comma 4 13 4" xfId="5295" xr:uid="{00000000-0005-0000-0000-0000AA140000}"/>
    <cellStyle name="Comma 4 14" xfId="5296" xr:uid="{00000000-0005-0000-0000-0000AB140000}"/>
    <cellStyle name="Comma 4 14 2" xfId="5297" xr:uid="{00000000-0005-0000-0000-0000AC140000}"/>
    <cellStyle name="Comma 4 14 2 2" xfId="5298" xr:uid="{00000000-0005-0000-0000-0000AD140000}"/>
    <cellStyle name="Comma 4 14 2 3" xfId="5299" xr:uid="{00000000-0005-0000-0000-0000AE140000}"/>
    <cellStyle name="Comma 4 14 3" xfId="5300" xr:uid="{00000000-0005-0000-0000-0000AF140000}"/>
    <cellStyle name="Comma 4 14 4" xfId="5301" xr:uid="{00000000-0005-0000-0000-0000B0140000}"/>
    <cellStyle name="Comma 4 15" xfId="5302" xr:uid="{00000000-0005-0000-0000-0000B1140000}"/>
    <cellStyle name="Comma 4 15 2" xfId="5303" xr:uid="{00000000-0005-0000-0000-0000B2140000}"/>
    <cellStyle name="Comma 4 15 2 2" xfId="5304" xr:uid="{00000000-0005-0000-0000-0000B3140000}"/>
    <cellStyle name="Comma 4 15 2 3" xfId="5305" xr:uid="{00000000-0005-0000-0000-0000B4140000}"/>
    <cellStyle name="Comma 4 15 3" xfId="5306" xr:uid="{00000000-0005-0000-0000-0000B5140000}"/>
    <cellStyle name="Comma 4 15 4" xfId="5307" xr:uid="{00000000-0005-0000-0000-0000B6140000}"/>
    <cellStyle name="Comma 4 16" xfId="5308" xr:uid="{00000000-0005-0000-0000-0000B7140000}"/>
    <cellStyle name="Comma 4 16 2" xfId="5309" xr:uid="{00000000-0005-0000-0000-0000B8140000}"/>
    <cellStyle name="Comma 4 16 2 2" xfId="5310" xr:uid="{00000000-0005-0000-0000-0000B9140000}"/>
    <cellStyle name="Comma 4 16 2 3" xfId="5311" xr:uid="{00000000-0005-0000-0000-0000BA140000}"/>
    <cellStyle name="Comma 4 16 3" xfId="5312" xr:uid="{00000000-0005-0000-0000-0000BB140000}"/>
    <cellStyle name="Comma 4 16 4" xfId="5313" xr:uid="{00000000-0005-0000-0000-0000BC140000}"/>
    <cellStyle name="Comma 4 17" xfId="5314" xr:uid="{00000000-0005-0000-0000-0000BD140000}"/>
    <cellStyle name="Comma 4 17 2" xfId="5315" xr:uid="{00000000-0005-0000-0000-0000BE140000}"/>
    <cellStyle name="Comma 4 17 2 2" xfId="5316" xr:uid="{00000000-0005-0000-0000-0000BF140000}"/>
    <cellStyle name="Comma 4 17 2 3" xfId="5317" xr:uid="{00000000-0005-0000-0000-0000C0140000}"/>
    <cellStyle name="Comma 4 17 3" xfId="5318" xr:uid="{00000000-0005-0000-0000-0000C1140000}"/>
    <cellStyle name="Comma 4 17 4" xfId="5319" xr:uid="{00000000-0005-0000-0000-0000C2140000}"/>
    <cellStyle name="Comma 4 18" xfId="5320" xr:uid="{00000000-0005-0000-0000-0000C3140000}"/>
    <cellStyle name="Comma 4 18 2" xfId="5321" xr:uid="{00000000-0005-0000-0000-0000C4140000}"/>
    <cellStyle name="Comma 4 18 2 2" xfId="5322" xr:uid="{00000000-0005-0000-0000-0000C5140000}"/>
    <cellStyle name="Comma 4 18 2 3" xfId="5323" xr:uid="{00000000-0005-0000-0000-0000C6140000}"/>
    <cellStyle name="Comma 4 18 3" xfId="5324" xr:uid="{00000000-0005-0000-0000-0000C7140000}"/>
    <cellStyle name="Comma 4 18 4" xfId="5325" xr:uid="{00000000-0005-0000-0000-0000C8140000}"/>
    <cellStyle name="Comma 4 19" xfId="5326" xr:uid="{00000000-0005-0000-0000-0000C9140000}"/>
    <cellStyle name="Comma 4 19 2" xfId="5327" xr:uid="{00000000-0005-0000-0000-0000CA140000}"/>
    <cellStyle name="Comma 4 19 2 2" xfId="5328" xr:uid="{00000000-0005-0000-0000-0000CB140000}"/>
    <cellStyle name="Comma 4 19 2 3" xfId="5329" xr:uid="{00000000-0005-0000-0000-0000CC140000}"/>
    <cellStyle name="Comma 4 19 3" xfId="5330" xr:uid="{00000000-0005-0000-0000-0000CD140000}"/>
    <cellStyle name="Comma 4 19 4" xfId="5331" xr:uid="{00000000-0005-0000-0000-0000CE140000}"/>
    <cellStyle name="Comma 4 2" xfId="5332" xr:uid="{00000000-0005-0000-0000-0000CF140000}"/>
    <cellStyle name="Comma 4 2 2" xfId="5333" xr:uid="{00000000-0005-0000-0000-0000D0140000}"/>
    <cellStyle name="Comma 4 2 2 2" xfId="5334" xr:uid="{00000000-0005-0000-0000-0000D1140000}"/>
    <cellStyle name="Comma 4 2 2 3" xfId="5335" xr:uid="{00000000-0005-0000-0000-0000D2140000}"/>
    <cellStyle name="Comma 4 2 3" xfId="5336" xr:uid="{00000000-0005-0000-0000-0000D3140000}"/>
    <cellStyle name="Comma 4 2 4" xfId="5337" xr:uid="{00000000-0005-0000-0000-0000D4140000}"/>
    <cellStyle name="Comma 4 20" xfId="5338" xr:uid="{00000000-0005-0000-0000-0000D5140000}"/>
    <cellStyle name="Comma 4 20 2" xfId="5339" xr:uid="{00000000-0005-0000-0000-0000D6140000}"/>
    <cellStyle name="Comma 4 20 2 2" xfId="5340" xr:uid="{00000000-0005-0000-0000-0000D7140000}"/>
    <cellStyle name="Comma 4 20 2 3" xfId="5341" xr:uid="{00000000-0005-0000-0000-0000D8140000}"/>
    <cellStyle name="Comma 4 20 3" xfId="5342" xr:uid="{00000000-0005-0000-0000-0000D9140000}"/>
    <cellStyle name="Comma 4 20 4" xfId="5343" xr:uid="{00000000-0005-0000-0000-0000DA140000}"/>
    <cellStyle name="Comma 4 21" xfId="5344" xr:uid="{00000000-0005-0000-0000-0000DB140000}"/>
    <cellStyle name="Comma 4 21 2" xfId="5345" xr:uid="{00000000-0005-0000-0000-0000DC140000}"/>
    <cellStyle name="Comma 4 21 2 2" xfId="5346" xr:uid="{00000000-0005-0000-0000-0000DD140000}"/>
    <cellStyle name="Comma 4 21 2 3" xfId="5347" xr:uid="{00000000-0005-0000-0000-0000DE140000}"/>
    <cellStyle name="Comma 4 21 3" xfId="5348" xr:uid="{00000000-0005-0000-0000-0000DF140000}"/>
    <cellStyle name="Comma 4 21 4" xfId="5349" xr:uid="{00000000-0005-0000-0000-0000E0140000}"/>
    <cellStyle name="Comma 4 22" xfId="5350" xr:uid="{00000000-0005-0000-0000-0000E1140000}"/>
    <cellStyle name="Comma 4 22 2" xfId="5351" xr:uid="{00000000-0005-0000-0000-0000E2140000}"/>
    <cellStyle name="Comma 4 22 2 2" xfId="5352" xr:uid="{00000000-0005-0000-0000-0000E3140000}"/>
    <cellStyle name="Comma 4 22 2 3" xfId="5353" xr:uid="{00000000-0005-0000-0000-0000E4140000}"/>
    <cellStyle name="Comma 4 22 3" xfId="5354" xr:uid="{00000000-0005-0000-0000-0000E5140000}"/>
    <cellStyle name="Comma 4 22 4" xfId="5355" xr:uid="{00000000-0005-0000-0000-0000E6140000}"/>
    <cellStyle name="Comma 4 23" xfId="5356" xr:uid="{00000000-0005-0000-0000-0000E7140000}"/>
    <cellStyle name="Comma 4 23 2" xfId="5357" xr:uid="{00000000-0005-0000-0000-0000E8140000}"/>
    <cellStyle name="Comma 4 23 2 2" xfId="5358" xr:uid="{00000000-0005-0000-0000-0000E9140000}"/>
    <cellStyle name="Comma 4 23 2 3" xfId="5359" xr:uid="{00000000-0005-0000-0000-0000EA140000}"/>
    <cellStyle name="Comma 4 23 3" xfId="5360" xr:uid="{00000000-0005-0000-0000-0000EB140000}"/>
    <cellStyle name="Comma 4 23 4" xfId="5361" xr:uid="{00000000-0005-0000-0000-0000EC140000}"/>
    <cellStyle name="Comma 4 24" xfId="5362" xr:uid="{00000000-0005-0000-0000-0000ED140000}"/>
    <cellStyle name="Comma 4 24 2" xfId="5363" xr:uid="{00000000-0005-0000-0000-0000EE140000}"/>
    <cellStyle name="Comma 4 24 3" xfId="5364" xr:uid="{00000000-0005-0000-0000-0000EF140000}"/>
    <cellStyle name="Comma 4 25" xfId="5365" xr:uid="{00000000-0005-0000-0000-0000F0140000}"/>
    <cellStyle name="Comma 4 26" xfId="5366" xr:uid="{00000000-0005-0000-0000-0000F1140000}"/>
    <cellStyle name="Comma 4 3" xfId="5367" xr:uid="{00000000-0005-0000-0000-0000F2140000}"/>
    <cellStyle name="Comma 4 3 2" xfId="5368" xr:uid="{00000000-0005-0000-0000-0000F3140000}"/>
    <cellStyle name="Comma 4 3 2 2" xfId="5369" xr:uid="{00000000-0005-0000-0000-0000F4140000}"/>
    <cellStyle name="Comma 4 3 2 3" xfId="5370" xr:uid="{00000000-0005-0000-0000-0000F5140000}"/>
    <cellStyle name="Comma 4 3 3" xfId="5371" xr:uid="{00000000-0005-0000-0000-0000F6140000}"/>
    <cellStyle name="Comma 4 3 4" xfId="5372" xr:uid="{00000000-0005-0000-0000-0000F7140000}"/>
    <cellStyle name="Comma 4 4" xfId="5373" xr:uid="{00000000-0005-0000-0000-0000F8140000}"/>
    <cellStyle name="Comma 4 4 2" xfId="5374" xr:uid="{00000000-0005-0000-0000-0000F9140000}"/>
    <cellStyle name="Comma 4 4 2 2" xfId="5375" xr:uid="{00000000-0005-0000-0000-0000FA140000}"/>
    <cellStyle name="Comma 4 4 2 3" xfId="5376" xr:uid="{00000000-0005-0000-0000-0000FB140000}"/>
    <cellStyle name="Comma 4 4 3" xfId="5377" xr:uid="{00000000-0005-0000-0000-0000FC140000}"/>
    <cellStyle name="Comma 4 4 4" xfId="5378" xr:uid="{00000000-0005-0000-0000-0000FD140000}"/>
    <cellStyle name="Comma 4 5" xfId="5379" xr:uid="{00000000-0005-0000-0000-0000FE140000}"/>
    <cellStyle name="Comma 4 5 2" xfId="5380" xr:uid="{00000000-0005-0000-0000-0000FF140000}"/>
    <cellStyle name="Comma 4 5 2 2" xfId="5381" xr:uid="{00000000-0005-0000-0000-000000150000}"/>
    <cellStyle name="Comma 4 5 2 3" xfId="5382" xr:uid="{00000000-0005-0000-0000-000001150000}"/>
    <cellStyle name="Comma 4 5 3" xfId="5383" xr:uid="{00000000-0005-0000-0000-000002150000}"/>
    <cellStyle name="Comma 4 5 4" xfId="5384" xr:uid="{00000000-0005-0000-0000-000003150000}"/>
    <cellStyle name="Comma 4 6" xfId="5385" xr:uid="{00000000-0005-0000-0000-000004150000}"/>
    <cellStyle name="Comma 4 6 2" xfId="5386" xr:uid="{00000000-0005-0000-0000-000005150000}"/>
    <cellStyle name="Comma 4 6 2 2" xfId="5387" xr:uid="{00000000-0005-0000-0000-000006150000}"/>
    <cellStyle name="Comma 4 6 2 3" xfId="5388" xr:uid="{00000000-0005-0000-0000-000007150000}"/>
    <cellStyle name="Comma 4 6 3" xfId="5389" xr:uid="{00000000-0005-0000-0000-000008150000}"/>
    <cellStyle name="Comma 4 6 4" xfId="5390" xr:uid="{00000000-0005-0000-0000-000009150000}"/>
    <cellStyle name="Comma 4 7" xfId="5391" xr:uid="{00000000-0005-0000-0000-00000A150000}"/>
    <cellStyle name="Comma 4 7 2" xfId="5392" xr:uid="{00000000-0005-0000-0000-00000B150000}"/>
    <cellStyle name="Comma 4 7 2 2" xfId="5393" xr:uid="{00000000-0005-0000-0000-00000C150000}"/>
    <cellStyle name="Comma 4 7 2 3" xfId="5394" xr:uid="{00000000-0005-0000-0000-00000D150000}"/>
    <cellStyle name="Comma 4 7 3" xfId="5395" xr:uid="{00000000-0005-0000-0000-00000E150000}"/>
    <cellStyle name="Comma 4 7 4" xfId="5396" xr:uid="{00000000-0005-0000-0000-00000F150000}"/>
    <cellStyle name="Comma 4 8" xfId="5397" xr:uid="{00000000-0005-0000-0000-000010150000}"/>
    <cellStyle name="Comma 4 8 2" xfId="5398" xr:uid="{00000000-0005-0000-0000-000011150000}"/>
    <cellStyle name="Comma 4 8 2 2" xfId="5399" xr:uid="{00000000-0005-0000-0000-000012150000}"/>
    <cellStyle name="Comma 4 8 2 3" xfId="5400" xr:uid="{00000000-0005-0000-0000-000013150000}"/>
    <cellStyle name="Comma 4 8 3" xfId="5401" xr:uid="{00000000-0005-0000-0000-000014150000}"/>
    <cellStyle name="Comma 4 8 4" xfId="5402" xr:uid="{00000000-0005-0000-0000-000015150000}"/>
    <cellStyle name="Comma 4 9" xfId="5403" xr:uid="{00000000-0005-0000-0000-000016150000}"/>
    <cellStyle name="Comma 4 9 2" xfId="5404" xr:uid="{00000000-0005-0000-0000-000017150000}"/>
    <cellStyle name="Comma 4 9 2 2" xfId="5405" xr:uid="{00000000-0005-0000-0000-000018150000}"/>
    <cellStyle name="Comma 4 9 2 3" xfId="5406" xr:uid="{00000000-0005-0000-0000-000019150000}"/>
    <cellStyle name="Comma 4 9 3" xfId="5407" xr:uid="{00000000-0005-0000-0000-00001A150000}"/>
    <cellStyle name="Comma 4 9 4" xfId="5408" xr:uid="{00000000-0005-0000-0000-00001B150000}"/>
    <cellStyle name="Comma 40" xfId="5409" xr:uid="{00000000-0005-0000-0000-00001C150000}"/>
    <cellStyle name="Comma 41" xfId="5410" xr:uid="{00000000-0005-0000-0000-00001D150000}"/>
    <cellStyle name="Comma 42" xfId="5411" xr:uid="{00000000-0005-0000-0000-00001E150000}"/>
    <cellStyle name="Comma 43" xfId="5412" xr:uid="{00000000-0005-0000-0000-00001F150000}"/>
    <cellStyle name="Comma 44" xfId="5413" xr:uid="{00000000-0005-0000-0000-000020150000}"/>
    <cellStyle name="Comma 45" xfId="5414" xr:uid="{00000000-0005-0000-0000-000021150000}"/>
    <cellStyle name="Comma 46" xfId="5415" xr:uid="{00000000-0005-0000-0000-000022150000}"/>
    <cellStyle name="Comma 47" xfId="5416" xr:uid="{00000000-0005-0000-0000-000023150000}"/>
    <cellStyle name="Comma 48" xfId="5417" xr:uid="{00000000-0005-0000-0000-000024150000}"/>
    <cellStyle name="Comma 49" xfId="5418" xr:uid="{00000000-0005-0000-0000-000025150000}"/>
    <cellStyle name="Comma 5" xfId="5419" xr:uid="{00000000-0005-0000-0000-000026150000}"/>
    <cellStyle name="Comma 5 10" xfId="5420" xr:uid="{00000000-0005-0000-0000-000027150000}"/>
    <cellStyle name="Comma 5 10 2" xfId="5421" xr:uid="{00000000-0005-0000-0000-000028150000}"/>
    <cellStyle name="Comma 5 10 2 2" xfId="5422" xr:uid="{00000000-0005-0000-0000-000029150000}"/>
    <cellStyle name="Comma 5 10 2 3" xfId="5423" xr:uid="{00000000-0005-0000-0000-00002A150000}"/>
    <cellStyle name="Comma 5 10 3" xfId="5424" xr:uid="{00000000-0005-0000-0000-00002B150000}"/>
    <cellStyle name="Comma 5 10 4" xfId="5425" xr:uid="{00000000-0005-0000-0000-00002C150000}"/>
    <cellStyle name="Comma 5 11" xfId="5426" xr:uid="{00000000-0005-0000-0000-00002D150000}"/>
    <cellStyle name="Comma 5 11 2" xfId="5427" xr:uid="{00000000-0005-0000-0000-00002E150000}"/>
    <cellStyle name="Comma 5 11 2 2" xfId="5428" xr:uid="{00000000-0005-0000-0000-00002F150000}"/>
    <cellStyle name="Comma 5 11 2 3" xfId="5429" xr:uid="{00000000-0005-0000-0000-000030150000}"/>
    <cellStyle name="Comma 5 11 3" xfId="5430" xr:uid="{00000000-0005-0000-0000-000031150000}"/>
    <cellStyle name="Comma 5 11 4" xfId="5431" xr:uid="{00000000-0005-0000-0000-000032150000}"/>
    <cellStyle name="Comma 5 12" xfId="5432" xr:uid="{00000000-0005-0000-0000-000033150000}"/>
    <cellStyle name="Comma 5 12 2" xfId="5433" xr:uid="{00000000-0005-0000-0000-000034150000}"/>
    <cellStyle name="Comma 5 12 2 2" xfId="5434" xr:uid="{00000000-0005-0000-0000-000035150000}"/>
    <cellStyle name="Comma 5 12 2 3" xfId="5435" xr:uid="{00000000-0005-0000-0000-000036150000}"/>
    <cellStyle name="Comma 5 12 3" xfId="5436" xr:uid="{00000000-0005-0000-0000-000037150000}"/>
    <cellStyle name="Comma 5 12 4" xfId="5437" xr:uid="{00000000-0005-0000-0000-000038150000}"/>
    <cellStyle name="Comma 5 13" xfId="5438" xr:uid="{00000000-0005-0000-0000-000039150000}"/>
    <cellStyle name="Comma 5 13 2" xfId="5439" xr:uid="{00000000-0005-0000-0000-00003A150000}"/>
    <cellStyle name="Comma 5 13 2 2" xfId="5440" xr:uid="{00000000-0005-0000-0000-00003B150000}"/>
    <cellStyle name="Comma 5 13 2 3" xfId="5441" xr:uid="{00000000-0005-0000-0000-00003C150000}"/>
    <cellStyle name="Comma 5 13 3" xfId="5442" xr:uid="{00000000-0005-0000-0000-00003D150000}"/>
    <cellStyle name="Comma 5 13 4" xfId="5443" xr:uid="{00000000-0005-0000-0000-00003E150000}"/>
    <cellStyle name="Comma 5 14" xfId="5444" xr:uid="{00000000-0005-0000-0000-00003F150000}"/>
    <cellStyle name="Comma 5 14 2" xfId="5445" xr:uid="{00000000-0005-0000-0000-000040150000}"/>
    <cellStyle name="Comma 5 14 2 2" xfId="5446" xr:uid="{00000000-0005-0000-0000-000041150000}"/>
    <cellStyle name="Comma 5 14 2 3" xfId="5447" xr:uid="{00000000-0005-0000-0000-000042150000}"/>
    <cellStyle name="Comma 5 14 3" xfId="5448" xr:uid="{00000000-0005-0000-0000-000043150000}"/>
    <cellStyle name="Comma 5 14 4" xfId="5449" xr:uid="{00000000-0005-0000-0000-000044150000}"/>
    <cellStyle name="Comma 5 15" xfId="5450" xr:uid="{00000000-0005-0000-0000-000045150000}"/>
    <cellStyle name="Comma 5 15 2" xfId="5451" xr:uid="{00000000-0005-0000-0000-000046150000}"/>
    <cellStyle name="Comma 5 15 2 2" xfId="5452" xr:uid="{00000000-0005-0000-0000-000047150000}"/>
    <cellStyle name="Comma 5 15 2 3" xfId="5453" xr:uid="{00000000-0005-0000-0000-000048150000}"/>
    <cellStyle name="Comma 5 15 3" xfId="5454" xr:uid="{00000000-0005-0000-0000-000049150000}"/>
    <cellStyle name="Comma 5 15 4" xfId="5455" xr:uid="{00000000-0005-0000-0000-00004A150000}"/>
    <cellStyle name="Comma 5 16" xfId="5456" xr:uid="{00000000-0005-0000-0000-00004B150000}"/>
    <cellStyle name="Comma 5 16 2" xfId="5457" xr:uid="{00000000-0005-0000-0000-00004C150000}"/>
    <cellStyle name="Comma 5 16 2 2" xfId="5458" xr:uid="{00000000-0005-0000-0000-00004D150000}"/>
    <cellStyle name="Comma 5 16 2 3" xfId="5459" xr:uid="{00000000-0005-0000-0000-00004E150000}"/>
    <cellStyle name="Comma 5 16 3" xfId="5460" xr:uid="{00000000-0005-0000-0000-00004F150000}"/>
    <cellStyle name="Comma 5 16 4" xfId="5461" xr:uid="{00000000-0005-0000-0000-000050150000}"/>
    <cellStyle name="Comma 5 17" xfId="5462" xr:uid="{00000000-0005-0000-0000-000051150000}"/>
    <cellStyle name="Comma 5 17 2" xfId="5463" xr:uid="{00000000-0005-0000-0000-000052150000}"/>
    <cellStyle name="Comma 5 17 2 2" xfId="5464" xr:uid="{00000000-0005-0000-0000-000053150000}"/>
    <cellStyle name="Comma 5 17 2 3" xfId="5465" xr:uid="{00000000-0005-0000-0000-000054150000}"/>
    <cellStyle name="Comma 5 17 3" xfId="5466" xr:uid="{00000000-0005-0000-0000-000055150000}"/>
    <cellStyle name="Comma 5 17 4" xfId="5467" xr:uid="{00000000-0005-0000-0000-000056150000}"/>
    <cellStyle name="Comma 5 18" xfId="5468" xr:uid="{00000000-0005-0000-0000-000057150000}"/>
    <cellStyle name="Comma 5 18 2" xfId="5469" xr:uid="{00000000-0005-0000-0000-000058150000}"/>
    <cellStyle name="Comma 5 18 2 2" xfId="5470" xr:uid="{00000000-0005-0000-0000-000059150000}"/>
    <cellStyle name="Comma 5 18 2 3" xfId="5471" xr:uid="{00000000-0005-0000-0000-00005A150000}"/>
    <cellStyle name="Comma 5 18 3" xfId="5472" xr:uid="{00000000-0005-0000-0000-00005B150000}"/>
    <cellStyle name="Comma 5 18 4" xfId="5473" xr:uid="{00000000-0005-0000-0000-00005C150000}"/>
    <cellStyle name="Comma 5 19" xfId="5474" xr:uid="{00000000-0005-0000-0000-00005D150000}"/>
    <cellStyle name="Comma 5 19 2" xfId="5475" xr:uid="{00000000-0005-0000-0000-00005E150000}"/>
    <cellStyle name="Comma 5 19 2 2" xfId="5476" xr:uid="{00000000-0005-0000-0000-00005F150000}"/>
    <cellStyle name="Comma 5 19 2 3" xfId="5477" xr:uid="{00000000-0005-0000-0000-000060150000}"/>
    <cellStyle name="Comma 5 19 3" xfId="5478" xr:uid="{00000000-0005-0000-0000-000061150000}"/>
    <cellStyle name="Comma 5 19 4" xfId="5479" xr:uid="{00000000-0005-0000-0000-000062150000}"/>
    <cellStyle name="Comma 5 2" xfId="5480" xr:uid="{00000000-0005-0000-0000-000063150000}"/>
    <cellStyle name="Comma 5 2 2" xfId="5481" xr:uid="{00000000-0005-0000-0000-000064150000}"/>
    <cellStyle name="Comma 5 2 2 2" xfId="5482" xr:uid="{00000000-0005-0000-0000-000065150000}"/>
    <cellStyle name="Comma 5 2 2 3" xfId="5483" xr:uid="{00000000-0005-0000-0000-000066150000}"/>
    <cellStyle name="Comma 5 2 3" xfId="5484" xr:uid="{00000000-0005-0000-0000-000067150000}"/>
    <cellStyle name="Comma 5 2 4" xfId="5485" xr:uid="{00000000-0005-0000-0000-000068150000}"/>
    <cellStyle name="Comma 5 20" xfId="5486" xr:uid="{00000000-0005-0000-0000-000069150000}"/>
    <cellStyle name="Comma 5 20 2" xfId="5487" xr:uid="{00000000-0005-0000-0000-00006A150000}"/>
    <cellStyle name="Comma 5 20 2 2" xfId="5488" xr:uid="{00000000-0005-0000-0000-00006B150000}"/>
    <cellStyle name="Comma 5 20 2 3" xfId="5489" xr:uid="{00000000-0005-0000-0000-00006C150000}"/>
    <cellStyle name="Comma 5 20 3" xfId="5490" xr:uid="{00000000-0005-0000-0000-00006D150000}"/>
    <cellStyle name="Comma 5 20 4" xfId="5491" xr:uid="{00000000-0005-0000-0000-00006E150000}"/>
    <cellStyle name="Comma 5 21" xfId="5492" xr:uid="{00000000-0005-0000-0000-00006F150000}"/>
    <cellStyle name="Comma 5 21 2" xfId="5493" xr:uid="{00000000-0005-0000-0000-000070150000}"/>
    <cellStyle name="Comma 5 21 2 2" xfId="5494" xr:uid="{00000000-0005-0000-0000-000071150000}"/>
    <cellStyle name="Comma 5 21 2 3" xfId="5495" xr:uid="{00000000-0005-0000-0000-000072150000}"/>
    <cellStyle name="Comma 5 21 3" xfId="5496" xr:uid="{00000000-0005-0000-0000-000073150000}"/>
    <cellStyle name="Comma 5 21 4" xfId="5497" xr:uid="{00000000-0005-0000-0000-000074150000}"/>
    <cellStyle name="Comma 5 22" xfId="5498" xr:uid="{00000000-0005-0000-0000-000075150000}"/>
    <cellStyle name="Comma 5 22 2" xfId="5499" xr:uid="{00000000-0005-0000-0000-000076150000}"/>
    <cellStyle name="Comma 5 22 2 2" xfId="5500" xr:uid="{00000000-0005-0000-0000-000077150000}"/>
    <cellStyle name="Comma 5 22 2 3" xfId="5501" xr:uid="{00000000-0005-0000-0000-000078150000}"/>
    <cellStyle name="Comma 5 22 3" xfId="5502" xr:uid="{00000000-0005-0000-0000-000079150000}"/>
    <cellStyle name="Comma 5 22 4" xfId="5503" xr:uid="{00000000-0005-0000-0000-00007A150000}"/>
    <cellStyle name="Comma 5 23" xfId="5504" xr:uid="{00000000-0005-0000-0000-00007B150000}"/>
    <cellStyle name="Comma 5 23 2" xfId="5505" xr:uid="{00000000-0005-0000-0000-00007C150000}"/>
    <cellStyle name="Comma 5 23 2 2" xfId="5506" xr:uid="{00000000-0005-0000-0000-00007D150000}"/>
    <cellStyle name="Comma 5 23 2 3" xfId="5507" xr:uid="{00000000-0005-0000-0000-00007E150000}"/>
    <cellStyle name="Comma 5 23 3" xfId="5508" xr:uid="{00000000-0005-0000-0000-00007F150000}"/>
    <cellStyle name="Comma 5 23 4" xfId="5509" xr:uid="{00000000-0005-0000-0000-000080150000}"/>
    <cellStyle name="Comma 5 24" xfId="5510" xr:uid="{00000000-0005-0000-0000-000081150000}"/>
    <cellStyle name="Comma 5 24 2" xfId="5511" xr:uid="{00000000-0005-0000-0000-000082150000}"/>
    <cellStyle name="Comma 5 24 3" xfId="5512" xr:uid="{00000000-0005-0000-0000-000083150000}"/>
    <cellStyle name="Comma 5 25" xfId="5513" xr:uid="{00000000-0005-0000-0000-000084150000}"/>
    <cellStyle name="Comma 5 26" xfId="5514" xr:uid="{00000000-0005-0000-0000-000085150000}"/>
    <cellStyle name="Comma 5 3" xfId="5515" xr:uid="{00000000-0005-0000-0000-000086150000}"/>
    <cellStyle name="Comma 5 3 2" xfId="5516" xr:uid="{00000000-0005-0000-0000-000087150000}"/>
    <cellStyle name="Comma 5 3 2 2" xfId="5517" xr:uid="{00000000-0005-0000-0000-000088150000}"/>
    <cellStyle name="Comma 5 3 2 3" xfId="5518" xr:uid="{00000000-0005-0000-0000-000089150000}"/>
    <cellStyle name="Comma 5 3 3" xfId="5519" xr:uid="{00000000-0005-0000-0000-00008A150000}"/>
    <cellStyle name="Comma 5 3 4" xfId="5520" xr:uid="{00000000-0005-0000-0000-00008B150000}"/>
    <cellStyle name="Comma 5 4" xfId="5521" xr:uid="{00000000-0005-0000-0000-00008C150000}"/>
    <cellStyle name="Comma 5 4 2" xfId="5522" xr:uid="{00000000-0005-0000-0000-00008D150000}"/>
    <cellStyle name="Comma 5 4 2 2" xfId="5523" xr:uid="{00000000-0005-0000-0000-00008E150000}"/>
    <cellStyle name="Comma 5 4 2 3" xfId="5524" xr:uid="{00000000-0005-0000-0000-00008F150000}"/>
    <cellStyle name="Comma 5 4 3" xfId="5525" xr:uid="{00000000-0005-0000-0000-000090150000}"/>
    <cellStyle name="Comma 5 4 4" xfId="5526" xr:uid="{00000000-0005-0000-0000-000091150000}"/>
    <cellStyle name="Comma 5 5" xfId="5527" xr:uid="{00000000-0005-0000-0000-000092150000}"/>
    <cellStyle name="Comma 5 5 2" xfId="5528" xr:uid="{00000000-0005-0000-0000-000093150000}"/>
    <cellStyle name="Comma 5 5 2 2" xfId="5529" xr:uid="{00000000-0005-0000-0000-000094150000}"/>
    <cellStyle name="Comma 5 5 2 3" xfId="5530" xr:uid="{00000000-0005-0000-0000-000095150000}"/>
    <cellStyle name="Comma 5 5 3" xfId="5531" xr:uid="{00000000-0005-0000-0000-000096150000}"/>
    <cellStyle name="Comma 5 5 4" xfId="5532" xr:uid="{00000000-0005-0000-0000-000097150000}"/>
    <cellStyle name="Comma 5 6" xfId="5533" xr:uid="{00000000-0005-0000-0000-000098150000}"/>
    <cellStyle name="Comma 5 6 2" xfId="5534" xr:uid="{00000000-0005-0000-0000-000099150000}"/>
    <cellStyle name="Comma 5 6 2 2" xfId="5535" xr:uid="{00000000-0005-0000-0000-00009A150000}"/>
    <cellStyle name="Comma 5 6 2 3" xfId="5536" xr:uid="{00000000-0005-0000-0000-00009B150000}"/>
    <cellStyle name="Comma 5 6 3" xfId="5537" xr:uid="{00000000-0005-0000-0000-00009C150000}"/>
    <cellStyle name="Comma 5 6 4" xfId="5538" xr:uid="{00000000-0005-0000-0000-00009D150000}"/>
    <cellStyle name="Comma 5 7" xfId="5539" xr:uid="{00000000-0005-0000-0000-00009E150000}"/>
    <cellStyle name="Comma 5 7 2" xfId="5540" xr:uid="{00000000-0005-0000-0000-00009F150000}"/>
    <cellStyle name="Comma 5 7 2 2" xfId="5541" xr:uid="{00000000-0005-0000-0000-0000A0150000}"/>
    <cellStyle name="Comma 5 7 2 3" xfId="5542" xr:uid="{00000000-0005-0000-0000-0000A1150000}"/>
    <cellStyle name="Comma 5 7 3" xfId="5543" xr:uid="{00000000-0005-0000-0000-0000A2150000}"/>
    <cellStyle name="Comma 5 7 4" xfId="5544" xr:uid="{00000000-0005-0000-0000-0000A3150000}"/>
    <cellStyle name="Comma 5 8" xfId="5545" xr:uid="{00000000-0005-0000-0000-0000A4150000}"/>
    <cellStyle name="Comma 5 8 2" xfId="5546" xr:uid="{00000000-0005-0000-0000-0000A5150000}"/>
    <cellStyle name="Comma 5 8 2 2" xfId="5547" xr:uid="{00000000-0005-0000-0000-0000A6150000}"/>
    <cellStyle name="Comma 5 8 2 3" xfId="5548" xr:uid="{00000000-0005-0000-0000-0000A7150000}"/>
    <cellStyle name="Comma 5 8 3" xfId="5549" xr:uid="{00000000-0005-0000-0000-0000A8150000}"/>
    <cellStyle name="Comma 5 8 4" xfId="5550" xr:uid="{00000000-0005-0000-0000-0000A9150000}"/>
    <cellStyle name="Comma 5 9" xfId="5551" xr:uid="{00000000-0005-0000-0000-0000AA150000}"/>
    <cellStyle name="Comma 5 9 2" xfId="5552" xr:uid="{00000000-0005-0000-0000-0000AB150000}"/>
    <cellStyle name="Comma 5 9 2 2" xfId="5553" xr:uid="{00000000-0005-0000-0000-0000AC150000}"/>
    <cellStyle name="Comma 5 9 2 3" xfId="5554" xr:uid="{00000000-0005-0000-0000-0000AD150000}"/>
    <cellStyle name="Comma 5 9 3" xfId="5555" xr:uid="{00000000-0005-0000-0000-0000AE150000}"/>
    <cellStyle name="Comma 5 9 4" xfId="5556" xr:uid="{00000000-0005-0000-0000-0000AF150000}"/>
    <cellStyle name="Comma 50" xfId="5557" xr:uid="{00000000-0005-0000-0000-0000B0150000}"/>
    <cellStyle name="Comma 51" xfId="5558" xr:uid="{00000000-0005-0000-0000-0000B1150000}"/>
    <cellStyle name="Comma 52" xfId="5559" xr:uid="{00000000-0005-0000-0000-0000B2150000}"/>
    <cellStyle name="Comma 53" xfId="5560" xr:uid="{00000000-0005-0000-0000-0000B3150000}"/>
    <cellStyle name="Comma 54" xfId="5561" xr:uid="{00000000-0005-0000-0000-0000B4150000}"/>
    <cellStyle name="Comma 55" xfId="5562" xr:uid="{00000000-0005-0000-0000-0000B5150000}"/>
    <cellStyle name="Comma 56" xfId="5563" xr:uid="{00000000-0005-0000-0000-0000B6150000}"/>
    <cellStyle name="Comma 57" xfId="5564" xr:uid="{00000000-0005-0000-0000-0000B7150000}"/>
    <cellStyle name="Comma 58" xfId="5565" xr:uid="{00000000-0005-0000-0000-0000B8150000}"/>
    <cellStyle name="Comma 59" xfId="5566" xr:uid="{00000000-0005-0000-0000-0000B9150000}"/>
    <cellStyle name="Comma 6" xfId="5567" xr:uid="{00000000-0005-0000-0000-0000BA150000}"/>
    <cellStyle name="Comma 6 10" xfId="5568" xr:uid="{00000000-0005-0000-0000-0000BB150000}"/>
    <cellStyle name="Comma 6 10 2" xfId="5569" xr:uid="{00000000-0005-0000-0000-0000BC150000}"/>
    <cellStyle name="Comma 6 10 2 2" xfId="5570" xr:uid="{00000000-0005-0000-0000-0000BD150000}"/>
    <cellStyle name="Comma 6 10 2 3" xfId="5571" xr:uid="{00000000-0005-0000-0000-0000BE150000}"/>
    <cellStyle name="Comma 6 10 3" xfId="5572" xr:uid="{00000000-0005-0000-0000-0000BF150000}"/>
    <cellStyle name="Comma 6 10 4" xfId="5573" xr:uid="{00000000-0005-0000-0000-0000C0150000}"/>
    <cellStyle name="Comma 6 11" xfId="5574" xr:uid="{00000000-0005-0000-0000-0000C1150000}"/>
    <cellStyle name="Comma 6 11 2" xfId="5575" xr:uid="{00000000-0005-0000-0000-0000C2150000}"/>
    <cellStyle name="Comma 6 11 2 2" xfId="5576" xr:uid="{00000000-0005-0000-0000-0000C3150000}"/>
    <cellStyle name="Comma 6 11 2 3" xfId="5577" xr:uid="{00000000-0005-0000-0000-0000C4150000}"/>
    <cellStyle name="Comma 6 11 3" xfId="5578" xr:uid="{00000000-0005-0000-0000-0000C5150000}"/>
    <cellStyle name="Comma 6 11 4" xfId="5579" xr:uid="{00000000-0005-0000-0000-0000C6150000}"/>
    <cellStyle name="Comma 6 12" xfId="5580" xr:uid="{00000000-0005-0000-0000-0000C7150000}"/>
    <cellStyle name="Comma 6 12 2" xfId="5581" xr:uid="{00000000-0005-0000-0000-0000C8150000}"/>
    <cellStyle name="Comma 6 12 2 2" xfId="5582" xr:uid="{00000000-0005-0000-0000-0000C9150000}"/>
    <cellStyle name="Comma 6 12 2 3" xfId="5583" xr:uid="{00000000-0005-0000-0000-0000CA150000}"/>
    <cellStyle name="Comma 6 12 3" xfId="5584" xr:uid="{00000000-0005-0000-0000-0000CB150000}"/>
    <cellStyle name="Comma 6 12 4" xfId="5585" xr:uid="{00000000-0005-0000-0000-0000CC150000}"/>
    <cellStyle name="Comma 6 13" xfId="5586" xr:uid="{00000000-0005-0000-0000-0000CD150000}"/>
    <cellStyle name="Comma 6 13 2" xfId="5587" xr:uid="{00000000-0005-0000-0000-0000CE150000}"/>
    <cellStyle name="Comma 6 13 2 2" xfId="5588" xr:uid="{00000000-0005-0000-0000-0000CF150000}"/>
    <cellStyle name="Comma 6 13 2 3" xfId="5589" xr:uid="{00000000-0005-0000-0000-0000D0150000}"/>
    <cellStyle name="Comma 6 13 3" xfId="5590" xr:uid="{00000000-0005-0000-0000-0000D1150000}"/>
    <cellStyle name="Comma 6 13 4" xfId="5591" xr:uid="{00000000-0005-0000-0000-0000D2150000}"/>
    <cellStyle name="Comma 6 14" xfId="5592" xr:uid="{00000000-0005-0000-0000-0000D3150000}"/>
    <cellStyle name="Comma 6 14 2" xfId="5593" xr:uid="{00000000-0005-0000-0000-0000D4150000}"/>
    <cellStyle name="Comma 6 14 2 2" xfId="5594" xr:uid="{00000000-0005-0000-0000-0000D5150000}"/>
    <cellStyle name="Comma 6 14 2 3" xfId="5595" xr:uid="{00000000-0005-0000-0000-0000D6150000}"/>
    <cellStyle name="Comma 6 14 3" xfId="5596" xr:uid="{00000000-0005-0000-0000-0000D7150000}"/>
    <cellStyle name="Comma 6 14 4" xfId="5597" xr:uid="{00000000-0005-0000-0000-0000D8150000}"/>
    <cellStyle name="Comma 6 15" xfId="5598" xr:uid="{00000000-0005-0000-0000-0000D9150000}"/>
    <cellStyle name="Comma 6 15 2" xfId="5599" xr:uid="{00000000-0005-0000-0000-0000DA150000}"/>
    <cellStyle name="Comma 6 15 2 2" xfId="5600" xr:uid="{00000000-0005-0000-0000-0000DB150000}"/>
    <cellStyle name="Comma 6 15 2 3" xfId="5601" xr:uid="{00000000-0005-0000-0000-0000DC150000}"/>
    <cellStyle name="Comma 6 15 3" xfId="5602" xr:uid="{00000000-0005-0000-0000-0000DD150000}"/>
    <cellStyle name="Comma 6 15 4" xfId="5603" xr:uid="{00000000-0005-0000-0000-0000DE150000}"/>
    <cellStyle name="Comma 6 16" xfId="5604" xr:uid="{00000000-0005-0000-0000-0000DF150000}"/>
    <cellStyle name="Comma 6 16 2" xfId="5605" xr:uid="{00000000-0005-0000-0000-0000E0150000}"/>
    <cellStyle name="Comma 6 16 2 2" xfId="5606" xr:uid="{00000000-0005-0000-0000-0000E1150000}"/>
    <cellStyle name="Comma 6 16 2 3" xfId="5607" xr:uid="{00000000-0005-0000-0000-0000E2150000}"/>
    <cellStyle name="Comma 6 16 3" xfId="5608" xr:uid="{00000000-0005-0000-0000-0000E3150000}"/>
    <cellStyle name="Comma 6 16 4" xfId="5609" xr:uid="{00000000-0005-0000-0000-0000E4150000}"/>
    <cellStyle name="Comma 6 17" xfId="5610" xr:uid="{00000000-0005-0000-0000-0000E5150000}"/>
    <cellStyle name="Comma 6 17 2" xfId="5611" xr:uid="{00000000-0005-0000-0000-0000E6150000}"/>
    <cellStyle name="Comma 6 17 2 2" xfId="5612" xr:uid="{00000000-0005-0000-0000-0000E7150000}"/>
    <cellStyle name="Comma 6 17 2 3" xfId="5613" xr:uid="{00000000-0005-0000-0000-0000E8150000}"/>
    <cellStyle name="Comma 6 17 3" xfId="5614" xr:uid="{00000000-0005-0000-0000-0000E9150000}"/>
    <cellStyle name="Comma 6 17 4" xfId="5615" xr:uid="{00000000-0005-0000-0000-0000EA150000}"/>
    <cellStyle name="Comma 6 18" xfId="5616" xr:uid="{00000000-0005-0000-0000-0000EB150000}"/>
    <cellStyle name="Comma 6 18 2" xfId="5617" xr:uid="{00000000-0005-0000-0000-0000EC150000}"/>
    <cellStyle name="Comma 6 18 2 2" xfId="5618" xr:uid="{00000000-0005-0000-0000-0000ED150000}"/>
    <cellStyle name="Comma 6 18 2 3" xfId="5619" xr:uid="{00000000-0005-0000-0000-0000EE150000}"/>
    <cellStyle name="Comma 6 18 3" xfId="5620" xr:uid="{00000000-0005-0000-0000-0000EF150000}"/>
    <cellStyle name="Comma 6 18 4" xfId="5621" xr:uid="{00000000-0005-0000-0000-0000F0150000}"/>
    <cellStyle name="Comma 6 19" xfId="5622" xr:uid="{00000000-0005-0000-0000-0000F1150000}"/>
    <cellStyle name="Comma 6 19 2" xfId="5623" xr:uid="{00000000-0005-0000-0000-0000F2150000}"/>
    <cellStyle name="Comma 6 19 2 2" xfId="5624" xr:uid="{00000000-0005-0000-0000-0000F3150000}"/>
    <cellStyle name="Comma 6 19 2 3" xfId="5625" xr:uid="{00000000-0005-0000-0000-0000F4150000}"/>
    <cellStyle name="Comma 6 19 3" xfId="5626" xr:uid="{00000000-0005-0000-0000-0000F5150000}"/>
    <cellStyle name="Comma 6 19 4" xfId="5627" xr:uid="{00000000-0005-0000-0000-0000F6150000}"/>
    <cellStyle name="Comma 6 2" xfId="5628" xr:uid="{00000000-0005-0000-0000-0000F7150000}"/>
    <cellStyle name="Comma 6 2 2" xfId="5629" xr:uid="{00000000-0005-0000-0000-0000F8150000}"/>
    <cellStyle name="Comma 6 2 2 2" xfId="5630" xr:uid="{00000000-0005-0000-0000-0000F9150000}"/>
    <cellStyle name="Comma 6 2 2 3" xfId="5631" xr:uid="{00000000-0005-0000-0000-0000FA150000}"/>
    <cellStyle name="Comma 6 2 3" xfId="5632" xr:uid="{00000000-0005-0000-0000-0000FB150000}"/>
    <cellStyle name="Comma 6 2 4" xfId="5633" xr:uid="{00000000-0005-0000-0000-0000FC150000}"/>
    <cellStyle name="Comma 6 20" xfId="5634" xr:uid="{00000000-0005-0000-0000-0000FD150000}"/>
    <cellStyle name="Comma 6 20 2" xfId="5635" xr:uid="{00000000-0005-0000-0000-0000FE150000}"/>
    <cellStyle name="Comma 6 20 2 2" xfId="5636" xr:uid="{00000000-0005-0000-0000-0000FF150000}"/>
    <cellStyle name="Comma 6 20 2 3" xfId="5637" xr:uid="{00000000-0005-0000-0000-000000160000}"/>
    <cellStyle name="Comma 6 20 3" xfId="5638" xr:uid="{00000000-0005-0000-0000-000001160000}"/>
    <cellStyle name="Comma 6 20 4" xfId="5639" xr:uid="{00000000-0005-0000-0000-000002160000}"/>
    <cellStyle name="Comma 6 21" xfId="5640" xr:uid="{00000000-0005-0000-0000-000003160000}"/>
    <cellStyle name="Comma 6 21 2" xfId="5641" xr:uid="{00000000-0005-0000-0000-000004160000}"/>
    <cellStyle name="Comma 6 21 2 2" xfId="5642" xr:uid="{00000000-0005-0000-0000-000005160000}"/>
    <cellStyle name="Comma 6 21 2 3" xfId="5643" xr:uid="{00000000-0005-0000-0000-000006160000}"/>
    <cellStyle name="Comma 6 21 3" xfId="5644" xr:uid="{00000000-0005-0000-0000-000007160000}"/>
    <cellStyle name="Comma 6 21 4" xfId="5645" xr:uid="{00000000-0005-0000-0000-000008160000}"/>
    <cellStyle name="Comma 6 22" xfId="5646" xr:uid="{00000000-0005-0000-0000-000009160000}"/>
    <cellStyle name="Comma 6 22 2" xfId="5647" xr:uid="{00000000-0005-0000-0000-00000A160000}"/>
    <cellStyle name="Comma 6 22 2 2" xfId="5648" xr:uid="{00000000-0005-0000-0000-00000B160000}"/>
    <cellStyle name="Comma 6 22 2 3" xfId="5649" xr:uid="{00000000-0005-0000-0000-00000C160000}"/>
    <cellStyle name="Comma 6 22 3" xfId="5650" xr:uid="{00000000-0005-0000-0000-00000D160000}"/>
    <cellStyle name="Comma 6 22 4" xfId="5651" xr:uid="{00000000-0005-0000-0000-00000E160000}"/>
    <cellStyle name="Comma 6 23" xfId="5652" xr:uid="{00000000-0005-0000-0000-00000F160000}"/>
    <cellStyle name="Comma 6 23 2" xfId="5653" xr:uid="{00000000-0005-0000-0000-000010160000}"/>
    <cellStyle name="Comma 6 23 2 2" xfId="5654" xr:uid="{00000000-0005-0000-0000-000011160000}"/>
    <cellStyle name="Comma 6 23 2 3" xfId="5655" xr:uid="{00000000-0005-0000-0000-000012160000}"/>
    <cellStyle name="Comma 6 23 3" xfId="5656" xr:uid="{00000000-0005-0000-0000-000013160000}"/>
    <cellStyle name="Comma 6 23 4" xfId="5657" xr:uid="{00000000-0005-0000-0000-000014160000}"/>
    <cellStyle name="Comma 6 24" xfId="5658" xr:uid="{00000000-0005-0000-0000-000015160000}"/>
    <cellStyle name="Comma 6 24 2" xfId="5659" xr:uid="{00000000-0005-0000-0000-000016160000}"/>
    <cellStyle name="Comma 6 24 3" xfId="5660" xr:uid="{00000000-0005-0000-0000-000017160000}"/>
    <cellStyle name="Comma 6 25" xfId="5661" xr:uid="{00000000-0005-0000-0000-000018160000}"/>
    <cellStyle name="Comma 6 26" xfId="5662" xr:uid="{00000000-0005-0000-0000-000019160000}"/>
    <cellStyle name="Comma 6 3" xfId="5663" xr:uid="{00000000-0005-0000-0000-00001A160000}"/>
    <cellStyle name="Comma 6 3 2" xfId="5664" xr:uid="{00000000-0005-0000-0000-00001B160000}"/>
    <cellStyle name="Comma 6 3 2 2" xfId="5665" xr:uid="{00000000-0005-0000-0000-00001C160000}"/>
    <cellStyle name="Comma 6 3 2 3" xfId="5666" xr:uid="{00000000-0005-0000-0000-00001D160000}"/>
    <cellStyle name="Comma 6 3 3" xfId="5667" xr:uid="{00000000-0005-0000-0000-00001E160000}"/>
    <cellStyle name="Comma 6 3 4" xfId="5668" xr:uid="{00000000-0005-0000-0000-00001F160000}"/>
    <cellStyle name="Comma 6 4" xfId="5669" xr:uid="{00000000-0005-0000-0000-000020160000}"/>
    <cellStyle name="Comma 6 4 2" xfId="5670" xr:uid="{00000000-0005-0000-0000-000021160000}"/>
    <cellStyle name="Comma 6 4 2 2" xfId="5671" xr:uid="{00000000-0005-0000-0000-000022160000}"/>
    <cellStyle name="Comma 6 4 2 3" xfId="5672" xr:uid="{00000000-0005-0000-0000-000023160000}"/>
    <cellStyle name="Comma 6 4 3" xfId="5673" xr:uid="{00000000-0005-0000-0000-000024160000}"/>
    <cellStyle name="Comma 6 4 4" xfId="5674" xr:uid="{00000000-0005-0000-0000-000025160000}"/>
    <cellStyle name="Comma 6 5" xfId="5675" xr:uid="{00000000-0005-0000-0000-000026160000}"/>
    <cellStyle name="Comma 6 5 2" xfId="5676" xr:uid="{00000000-0005-0000-0000-000027160000}"/>
    <cellStyle name="Comma 6 5 2 2" xfId="5677" xr:uid="{00000000-0005-0000-0000-000028160000}"/>
    <cellStyle name="Comma 6 5 2 3" xfId="5678" xr:uid="{00000000-0005-0000-0000-000029160000}"/>
    <cellStyle name="Comma 6 5 3" xfId="5679" xr:uid="{00000000-0005-0000-0000-00002A160000}"/>
    <cellStyle name="Comma 6 5 4" xfId="5680" xr:uid="{00000000-0005-0000-0000-00002B160000}"/>
    <cellStyle name="Comma 6 6" xfId="5681" xr:uid="{00000000-0005-0000-0000-00002C160000}"/>
    <cellStyle name="Comma 6 6 2" xfId="5682" xr:uid="{00000000-0005-0000-0000-00002D160000}"/>
    <cellStyle name="Comma 6 6 2 2" xfId="5683" xr:uid="{00000000-0005-0000-0000-00002E160000}"/>
    <cellStyle name="Comma 6 6 2 3" xfId="5684" xr:uid="{00000000-0005-0000-0000-00002F160000}"/>
    <cellStyle name="Comma 6 6 3" xfId="5685" xr:uid="{00000000-0005-0000-0000-000030160000}"/>
    <cellStyle name="Comma 6 6 4" xfId="5686" xr:uid="{00000000-0005-0000-0000-000031160000}"/>
    <cellStyle name="Comma 6 7" xfId="5687" xr:uid="{00000000-0005-0000-0000-000032160000}"/>
    <cellStyle name="Comma 6 7 2" xfId="5688" xr:uid="{00000000-0005-0000-0000-000033160000}"/>
    <cellStyle name="Comma 6 7 2 2" xfId="5689" xr:uid="{00000000-0005-0000-0000-000034160000}"/>
    <cellStyle name="Comma 6 7 2 3" xfId="5690" xr:uid="{00000000-0005-0000-0000-000035160000}"/>
    <cellStyle name="Comma 6 7 3" xfId="5691" xr:uid="{00000000-0005-0000-0000-000036160000}"/>
    <cellStyle name="Comma 6 7 4" xfId="5692" xr:uid="{00000000-0005-0000-0000-000037160000}"/>
    <cellStyle name="Comma 6 8" xfId="5693" xr:uid="{00000000-0005-0000-0000-000038160000}"/>
    <cellStyle name="Comma 6 8 2" xfId="5694" xr:uid="{00000000-0005-0000-0000-000039160000}"/>
    <cellStyle name="Comma 6 8 2 2" xfId="5695" xr:uid="{00000000-0005-0000-0000-00003A160000}"/>
    <cellStyle name="Comma 6 8 2 3" xfId="5696" xr:uid="{00000000-0005-0000-0000-00003B160000}"/>
    <cellStyle name="Comma 6 8 3" xfId="5697" xr:uid="{00000000-0005-0000-0000-00003C160000}"/>
    <cellStyle name="Comma 6 8 4" xfId="5698" xr:uid="{00000000-0005-0000-0000-00003D160000}"/>
    <cellStyle name="Comma 6 9" xfId="5699" xr:uid="{00000000-0005-0000-0000-00003E160000}"/>
    <cellStyle name="Comma 6 9 2" xfId="5700" xr:uid="{00000000-0005-0000-0000-00003F160000}"/>
    <cellStyle name="Comma 6 9 2 2" xfId="5701" xr:uid="{00000000-0005-0000-0000-000040160000}"/>
    <cellStyle name="Comma 6 9 2 3" xfId="5702" xr:uid="{00000000-0005-0000-0000-000041160000}"/>
    <cellStyle name="Comma 6 9 3" xfId="5703" xr:uid="{00000000-0005-0000-0000-000042160000}"/>
    <cellStyle name="Comma 6 9 4" xfId="5704" xr:uid="{00000000-0005-0000-0000-000043160000}"/>
    <cellStyle name="Comma 60" xfId="5705" xr:uid="{00000000-0005-0000-0000-000044160000}"/>
    <cellStyle name="Comma 61" xfId="5706" xr:uid="{00000000-0005-0000-0000-000045160000}"/>
    <cellStyle name="Comma 62" xfId="5707" xr:uid="{00000000-0005-0000-0000-000046160000}"/>
    <cellStyle name="Comma 63" xfId="5708" xr:uid="{00000000-0005-0000-0000-000047160000}"/>
    <cellStyle name="Comma 64" xfId="5709" xr:uid="{00000000-0005-0000-0000-000048160000}"/>
    <cellStyle name="Comma 65" xfId="5710" xr:uid="{00000000-0005-0000-0000-000049160000}"/>
    <cellStyle name="Comma 7" xfId="5711" xr:uid="{00000000-0005-0000-0000-00004A160000}"/>
    <cellStyle name="Comma 7 10" xfId="5712" xr:uid="{00000000-0005-0000-0000-00004B160000}"/>
    <cellStyle name="Comma 7 10 2" xfId="5713" xr:uid="{00000000-0005-0000-0000-00004C160000}"/>
    <cellStyle name="Comma 7 10 2 2" xfId="5714" xr:uid="{00000000-0005-0000-0000-00004D160000}"/>
    <cellStyle name="Comma 7 10 2 3" xfId="5715" xr:uid="{00000000-0005-0000-0000-00004E160000}"/>
    <cellStyle name="Comma 7 10 3" xfId="5716" xr:uid="{00000000-0005-0000-0000-00004F160000}"/>
    <cellStyle name="Comma 7 10 4" xfId="5717" xr:uid="{00000000-0005-0000-0000-000050160000}"/>
    <cellStyle name="Comma 7 11" xfId="5718" xr:uid="{00000000-0005-0000-0000-000051160000}"/>
    <cellStyle name="Comma 7 11 2" xfId="5719" xr:uid="{00000000-0005-0000-0000-000052160000}"/>
    <cellStyle name="Comma 7 11 2 2" xfId="5720" xr:uid="{00000000-0005-0000-0000-000053160000}"/>
    <cellStyle name="Comma 7 11 2 3" xfId="5721" xr:uid="{00000000-0005-0000-0000-000054160000}"/>
    <cellStyle name="Comma 7 11 3" xfId="5722" xr:uid="{00000000-0005-0000-0000-000055160000}"/>
    <cellStyle name="Comma 7 11 4" xfId="5723" xr:uid="{00000000-0005-0000-0000-000056160000}"/>
    <cellStyle name="Comma 7 12" xfId="5724" xr:uid="{00000000-0005-0000-0000-000057160000}"/>
    <cellStyle name="Comma 7 12 2" xfId="5725" xr:uid="{00000000-0005-0000-0000-000058160000}"/>
    <cellStyle name="Comma 7 12 2 2" xfId="5726" xr:uid="{00000000-0005-0000-0000-000059160000}"/>
    <cellStyle name="Comma 7 12 2 3" xfId="5727" xr:uid="{00000000-0005-0000-0000-00005A160000}"/>
    <cellStyle name="Comma 7 12 3" xfId="5728" xr:uid="{00000000-0005-0000-0000-00005B160000}"/>
    <cellStyle name="Comma 7 12 4" xfId="5729" xr:uid="{00000000-0005-0000-0000-00005C160000}"/>
    <cellStyle name="Comma 7 13" xfId="5730" xr:uid="{00000000-0005-0000-0000-00005D160000}"/>
    <cellStyle name="Comma 7 13 2" xfId="5731" xr:uid="{00000000-0005-0000-0000-00005E160000}"/>
    <cellStyle name="Comma 7 13 2 2" xfId="5732" xr:uid="{00000000-0005-0000-0000-00005F160000}"/>
    <cellStyle name="Comma 7 13 2 3" xfId="5733" xr:uid="{00000000-0005-0000-0000-000060160000}"/>
    <cellStyle name="Comma 7 13 3" xfId="5734" xr:uid="{00000000-0005-0000-0000-000061160000}"/>
    <cellStyle name="Comma 7 13 4" xfId="5735" xr:uid="{00000000-0005-0000-0000-000062160000}"/>
    <cellStyle name="Comma 7 14" xfId="5736" xr:uid="{00000000-0005-0000-0000-000063160000}"/>
    <cellStyle name="Comma 7 14 2" xfId="5737" xr:uid="{00000000-0005-0000-0000-000064160000}"/>
    <cellStyle name="Comma 7 14 2 2" xfId="5738" xr:uid="{00000000-0005-0000-0000-000065160000}"/>
    <cellStyle name="Comma 7 14 2 3" xfId="5739" xr:uid="{00000000-0005-0000-0000-000066160000}"/>
    <cellStyle name="Comma 7 14 3" xfId="5740" xr:uid="{00000000-0005-0000-0000-000067160000}"/>
    <cellStyle name="Comma 7 14 4" xfId="5741" xr:uid="{00000000-0005-0000-0000-000068160000}"/>
    <cellStyle name="Comma 7 15" xfId="5742" xr:uid="{00000000-0005-0000-0000-000069160000}"/>
    <cellStyle name="Comma 7 15 2" xfId="5743" xr:uid="{00000000-0005-0000-0000-00006A160000}"/>
    <cellStyle name="Comma 7 15 2 2" xfId="5744" xr:uid="{00000000-0005-0000-0000-00006B160000}"/>
    <cellStyle name="Comma 7 15 2 3" xfId="5745" xr:uid="{00000000-0005-0000-0000-00006C160000}"/>
    <cellStyle name="Comma 7 15 3" xfId="5746" xr:uid="{00000000-0005-0000-0000-00006D160000}"/>
    <cellStyle name="Comma 7 15 4" xfId="5747" xr:uid="{00000000-0005-0000-0000-00006E160000}"/>
    <cellStyle name="Comma 7 16" xfId="5748" xr:uid="{00000000-0005-0000-0000-00006F160000}"/>
    <cellStyle name="Comma 7 16 2" xfId="5749" xr:uid="{00000000-0005-0000-0000-000070160000}"/>
    <cellStyle name="Comma 7 16 2 2" xfId="5750" xr:uid="{00000000-0005-0000-0000-000071160000}"/>
    <cellStyle name="Comma 7 16 2 3" xfId="5751" xr:uid="{00000000-0005-0000-0000-000072160000}"/>
    <cellStyle name="Comma 7 16 3" xfId="5752" xr:uid="{00000000-0005-0000-0000-000073160000}"/>
    <cellStyle name="Comma 7 16 4" xfId="5753" xr:uid="{00000000-0005-0000-0000-000074160000}"/>
    <cellStyle name="Comma 7 17" xfId="5754" xr:uid="{00000000-0005-0000-0000-000075160000}"/>
    <cellStyle name="Comma 7 17 2" xfId="5755" xr:uid="{00000000-0005-0000-0000-000076160000}"/>
    <cellStyle name="Comma 7 17 2 2" xfId="5756" xr:uid="{00000000-0005-0000-0000-000077160000}"/>
    <cellStyle name="Comma 7 17 2 3" xfId="5757" xr:uid="{00000000-0005-0000-0000-000078160000}"/>
    <cellStyle name="Comma 7 17 3" xfId="5758" xr:uid="{00000000-0005-0000-0000-000079160000}"/>
    <cellStyle name="Comma 7 17 4" xfId="5759" xr:uid="{00000000-0005-0000-0000-00007A160000}"/>
    <cellStyle name="Comma 7 18" xfId="5760" xr:uid="{00000000-0005-0000-0000-00007B160000}"/>
    <cellStyle name="Comma 7 18 2" xfId="5761" xr:uid="{00000000-0005-0000-0000-00007C160000}"/>
    <cellStyle name="Comma 7 18 2 2" xfId="5762" xr:uid="{00000000-0005-0000-0000-00007D160000}"/>
    <cellStyle name="Comma 7 18 2 3" xfId="5763" xr:uid="{00000000-0005-0000-0000-00007E160000}"/>
    <cellStyle name="Comma 7 18 3" xfId="5764" xr:uid="{00000000-0005-0000-0000-00007F160000}"/>
    <cellStyle name="Comma 7 18 4" xfId="5765" xr:uid="{00000000-0005-0000-0000-000080160000}"/>
    <cellStyle name="Comma 7 19" xfId="5766" xr:uid="{00000000-0005-0000-0000-000081160000}"/>
    <cellStyle name="Comma 7 19 2" xfId="5767" xr:uid="{00000000-0005-0000-0000-000082160000}"/>
    <cellStyle name="Comma 7 19 2 2" xfId="5768" xr:uid="{00000000-0005-0000-0000-000083160000}"/>
    <cellStyle name="Comma 7 19 2 3" xfId="5769" xr:uid="{00000000-0005-0000-0000-000084160000}"/>
    <cellStyle name="Comma 7 19 3" xfId="5770" xr:uid="{00000000-0005-0000-0000-000085160000}"/>
    <cellStyle name="Comma 7 19 4" xfId="5771" xr:uid="{00000000-0005-0000-0000-000086160000}"/>
    <cellStyle name="Comma 7 2" xfId="5772" xr:uid="{00000000-0005-0000-0000-000087160000}"/>
    <cellStyle name="Comma 7 2 2" xfId="5773" xr:uid="{00000000-0005-0000-0000-000088160000}"/>
    <cellStyle name="Comma 7 2 2 2" xfId="5774" xr:uid="{00000000-0005-0000-0000-000089160000}"/>
    <cellStyle name="Comma 7 2 2 3" xfId="5775" xr:uid="{00000000-0005-0000-0000-00008A160000}"/>
    <cellStyle name="Comma 7 2 3" xfId="5776" xr:uid="{00000000-0005-0000-0000-00008B160000}"/>
    <cellStyle name="Comma 7 2 4" xfId="5777" xr:uid="{00000000-0005-0000-0000-00008C160000}"/>
    <cellStyle name="Comma 7 20" xfId="5778" xr:uid="{00000000-0005-0000-0000-00008D160000}"/>
    <cellStyle name="Comma 7 20 2" xfId="5779" xr:uid="{00000000-0005-0000-0000-00008E160000}"/>
    <cellStyle name="Comma 7 20 2 2" xfId="5780" xr:uid="{00000000-0005-0000-0000-00008F160000}"/>
    <cellStyle name="Comma 7 20 2 3" xfId="5781" xr:uid="{00000000-0005-0000-0000-000090160000}"/>
    <cellStyle name="Comma 7 20 3" xfId="5782" xr:uid="{00000000-0005-0000-0000-000091160000}"/>
    <cellStyle name="Comma 7 20 4" xfId="5783" xr:uid="{00000000-0005-0000-0000-000092160000}"/>
    <cellStyle name="Comma 7 21" xfId="5784" xr:uid="{00000000-0005-0000-0000-000093160000}"/>
    <cellStyle name="Comma 7 21 2" xfId="5785" xr:uid="{00000000-0005-0000-0000-000094160000}"/>
    <cellStyle name="Comma 7 21 2 2" xfId="5786" xr:uid="{00000000-0005-0000-0000-000095160000}"/>
    <cellStyle name="Comma 7 21 2 3" xfId="5787" xr:uid="{00000000-0005-0000-0000-000096160000}"/>
    <cellStyle name="Comma 7 21 3" xfId="5788" xr:uid="{00000000-0005-0000-0000-000097160000}"/>
    <cellStyle name="Comma 7 21 4" xfId="5789" xr:uid="{00000000-0005-0000-0000-000098160000}"/>
    <cellStyle name="Comma 7 22" xfId="5790" xr:uid="{00000000-0005-0000-0000-000099160000}"/>
    <cellStyle name="Comma 7 22 2" xfId="5791" xr:uid="{00000000-0005-0000-0000-00009A160000}"/>
    <cellStyle name="Comma 7 22 2 2" xfId="5792" xr:uid="{00000000-0005-0000-0000-00009B160000}"/>
    <cellStyle name="Comma 7 22 2 3" xfId="5793" xr:uid="{00000000-0005-0000-0000-00009C160000}"/>
    <cellStyle name="Comma 7 22 3" xfId="5794" xr:uid="{00000000-0005-0000-0000-00009D160000}"/>
    <cellStyle name="Comma 7 22 4" xfId="5795" xr:uid="{00000000-0005-0000-0000-00009E160000}"/>
    <cellStyle name="Comma 7 23" xfId="5796" xr:uid="{00000000-0005-0000-0000-00009F160000}"/>
    <cellStyle name="Comma 7 23 2" xfId="5797" xr:uid="{00000000-0005-0000-0000-0000A0160000}"/>
    <cellStyle name="Comma 7 23 2 2" xfId="5798" xr:uid="{00000000-0005-0000-0000-0000A1160000}"/>
    <cellStyle name="Comma 7 23 2 3" xfId="5799" xr:uid="{00000000-0005-0000-0000-0000A2160000}"/>
    <cellStyle name="Comma 7 23 3" xfId="5800" xr:uid="{00000000-0005-0000-0000-0000A3160000}"/>
    <cellStyle name="Comma 7 23 4" xfId="5801" xr:uid="{00000000-0005-0000-0000-0000A4160000}"/>
    <cellStyle name="Comma 7 24" xfId="5802" xr:uid="{00000000-0005-0000-0000-0000A5160000}"/>
    <cellStyle name="Comma 7 24 2" xfId="5803" xr:uid="{00000000-0005-0000-0000-0000A6160000}"/>
    <cellStyle name="Comma 7 24 3" xfId="5804" xr:uid="{00000000-0005-0000-0000-0000A7160000}"/>
    <cellStyle name="Comma 7 25" xfId="5805" xr:uid="{00000000-0005-0000-0000-0000A8160000}"/>
    <cellStyle name="Comma 7 26" xfId="5806" xr:uid="{00000000-0005-0000-0000-0000A9160000}"/>
    <cellStyle name="Comma 7 3" xfId="5807" xr:uid="{00000000-0005-0000-0000-0000AA160000}"/>
    <cellStyle name="Comma 7 3 2" xfId="5808" xr:uid="{00000000-0005-0000-0000-0000AB160000}"/>
    <cellStyle name="Comma 7 3 2 2" xfId="5809" xr:uid="{00000000-0005-0000-0000-0000AC160000}"/>
    <cellStyle name="Comma 7 3 2 3" xfId="5810" xr:uid="{00000000-0005-0000-0000-0000AD160000}"/>
    <cellStyle name="Comma 7 3 3" xfId="5811" xr:uid="{00000000-0005-0000-0000-0000AE160000}"/>
    <cellStyle name="Comma 7 3 4" xfId="5812" xr:uid="{00000000-0005-0000-0000-0000AF160000}"/>
    <cellStyle name="Comma 7 4" xfId="5813" xr:uid="{00000000-0005-0000-0000-0000B0160000}"/>
    <cellStyle name="Comma 7 4 2" xfId="5814" xr:uid="{00000000-0005-0000-0000-0000B1160000}"/>
    <cellStyle name="Comma 7 4 2 2" xfId="5815" xr:uid="{00000000-0005-0000-0000-0000B2160000}"/>
    <cellStyle name="Comma 7 4 2 3" xfId="5816" xr:uid="{00000000-0005-0000-0000-0000B3160000}"/>
    <cellStyle name="Comma 7 4 3" xfId="5817" xr:uid="{00000000-0005-0000-0000-0000B4160000}"/>
    <cellStyle name="Comma 7 4 4" xfId="5818" xr:uid="{00000000-0005-0000-0000-0000B5160000}"/>
    <cellStyle name="Comma 7 5" xfId="5819" xr:uid="{00000000-0005-0000-0000-0000B6160000}"/>
    <cellStyle name="Comma 7 5 2" xfId="5820" xr:uid="{00000000-0005-0000-0000-0000B7160000}"/>
    <cellStyle name="Comma 7 5 2 2" xfId="5821" xr:uid="{00000000-0005-0000-0000-0000B8160000}"/>
    <cellStyle name="Comma 7 5 2 3" xfId="5822" xr:uid="{00000000-0005-0000-0000-0000B9160000}"/>
    <cellStyle name="Comma 7 5 3" xfId="5823" xr:uid="{00000000-0005-0000-0000-0000BA160000}"/>
    <cellStyle name="Comma 7 5 4" xfId="5824" xr:uid="{00000000-0005-0000-0000-0000BB160000}"/>
    <cellStyle name="Comma 7 6" xfId="5825" xr:uid="{00000000-0005-0000-0000-0000BC160000}"/>
    <cellStyle name="Comma 7 6 2" xfId="5826" xr:uid="{00000000-0005-0000-0000-0000BD160000}"/>
    <cellStyle name="Comma 7 6 2 2" xfId="5827" xr:uid="{00000000-0005-0000-0000-0000BE160000}"/>
    <cellStyle name="Comma 7 6 2 3" xfId="5828" xr:uid="{00000000-0005-0000-0000-0000BF160000}"/>
    <cellStyle name="Comma 7 6 3" xfId="5829" xr:uid="{00000000-0005-0000-0000-0000C0160000}"/>
    <cellStyle name="Comma 7 6 4" xfId="5830" xr:uid="{00000000-0005-0000-0000-0000C1160000}"/>
    <cellStyle name="Comma 7 7" xfId="5831" xr:uid="{00000000-0005-0000-0000-0000C2160000}"/>
    <cellStyle name="Comma 7 7 2" xfId="5832" xr:uid="{00000000-0005-0000-0000-0000C3160000}"/>
    <cellStyle name="Comma 7 7 2 2" xfId="5833" xr:uid="{00000000-0005-0000-0000-0000C4160000}"/>
    <cellStyle name="Comma 7 7 2 3" xfId="5834" xr:uid="{00000000-0005-0000-0000-0000C5160000}"/>
    <cellStyle name="Comma 7 7 3" xfId="5835" xr:uid="{00000000-0005-0000-0000-0000C6160000}"/>
    <cellStyle name="Comma 7 7 4" xfId="5836" xr:uid="{00000000-0005-0000-0000-0000C7160000}"/>
    <cellStyle name="Comma 7 8" xfId="5837" xr:uid="{00000000-0005-0000-0000-0000C8160000}"/>
    <cellStyle name="Comma 7 8 2" xfId="5838" xr:uid="{00000000-0005-0000-0000-0000C9160000}"/>
    <cellStyle name="Comma 7 8 2 2" xfId="5839" xr:uid="{00000000-0005-0000-0000-0000CA160000}"/>
    <cellStyle name="Comma 7 8 2 3" xfId="5840" xr:uid="{00000000-0005-0000-0000-0000CB160000}"/>
    <cellStyle name="Comma 7 8 3" xfId="5841" xr:uid="{00000000-0005-0000-0000-0000CC160000}"/>
    <cellStyle name="Comma 7 8 4" xfId="5842" xr:uid="{00000000-0005-0000-0000-0000CD160000}"/>
    <cellStyle name="Comma 7 9" xfId="5843" xr:uid="{00000000-0005-0000-0000-0000CE160000}"/>
    <cellStyle name="Comma 7 9 2" xfId="5844" xr:uid="{00000000-0005-0000-0000-0000CF160000}"/>
    <cellStyle name="Comma 7 9 2 2" xfId="5845" xr:uid="{00000000-0005-0000-0000-0000D0160000}"/>
    <cellStyle name="Comma 7 9 2 3" xfId="5846" xr:uid="{00000000-0005-0000-0000-0000D1160000}"/>
    <cellStyle name="Comma 7 9 3" xfId="5847" xr:uid="{00000000-0005-0000-0000-0000D2160000}"/>
    <cellStyle name="Comma 7 9 4" xfId="5848" xr:uid="{00000000-0005-0000-0000-0000D3160000}"/>
    <cellStyle name="Comma 8" xfId="5849" xr:uid="{00000000-0005-0000-0000-0000D4160000}"/>
    <cellStyle name="Comma 8 10" xfId="5850" xr:uid="{00000000-0005-0000-0000-0000D5160000}"/>
    <cellStyle name="Comma 8 10 2" xfId="5851" xr:uid="{00000000-0005-0000-0000-0000D6160000}"/>
    <cellStyle name="Comma 8 10 2 2" xfId="5852" xr:uid="{00000000-0005-0000-0000-0000D7160000}"/>
    <cellStyle name="Comma 8 10 2 3" xfId="5853" xr:uid="{00000000-0005-0000-0000-0000D8160000}"/>
    <cellStyle name="Comma 8 10 3" xfId="5854" xr:uid="{00000000-0005-0000-0000-0000D9160000}"/>
    <cellStyle name="Comma 8 10 4" xfId="5855" xr:uid="{00000000-0005-0000-0000-0000DA160000}"/>
    <cellStyle name="Comma 8 11" xfId="5856" xr:uid="{00000000-0005-0000-0000-0000DB160000}"/>
    <cellStyle name="Comma 8 11 2" xfId="5857" xr:uid="{00000000-0005-0000-0000-0000DC160000}"/>
    <cellStyle name="Comma 8 11 2 2" xfId="5858" xr:uid="{00000000-0005-0000-0000-0000DD160000}"/>
    <cellStyle name="Comma 8 11 2 3" xfId="5859" xr:uid="{00000000-0005-0000-0000-0000DE160000}"/>
    <cellStyle name="Comma 8 11 3" xfId="5860" xr:uid="{00000000-0005-0000-0000-0000DF160000}"/>
    <cellStyle name="Comma 8 11 4" xfId="5861" xr:uid="{00000000-0005-0000-0000-0000E0160000}"/>
    <cellStyle name="Comma 8 12" xfId="5862" xr:uid="{00000000-0005-0000-0000-0000E1160000}"/>
    <cellStyle name="Comma 8 12 2" xfId="5863" xr:uid="{00000000-0005-0000-0000-0000E2160000}"/>
    <cellStyle name="Comma 8 12 2 2" xfId="5864" xr:uid="{00000000-0005-0000-0000-0000E3160000}"/>
    <cellStyle name="Comma 8 12 2 3" xfId="5865" xr:uid="{00000000-0005-0000-0000-0000E4160000}"/>
    <cellStyle name="Comma 8 12 3" xfId="5866" xr:uid="{00000000-0005-0000-0000-0000E5160000}"/>
    <cellStyle name="Comma 8 12 4" xfId="5867" xr:uid="{00000000-0005-0000-0000-0000E6160000}"/>
    <cellStyle name="Comma 8 13" xfId="5868" xr:uid="{00000000-0005-0000-0000-0000E7160000}"/>
    <cellStyle name="Comma 8 13 2" xfId="5869" xr:uid="{00000000-0005-0000-0000-0000E8160000}"/>
    <cellStyle name="Comma 8 13 2 2" xfId="5870" xr:uid="{00000000-0005-0000-0000-0000E9160000}"/>
    <cellStyle name="Comma 8 13 2 3" xfId="5871" xr:uid="{00000000-0005-0000-0000-0000EA160000}"/>
    <cellStyle name="Comma 8 13 3" xfId="5872" xr:uid="{00000000-0005-0000-0000-0000EB160000}"/>
    <cellStyle name="Comma 8 13 4" xfId="5873" xr:uid="{00000000-0005-0000-0000-0000EC160000}"/>
    <cellStyle name="Comma 8 14" xfId="5874" xr:uid="{00000000-0005-0000-0000-0000ED160000}"/>
    <cellStyle name="Comma 8 14 2" xfId="5875" xr:uid="{00000000-0005-0000-0000-0000EE160000}"/>
    <cellStyle name="Comma 8 14 2 2" xfId="5876" xr:uid="{00000000-0005-0000-0000-0000EF160000}"/>
    <cellStyle name="Comma 8 14 2 3" xfId="5877" xr:uid="{00000000-0005-0000-0000-0000F0160000}"/>
    <cellStyle name="Comma 8 14 3" xfId="5878" xr:uid="{00000000-0005-0000-0000-0000F1160000}"/>
    <cellStyle name="Comma 8 14 4" xfId="5879" xr:uid="{00000000-0005-0000-0000-0000F2160000}"/>
    <cellStyle name="Comma 8 15" xfId="5880" xr:uid="{00000000-0005-0000-0000-0000F3160000}"/>
    <cellStyle name="Comma 8 15 2" xfId="5881" xr:uid="{00000000-0005-0000-0000-0000F4160000}"/>
    <cellStyle name="Comma 8 15 2 2" xfId="5882" xr:uid="{00000000-0005-0000-0000-0000F5160000}"/>
    <cellStyle name="Comma 8 15 2 3" xfId="5883" xr:uid="{00000000-0005-0000-0000-0000F6160000}"/>
    <cellStyle name="Comma 8 15 3" xfId="5884" xr:uid="{00000000-0005-0000-0000-0000F7160000}"/>
    <cellStyle name="Comma 8 15 4" xfId="5885" xr:uid="{00000000-0005-0000-0000-0000F8160000}"/>
    <cellStyle name="Comma 8 16" xfId="5886" xr:uid="{00000000-0005-0000-0000-0000F9160000}"/>
    <cellStyle name="Comma 8 16 2" xfId="5887" xr:uid="{00000000-0005-0000-0000-0000FA160000}"/>
    <cellStyle name="Comma 8 16 2 2" xfId="5888" xr:uid="{00000000-0005-0000-0000-0000FB160000}"/>
    <cellStyle name="Comma 8 16 2 3" xfId="5889" xr:uid="{00000000-0005-0000-0000-0000FC160000}"/>
    <cellStyle name="Comma 8 16 3" xfId="5890" xr:uid="{00000000-0005-0000-0000-0000FD160000}"/>
    <cellStyle name="Comma 8 16 4" xfId="5891" xr:uid="{00000000-0005-0000-0000-0000FE160000}"/>
    <cellStyle name="Comma 8 17" xfId="5892" xr:uid="{00000000-0005-0000-0000-0000FF160000}"/>
    <cellStyle name="Comma 8 17 2" xfId="5893" xr:uid="{00000000-0005-0000-0000-000000170000}"/>
    <cellStyle name="Comma 8 17 2 2" xfId="5894" xr:uid="{00000000-0005-0000-0000-000001170000}"/>
    <cellStyle name="Comma 8 17 2 3" xfId="5895" xr:uid="{00000000-0005-0000-0000-000002170000}"/>
    <cellStyle name="Comma 8 17 3" xfId="5896" xr:uid="{00000000-0005-0000-0000-000003170000}"/>
    <cellStyle name="Comma 8 17 4" xfId="5897" xr:uid="{00000000-0005-0000-0000-000004170000}"/>
    <cellStyle name="Comma 8 18" xfId="5898" xr:uid="{00000000-0005-0000-0000-000005170000}"/>
    <cellStyle name="Comma 8 18 2" xfId="5899" xr:uid="{00000000-0005-0000-0000-000006170000}"/>
    <cellStyle name="Comma 8 18 2 2" xfId="5900" xr:uid="{00000000-0005-0000-0000-000007170000}"/>
    <cellStyle name="Comma 8 18 2 3" xfId="5901" xr:uid="{00000000-0005-0000-0000-000008170000}"/>
    <cellStyle name="Comma 8 18 3" xfId="5902" xr:uid="{00000000-0005-0000-0000-000009170000}"/>
    <cellStyle name="Comma 8 18 4" xfId="5903" xr:uid="{00000000-0005-0000-0000-00000A170000}"/>
    <cellStyle name="Comma 8 19" xfId="5904" xr:uid="{00000000-0005-0000-0000-00000B170000}"/>
    <cellStyle name="Comma 8 19 2" xfId="5905" xr:uid="{00000000-0005-0000-0000-00000C170000}"/>
    <cellStyle name="Comma 8 19 2 2" xfId="5906" xr:uid="{00000000-0005-0000-0000-00000D170000}"/>
    <cellStyle name="Comma 8 19 2 3" xfId="5907" xr:uid="{00000000-0005-0000-0000-00000E170000}"/>
    <cellStyle name="Comma 8 19 3" xfId="5908" xr:uid="{00000000-0005-0000-0000-00000F170000}"/>
    <cellStyle name="Comma 8 19 4" xfId="5909" xr:uid="{00000000-0005-0000-0000-000010170000}"/>
    <cellStyle name="Comma 8 2" xfId="5910" xr:uid="{00000000-0005-0000-0000-000011170000}"/>
    <cellStyle name="Comma 8 2 2" xfId="5911" xr:uid="{00000000-0005-0000-0000-000012170000}"/>
    <cellStyle name="Comma 8 2 2 2" xfId="5912" xr:uid="{00000000-0005-0000-0000-000013170000}"/>
    <cellStyle name="Comma 8 2 2 3" xfId="5913" xr:uid="{00000000-0005-0000-0000-000014170000}"/>
    <cellStyle name="Comma 8 2 3" xfId="5914" xr:uid="{00000000-0005-0000-0000-000015170000}"/>
    <cellStyle name="Comma 8 2 4" xfId="5915" xr:uid="{00000000-0005-0000-0000-000016170000}"/>
    <cellStyle name="Comma 8 20" xfId="5916" xr:uid="{00000000-0005-0000-0000-000017170000}"/>
    <cellStyle name="Comma 8 20 2" xfId="5917" xr:uid="{00000000-0005-0000-0000-000018170000}"/>
    <cellStyle name="Comma 8 20 2 2" xfId="5918" xr:uid="{00000000-0005-0000-0000-000019170000}"/>
    <cellStyle name="Comma 8 20 2 3" xfId="5919" xr:uid="{00000000-0005-0000-0000-00001A170000}"/>
    <cellStyle name="Comma 8 20 3" xfId="5920" xr:uid="{00000000-0005-0000-0000-00001B170000}"/>
    <cellStyle name="Comma 8 20 4" xfId="5921" xr:uid="{00000000-0005-0000-0000-00001C170000}"/>
    <cellStyle name="Comma 8 21" xfId="5922" xr:uid="{00000000-0005-0000-0000-00001D170000}"/>
    <cellStyle name="Comma 8 21 2" xfId="5923" xr:uid="{00000000-0005-0000-0000-00001E170000}"/>
    <cellStyle name="Comma 8 21 2 2" xfId="5924" xr:uid="{00000000-0005-0000-0000-00001F170000}"/>
    <cellStyle name="Comma 8 21 2 3" xfId="5925" xr:uid="{00000000-0005-0000-0000-000020170000}"/>
    <cellStyle name="Comma 8 21 3" xfId="5926" xr:uid="{00000000-0005-0000-0000-000021170000}"/>
    <cellStyle name="Comma 8 21 4" xfId="5927" xr:uid="{00000000-0005-0000-0000-000022170000}"/>
    <cellStyle name="Comma 8 22" xfId="5928" xr:uid="{00000000-0005-0000-0000-000023170000}"/>
    <cellStyle name="Comma 8 22 2" xfId="5929" xr:uid="{00000000-0005-0000-0000-000024170000}"/>
    <cellStyle name="Comma 8 22 2 2" xfId="5930" xr:uid="{00000000-0005-0000-0000-000025170000}"/>
    <cellStyle name="Comma 8 22 2 3" xfId="5931" xr:uid="{00000000-0005-0000-0000-000026170000}"/>
    <cellStyle name="Comma 8 22 3" xfId="5932" xr:uid="{00000000-0005-0000-0000-000027170000}"/>
    <cellStyle name="Comma 8 22 4" xfId="5933" xr:uid="{00000000-0005-0000-0000-000028170000}"/>
    <cellStyle name="Comma 8 23" xfId="5934" xr:uid="{00000000-0005-0000-0000-000029170000}"/>
    <cellStyle name="Comma 8 23 2" xfId="5935" xr:uid="{00000000-0005-0000-0000-00002A170000}"/>
    <cellStyle name="Comma 8 23 2 2" xfId="5936" xr:uid="{00000000-0005-0000-0000-00002B170000}"/>
    <cellStyle name="Comma 8 23 2 3" xfId="5937" xr:uid="{00000000-0005-0000-0000-00002C170000}"/>
    <cellStyle name="Comma 8 23 3" xfId="5938" xr:uid="{00000000-0005-0000-0000-00002D170000}"/>
    <cellStyle name="Comma 8 23 4" xfId="5939" xr:uid="{00000000-0005-0000-0000-00002E170000}"/>
    <cellStyle name="Comma 8 24" xfId="5940" xr:uid="{00000000-0005-0000-0000-00002F170000}"/>
    <cellStyle name="Comma 8 24 2" xfId="5941" xr:uid="{00000000-0005-0000-0000-000030170000}"/>
    <cellStyle name="Comma 8 24 3" xfId="5942" xr:uid="{00000000-0005-0000-0000-000031170000}"/>
    <cellStyle name="Comma 8 25" xfId="5943" xr:uid="{00000000-0005-0000-0000-000032170000}"/>
    <cellStyle name="Comma 8 26" xfId="5944" xr:uid="{00000000-0005-0000-0000-000033170000}"/>
    <cellStyle name="Comma 8 3" xfId="5945" xr:uid="{00000000-0005-0000-0000-000034170000}"/>
    <cellStyle name="Comma 8 3 2" xfId="5946" xr:uid="{00000000-0005-0000-0000-000035170000}"/>
    <cellStyle name="Comma 8 3 2 2" xfId="5947" xr:uid="{00000000-0005-0000-0000-000036170000}"/>
    <cellStyle name="Comma 8 3 2 3" xfId="5948" xr:uid="{00000000-0005-0000-0000-000037170000}"/>
    <cellStyle name="Comma 8 3 3" xfId="5949" xr:uid="{00000000-0005-0000-0000-000038170000}"/>
    <cellStyle name="Comma 8 3 4" xfId="5950" xr:uid="{00000000-0005-0000-0000-000039170000}"/>
    <cellStyle name="Comma 8 4" xfId="5951" xr:uid="{00000000-0005-0000-0000-00003A170000}"/>
    <cellStyle name="Comma 8 4 2" xfId="5952" xr:uid="{00000000-0005-0000-0000-00003B170000}"/>
    <cellStyle name="Comma 8 4 2 2" xfId="5953" xr:uid="{00000000-0005-0000-0000-00003C170000}"/>
    <cellStyle name="Comma 8 4 2 3" xfId="5954" xr:uid="{00000000-0005-0000-0000-00003D170000}"/>
    <cellStyle name="Comma 8 4 3" xfId="5955" xr:uid="{00000000-0005-0000-0000-00003E170000}"/>
    <cellStyle name="Comma 8 4 4" xfId="5956" xr:uid="{00000000-0005-0000-0000-00003F170000}"/>
    <cellStyle name="Comma 8 5" xfId="5957" xr:uid="{00000000-0005-0000-0000-000040170000}"/>
    <cellStyle name="Comma 8 5 2" xfId="5958" xr:uid="{00000000-0005-0000-0000-000041170000}"/>
    <cellStyle name="Comma 8 5 2 2" xfId="5959" xr:uid="{00000000-0005-0000-0000-000042170000}"/>
    <cellStyle name="Comma 8 5 2 3" xfId="5960" xr:uid="{00000000-0005-0000-0000-000043170000}"/>
    <cellStyle name="Comma 8 5 3" xfId="5961" xr:uid="{00000000-0005-0000-0000-000044170000}"/>
    <cellStyle name="Comma 8 5 4" xfId="5962" xr:uid="{00000000-0005-0000-0000-000045170000}"/>
    <cellStyle name="Comma 8 6" xfId="5963" xr:uid="{00000000-0005-0000-0000-000046170000}"/>
    <cellStyle name="Comma 8 6 2" xfId="5964" xr:uid="{00000000-0005-0000-0000-000047170000}"/>
    <cellStyle name="Comma 8 6 2 2" xfId="5965" xr:uid="{00000000-0005-0000-0000-000048170000}"/>
    <cellStyle name="Comma 8 6 2 3" xfId="5966" xr:uid="{00000000-0005-0000-0000-000049170000}"/>
    <cellStyle name="Comma 8 6 3" xfId="5967" xr:uid="{00000000-0005-0000-0000-00004A170000}"/>
    <cellStyle name="Comma 8 6 4" xfId="5968" xr:uid="{00000000-0005-0000-0000-00004B170000}"/>
    <cellStyle name="Comma 8 7" xfId="5969" xr:uid="{00000000-0005-0000-0000-00004C170000}"/>
    <cellStyle name="Comma 8 7 2" xfId="5970" xr:uid="{00000000-0005-0000-0000-00004D170000}"/>
    <cellStyle name="Comma 8 7 2 2" xfId="5971" xr:uid="{00000000-0005-0000-0000-00004E170000}"/>
    <cellStyle name="Comma 8 7 2 3" xfId="5972" xr:uid="{00000000-0005-0000-0000-00004F170000}"/>
    <cellStyle name="Comma 8 7 3" xfId="5973" xr:uid="{00000000-0005-0000-0000-000050170000}"/>
    <cellStyle name="Comma 8 7 4" xfId="5974" xr:uid="{00000000-0005-0000-0000-000051170000}"/>
    <cellStyle name="Comma 8 8" xfId="5975" xr:uid="{00000000-0005-0000-0000-000052170000}"/>
    <cellStyle name="Comma 8 8 2" xfId="5976" xr:uid="{00000000-0005-0000-0000-000053170000}"/>
    <cellStyle name="Comma 8 8 2 2" xfId="5977" xr:uid="{00000000-0005-0000-0000-000054170000}"/>
    <cellStyle name="Comma 8 8 2 3" xfId="5978" xr:uid="{00000000-0005-0000-0000-000055170000}"/>
    <cellStyle name="Comma 8 8 3" xfId="5979" xr:uid="{00000000-0005-0000-0000-000056170000}"/>
    <cellStyle name="Comma 8 8 4" xfId="5980" xr:uid="{00000000-0005-0000-0000-000057170000}"/>
    <cellStyle name="Comma 8 9" xfId="5981" xr:uid="{00000000-0005-0000-0000-000058170000}"/>
    <cellStyle name="Comma 8 9 2" xfId="5982" xr:uid="{00000000-0005-0000-0000-000059170000}"/>
    <cellStyle name="Comma 8 9 2 2" xfId="5983" xr:uid="{00000000-0005-0000-0000-00005A170000}"/>
    <cellStyle name="Comma 8 9 2 3" xfId="5984" xr:uid="{00000000-0005-0000-0000-00005B170000}"/>
    <cellStyle name="Comma 8 9 3" xfId="5985" xr:uid="{00000000-0005-0000-0000-00005C170000}"/>
    <cellStyle name="Comma 8 9 4" xfId="5986" xr:uid="{00000000-0005-0000-0000-00005D170000}"/>
    <cellStyle name="Comma 9" xfId="5987" xr:uid="{00000000-0005-0000-0000-00005E170000}"/>
    <cellStyle name="Comma 9 10" xfId="5988" xr:uid="{00000000-0005-0000-0000-00005F170000}"/>
    <cellStyle name="Comma 9 10 2" xfId="5989" xr:uid="{00000000-0005-0000-0000-000060170000}"/>
    <cellStyle name="Comma 9 10 2 2" xfId="5990" xr:uid="{00000000-0005-0000-0000-000061170000}"/>
    <cellStyle name="Comma 9 10 2 3" xfId="5991" xr:uid="{00000000-0005-0000-0000-000062170000}"/>
    <cellStyle name="Comma 9 10 3" xfId="5992" xr:uid="{00000000-0005-0000-0000-000063170000}"/>
    <cellStyle name="Comma 9 10 4" xfId="5993" xr:uid="{00000000-0005-0000-0000-000064170000}"/>
    <cellStyle name="Comma 9 11" xfId="5994" xr:uid="{00000000-0005-0000-0000-000065170000}"/>
    <cellStyle name="Comma 9 11 2" xfId="5995" xr:uid="{00000000-0005-0000-0000-000066170000}"/>
    <cellStyle name="Comma 9 11 2 2" xfId="5996" xr:uid="{00000000-0005-0000-0000-000067170000}"/>
    <cellStyle name="Comma 9 11 2 3" xfId="5997" xr:uid="{00000000-0005-0000-0000-000068170000}"/>
    <cellStyle name="Comma 9 11 3" xfId="5998" xr:uid="{00000000-0005-0000-0000-000069170000}"/>
    <cellStyle name="Comma 9 11 4" xfId="5999" xr:uid="{00000000-0005-0000-0000-00006A170000}"/>
    <cellStyle name="Comma 9 12" xfId="6000" xr:uid="{00000000-0005-0000-0000-00006B170000}"/>
    <cellStyle name="Comma 9 12 2" xfId="6001" xr:uid="{00000000-0005-0000-0000-00006C170000}"/>
    <cellStyle name="Comma 9 12 2 2" xfId="6002" xr:uid="{00000000-0005-0000-0000-00006D170000}"/>
    <cellStyle name="Comma 9 12 2 3" xfId="6003" xr:uid="{00000000-0005-0000-0000-00006E170000}"/>
    <cellStyle name="Comma 9 12 3" xfId="6004" xr:uid="{00000000-0005-0000-0000-00006F170000}"/>
    <cellStyle name="Comma 9 12 4" xfId="6005" xr:uid="{00000000-0005-0000-0000-000070170000}"/>
    <cellStyle name="Comma 9 13" xfId="6006" xr:uid="{00000000-0005-0000-0000-000071170000}"/>
    <cellStyle name="Comma 9 13 2" xfId="6007" xr:uid="{00000000-0005-0000-0000-000072170000}"/>
    <cellStyle name="Comma 9 13 2 2" xfId="6008" xr:uid="{00000000-0005-0000-0000-000073170000}"/>
    <cellStyle name="Comma 9 13 2 3" xfId="6009" xr:uid="{00000000-0005-0000-0000-000074170000}"/>
    <cellStyle name="Comma 9 13 3" xfId="6010" xr:uid="{00000000-0005-0000-0000-000075170000}"/>
    <cellStyle name="Comma 9 13 4" xfId="6011" xr:uid="{00000000-0005-0000-0000-000076170000}"/>
    <cellStyle name="Comma 9 14" xfId="6012" xr:uid="{00000000-0005-0000-0000-000077170000}"/>
    <cellStyle name="Comma 9 14 2" xfId="6013" xr:uid="{00000000-0005-0000-0000-000078170000}"/>
    <cellStyle name="Comma 9 14 2 2" xfId="6014" xr:uid="{00000000-0005-0000-0000-000079170000}"/>
    <cellStyle name="Comma 9 14 2 3" xfId="6015" xr:uid="{00000000-0005-0000-0000-00007A170000}"/>
    <cellStyle name="Comma 9 14 3" xfId="6016" xr:uid="{00000000-0005-0000-0000-00007B170000}"/>
    <cellStyle name="Comma 9 14 4" xfId="6017" xr:uid="{00000000-0005-0000-0000-00007C170000}"/>
    <cellStyle name="Comma 9 15" xfId="6018" xr:uid="{00000000-0005-0000-0000-00007D170000}"/>
    <cellStyle name="Comma 9 15 2" xfId="6019" xr:uid="{00000000-0005-0000-0000-00007E170000}"/>
    <cellStyle name="Comma 9 15 2 2" xfId="6020" xr:uid="{00000000-0005-0000-0000-00007F170000}"/>
    <cellStyle name="Comma 9 15 2 3" xfId="6021" xr:uid="{00000000-0005-0000-0000-000080170000}"/>
    <cellStyle name="Comma 9 15 3" xfId="6022" xr:uid="{00000000-0005-0000-0000-000081170000}"/>
    <cellStyle name="Comma 9 15 4" xfId="6023" xr:uid="{00000000-0005-0000-0000-000082170000}"/>
    <cellStyle name="Comma 9 16" xfId="6024" xr:uid="{00000000-0005-0000-0000-000083170000}"/>
    <cellStyle name="Comma 9 16 2" xfId="6025" xr:uid="{00000000-0005-0000-0000-000084170000}"/>
    <cellStyle name="Comma 9 16 2 2" xfId="6026" xr:uid="{00000000-0005-0000-0000-000085170000}"/>
    <cellStyle name="Comma 9 16 2 3" xfId="6027" xr:uid="{00000000-0005-0000-0000-000086170000}"/>
    <cellStyle name="Comma 9 16 3" xfId="6028" xr:uid="{00000000-0005-0000-0000-000087170000}"/>
    <cellStyle name="Comma 9 16 4" xfId="6029" xr:uid="{00000000-0005-0000-0000-000088170000}"/>
    <cellStyle name="Comma 9 17" xfId="6030" xr:uid="{00000000-0005-0000-0000-000089170000}"/>
    <cellStyle name="Comma 9 17 2" xfId="6031" xr:uid="{00000000-0005-0000-0000-00008A170000}"/>
    <cellStyle name="Comma 9 17 2 2" xfId="6032" xr:uid="{00000000-0005-0000-0000-00008B170000}"/>
    <cellStyle name="Comma 9 17 2 3" xfId="6033" xr:uid="{00000000-0005-0000-0000-00008C170000}"/>
    <cellStyle name="Comma 9 17 3" xfId="6034" xr:uid="{00000000-0005-0000-0000-00008D170000}"/>
    <cellStyle name="Comma 9 17 4" xfId="6035" xr:uid="{00000000-0005-0000-0000-00008E170000}"/>
    <cellStyle name="Comma 9 18" xfId="6036" xr:uid="{00000000-0005-0000-0000-00008F170000}"/>
    <cellStyle name="Comma 9 18 2" xfId="6037" xr:uid="{00000000-0005-0000-0000-000090170000}"/>
    <cellStyle name="Comma 9 18 2 2" xfId="6038" xr:uid="{00000000-0005-0000-0000-000091170000}"/>
    <cellStyle name="Comma 9 18 2 3" xfId="6039" xr:uid="{00000000-0005-0000-0000-000092170000}"/>
    <cellStyle name="Comma 9 18 3" xfId="6040" xr:uid="{00000000-0005-0000-0000-000093170000}"/>
    <cellStyle name="Comma 9 18 4" xfId="6041" xr:uid="{00000000-0005-0000-0000-000094170000}"/>
    <cellStyle name="Comma 9 19" xfId="6042" xr:uid="{00000000-0005-0000-0000-000095170000}"/>
    <cellStyle name="Comma 9 19 2" xfId="6043" xr:uid="{00000000-0005-0000-0000-000096170000}"/>
    <cellStyle name="Comma 9 19 2 2" xfId="6044" xr:uid="{00000000-0005-0000-0000-000097170000}"/>
    <cellStyle name="Comma 9 19 2 3" xfId="6045" xr:uid="{00000000-0005-0000-0000-000098170000}"/>
    <cellStyle name="Comma 9 19 3" xfId="6046" xr:uid="{00000000-0005-0000-0000-000099170000}"/>
    <cellStyle name="Comma 9 19 4" xfId="6047" xr:uid="{00000000-0005-0000-0000-00009A170000}"/>
    <cellStyle name="Comma 9 2" xfId="6048" xr:uid="{00000000-0005-0000-0000-00009B170000}"/>
    <cellStyle name="Comma 9 2 2" xfId="6049" xr:uid="{00000000-0005-0000-0000-00009C170000}"/>
    <cellStyle name="Comma 9 2 2 2" xfId="6050" xr:uid="{00000000-0005-0000-0000-00009D170000}"/>
    <cellStyle name="Comma 9 2 2 3" xfId="6051" xr:uid="{00000000-0005-0000-0000-00009E170000}"/>
    <cellStyle name="Comma 9 2 3" xfId="6052" xr:uid="{00000000-0005-0000-0000-00009F170000}"/>
    <cellStyle name="Comma 9 2 4" xfId="6053" xr:uid="{00000000-0005-0000-0000-0000A0170000}"/>
    <cellStyle name="Comma 9 20" xfId="6054" xr:uid="{00000000-0005-0000-0000-0000A1170000}"/>
    <cellStyle name="Comma 9 20 2" xfId="6055" xr:uid="{00000000-0005-0000-0000-0000A2170000}"/>
    <cellStyle name="Comma 9 20 2 2" xfId="6056" xr:uid="{00000000-0005-0000-0000-0000A3170000}"/>
    <cellStyle name="Comma 9 20 2 3" xfId="6057" xr:uid="{00000000-0005-0000-0000-0000A4170000}"/>
    <cellStyle name="Comma 9 20 3" xfId="6058" xr:uid="{00000000-0005-0000-0000-0000A5170000}"/>
    <cellStyle name="Comma 9 20 4" xfId="6059" xr:uid="{00000000-0005-0000-0000-0000A6170000}"/>
    <cellStyle name="Comma 9 21" xfId="6060" xr:uid="{00000000-0005-0000-0000-0000A7170000}"/>
    <cellStyle name="Comma 9 21 2" xfId="6061" xr:uid="{00000000-0005-0000-0000-0000A8170000}"/>
    <cellStyle name="Comma 9 21 2 2" xfId="6062" xr:uid="{00000000-0005-0000-0000-0000A9170000}"/>
    <cellStyle name="Comma 9 21 2 3" xfId="6063" xr:uid="{00000000-0005-0000-0000-0000AA170000}"/>
    <cellStyle name="Comma 9 21 3" xfId="6064" xr:uid="{00000000-0005-0000-0000-0000AB170000}"/>
    <cellStyle name="Comma 9 21 4" xfId="6065" xr:uid="{00000000-0005-0000-0000-0000AC170000}"/>
    <cellStyle name="Comma 9 22" xfId="6066" xr:uid="{00000000-0005-0000-0000-0000AD170000}"/>
    <cellStyle name="Comma 9 22 2" xfId="6067" xr:uid="{00000000-0005-0000-0000-0000AE170000}"/>
    <cellStyle name="Comma 9 22 2 2" xfId="6068" xr:uid="{00000000-0005-0000-0000-0000AF170000}"/>
    <cellStyle name="Comma 9 22 2 3" xfId="6069" xr:uid="{00000000-0005-0000-0000-0000B0170000}"/>
    <cellStyle name="Comma 9 22 3" xfId="6070" xr:uid="{00000000-0005-0000-0000-0000B1170000}"/>
    <cellStyle name="Comma 9 22 4" xfId="6071" xr:uid="{00000000-0005-0000-0000-0000B2170000}"/>
    <cellStyle name="Comma 9 23" xfId="6072" xr:uid="{00000000-0005-0000-0000-0000B3170000}"/>
    <cellStyle name="Comma 9 23 2" xfId="6073" xr:uid="{00000000-0005-0000-0000-0000B4170000}"/>
    <cellStyle name="Comma 9 23 2 2" xfId="6074" xr:uid="{00000000-0005-0000-0000-0000B5170000}"/>
    <cellStyle name="Comma 9 23 2 3" xfId="6075" xr:uid="{00000000-0005-0000-0000-0000B6170000}"/>
    <cellStyle name="Comma 9 23 3" xfId="6076" xr:uid="{00000000-0005-0000-0000-0000B7170000}"/>
    <cellStyle name="Comma 9 23 4" xfId="6077" xr:uid="{00000000-0005-0000-0000-0000B8170000}"/>
    <cellStyle name="Comma 9 24" xfId="6078" xr:uid="{00000000-0005-0000-0000-0000B9170000}"/>
    <cellStyle name="Comma 9 24 2" xfId="6079" xr:uid="{00000000-0005-0000-0000-0000BA170000}"/>
    <cellStyle name="Comma 9 24 3" xfId="6080" xr:uid="{00000000-0005-0000-0000-0000BB170000}"/>
    <cellStyle name="Comma 9 25" xfId="6081" xr:uid="{00000000-0005-0000-0000-0000BC170000}"/>
    <cellStyle name="Comma 9 26" xfId="6082" xr:uid="{00000000-0005-0000-0000-0000BD170000}"/>
    <cellStyle name="Comma 9 3" xfId="6083" xr:uid="{00000000-0005-0000-0000-0000BE170000}"/>
    <cellStyle name="Comma 9 3 2" xfId="6084" xr:uid="{00000000-0005-0000-0000-0000BF170000}"/>
    <cellStyle name="Comma 9 3 2 2" xfId="6085" xr:uid="{00000000-0005-0000-0000-0000C0170000}"/>
    <cellStyle name="Comma 9 3 2 3" xfId="6086" xr:uid="{00000000-0005-0000-0000-0000C1170000}"/>
    <cellStyle name="Comma 9 3 3" xfId="6087" xr:uid="{00000000-0005-0000-0000-0000C2170000}"/>
    <cellStyle name="Comma 9 3 4" xfId="6088" xr:uid="{00000000-0005-0000-0000-0000C3170000}"/>
    <cellStyle name="Comma 9 4" xfId="6089" xr:uid="{00000000-0005-0000-0000-0000C4170000}"/>
    <cellStyle name="Comma 9 4 2" xfId="6090" xr:uid="{00000000-0005-0000-0000-0000C5170000}"/>
    <cellStyle name="Comma 9 4 2 2" xfId="6091" xr:uid="{00000000-0005-0000-0000-0000C6170000}"/>
    <cellStyle name="Comma 9 4 2 3" xfId="6092" xr:uid="{00000000-0005-0000-0000-0000C7170000}"/>
    <cellStyle name="Comma 9 4 3" xfId="6093" xr:uid="{00000000-0005-0000-0000-0000C8170000}"/>
    <cellStyle name="Comma 9 4 4" xfId="6094" xr:uid="{00000000-0005-0000-0000-0000C9170000}"/>
    <cellStyle name="Comma 9 5" xfId="6095" xr:uid="{00000000-0005-0000-0000-0000CA170000}"/>
    <cellStyle name="Comma 9 5 2" xfId="6096" xr:uid="{00000000-0005-0000-0000-0000CB170000}"/>
    <cellStyle name="Comma 9 5 2 2" xfId="6097" xr:uid="{00000000-0005-0000-0000-0000CC170000}"/>
    <cellStyle name="Comma 9 5 2 3" xfId="6098" xr:uid="{00000000-0005-0000-0000-0000CD170000}"/>
    <cellStyle name="Comma 9 5 3" xfId="6099" xr:uid="{00000000-0005-0000-0000-0000CE170000}"/>
    <cellStyle name="Comma 9 5 4" xfId="6100" xr:uid="{00000000-0005-0000-0000-0000CF170000}"/>
    <cellStyle name="Comma 9 6" xfId="6101" xr:uid="{00000000-0005-0000-0000-0000D0170000}"/>
    <cellStyle name="Comma 9 6 2" xfId="6102" xr:uid="{00000000-0005-0000-0000-0000D1170000}"/>
    <cellStyle name="Comma 9 6 2 2" xfId="6103" xr:uid="{00000000-0005-0000-0000-0000D2170000}"/>
    <cellStyle name="Comma 9 6 2 3" xfId="6104" xr:uid="{00000000-0005-0000-0000-0000D3170000}"/>
    <cellStyle name="Comma 9 6 3" xfId="6105" xr:uid="{00000000-0005-0000-0000-0000D4170000}"/>
    <cellStyle name="Comma 9 6 4" xfId="6106" xr:uid="{00000000-0005-0000-0000-0000D5170000}"/>
    <cellStyle name="Comma 9 7" xfId="6107" xr:uid="{00000000-0005-0000-0000-0000D6170000}"/>
    <cellStyle name="Comma 9 7 2" xfId="6108" xr:uid="{00000000-0005-0000-0000-0000D7170000}"/>
    <cellStyle name="Comma 9 7 2 2" xfId="6109" xr:uid="{00000000-0005-0000-0000-0000D8170000}"/>
    <cellStyle name="Comma 9 7 2 3" xfId="6110" xr:uid="{00000000-0005-0000-0000-0000D9170000}"/>
    <cellStyle name="Comma 9 7 3" xfId="6111" xr:uid="{00000000-0005-0000-0000-0000DA170000}"/>
    <cellStyle name="Comma 9 7 4" xfId="6112" xr:uid="{00000000-0005-0000-0000-0000DB170000}"/>
    <cellStyle name="Comma 9 8" xfId="6113" xr:uid="{00000000-0005-0000-0000-0000DC170000}"/>
    <cellStyle name="Comma 9 8 2" xfId="6114" xr:uid="{00000000-0005-0000-0000-0000DD170000}"/>
    <cellStyle name="Comma 9 8 2 2" xfId="6115" xr:uid="{00000000-0005-0000-0000-0000DE170000}"/>
    <cellStyle name="Comma 9 8 2 3" xfId="6116" xr:uid="{00000000-0005-0000-0000-0000DF170000}"/>
    <cellStyle name="Comma 9 8 3" xfId="6117" xr:uid="{00000000-0005-0000-0000-0000E0170000}"/>
    <cellStyle name="Comma 9 8 4" xfId="6118" xr:uid="{00000000-0005-0000-0000-0000E1170000}"/>
    <cellStyle name="Comma 9 9" xfId="6119" xr:uid="{00000000-0005-0000-0000-0000E2170000}"/>
    <cellStyle name="Comma 9 9 2" xfId="6120" xr:uid="{00000000-0005-0000-0000-0000E3170000}"/>
    <cellStyle name="Comma 9 9 2 2" xfId="6121" xr:uid="{00000000-0005-0000-0000-0000E4170000}"/>
    <cellStyle name="Comma 9 9 2 3" xfId="6122" xr:uid="{00000000-0005-0000-0000-0000E5170000}"/>
    <cellStyle name="Comma 9 9 3" xfId="6123" xr:uid="{00000000-0005-0000-0000-0000E6170000}"/>
    <cellStyle name="Comma 9 9 4" xfId="6124" xr:uid="{00000000-0005-0000-0000-0000E7170000}"/>
    <cellStyle name="Currency" xfId="15610" builtinId="4"/>
    <cellStyle name="Currency [00]" xfId="6125" xr:uid="{00000000-0005-0000-0000-0000E9170000}"/>
    <cellStyle name="Currency [00] 2" xfId="6126" xr:uid="{00000000-0005-0000-0000-0000EA170000}"/>
    <cellStyle name="Currency 10" xfId="6127" xr:uid="{00000000-0005-0000-0000-0000EB170000}"/>
    <cellStyle name="Currency 11" xfId="6128" xr:uid="{00000000-0005-0000-0000-0000EC170000}"/>
    <cellStyle name="Currency 12" xfId="6129" xr:uid="{00000000-0005-0000-0000-0000ED170000}"/>
    <cellStyle name="Currency 13" xfId="6130" xr:uid="{00000000-0005-0000-0000-0000EE170000}"/>
    <cellStyle name="Currency 14" xfId="6131" xr:uid="{00000000-0005-0000-0000-0000EF170000}"/>
    <cellStyle name="Currency 15" xfId="6132" xr:uid="{00000000-0005-0000-0000-0000F0170000}"/>
    <cellStyle name="Currency 16" xfId="6133" xr:uid="{00000000-0005-0000-0000-0000F1170000}"/>
    <cellStyle name="Currency 17" xfId="6134" xr:uid="{00000000-0005-0000-0000-0000F2170000}"/>
    <cellStyle name="Currency 18" xfId="6135" xr:uid="{00000000-0005-0000-0000-0000F3170000}"/>
    <cellStyle name="Currency 19" xfId="6136" xr:uid="{00000000-0005-0000-0000-0000F4170000}"/>
    <cellStyle name="Currency 2" xfId="6137" xr:uid="{00000000-0005-0000-0000-0000F5170000}"/>
    <cellStyle name="Currency 2 10" xfId="6138" xr:uid="{00000000-0005-0000-0000-0000F6170000}"/>
    <cellStyle name="Currency 2 10 2" xfId="6139" xr:uid="{00000000-0005-0000-0000-0000F7170000}"/>
    <cellStyle name="Currency 2 10 3" xfId="6140" xr:uid="{00000000-0005-0000-0000-0000F8170000}"/>
    <cellStyle name="Currency 2 11" xfId="6141" xr:uid="{00000000-0005-0000-0000-0000F9170000}"/>
    <cellStyle name="Currency 2 11 2" xfId="6142" xr:uid="{00000000-0005-0000-0000-0000FA170000}"/>
    <cellStyle name="Currency 2 11 3" xfId="6143" xr:uid="{00000000-0005-0000-0000-0000FB170000}"/>
    <cellStyle name="Currency 2 12" xfId="6144" xr:uid="{00000000-0005-0000-0000-0000FC170000}"/>
    <cellStyle name="Currency 2 12 2" xfId="6145" xr:uid="{00000000-0005-0000-0000-0000FD170000}"/>
    <cellStyle name="Currency 2 12 3" xfId="6146" xr:uid="{00000000-0005-0000-0000-0000FE170000}"/>
    <cellStyle name="Currency 2 13" xfId="6147" xr:uid="{00000000-0005-0000-0000-0000FF170000}"/>
    <cellStyle name="Currency 2 13 2" xfId="6148" xr:uid="{00000000-0005-0000-0000-000000180000}"/>
    <cellStyle name="Currency 2 13 3" xfId="6149" xr:uid="{00000000-0005-0000-0000-000001180000}"/>
    <cellStyle name="Currency 2 14" xfId="6150" xr:uid="{00000000-0005-0000-0000-000002180000}"/>
    <cellStyle name="Currency 2 14 2" xfId="6151" xr:uid="{00000000-0005-0000-0000-000003180000}"/>
    <cellStyle name="Currency 2 14 3" xfId="6152" xr:uid="{00000000-0005-0000-0000-000004180000}"/>
    <cellStyle name="Currency 2 15" xfId="6153" xr:uid="{00000000-0005-0000-0000-000005180000}"/>
    <cellStyle name="Currency 2 15 2" xfId="6154" xr:uid="{00000000-0005-0000-0000-000006180000}"/>
    <cellStyle name="Currency 2 15 3" xfId="6155" xr:uid="{00000000-0005-0000-0000-000007180000}"/>
    <cellStyle name="Currency 2 16" xfId="6156" xr:uid="{00000000-0005-0000-0000-000008180000}"/>
    <cellStyle name="Currency 2 16 2" xfId="6157" xr:uid="{00000000-0005-0000-0000-000009180000}"/>
    <cellStyle name="Currency 2 16 3" xfId="6158" xr:uid="{00000000-0005-0000-0000-00000A180000}"/>
    <cellStyle name="Currency 2 17" xfId="6159" xr:uid="{00000000-0005-0000-0000-00000B180000}"/>
    <cellStyle name="Currency 2 17 2" xfId="6160" xr:uid="{00000000-0005-0000-0000-00000C180000}"/>
    <cellStyle name="Currency 2 17 3" xfId="6161" xr:uid="{00000000-0005-0000-0000-00000D180000}"/>
    <cellStyle name="Currency 2 18" xfId="6162" xr:uid="{00000000-0005-0000-0000-00000E180000}"/>
    <cellStyle name="Currency 2 18 2" xfId="6163" xr:uid="{00000000-0005-0000-0000-00000F180000}"/>
    <cellStyle name="Currency 2 18 3" xfId="6164" xr:uid="{00000000-0005-0000-0000-000010180000}"/>
    <cellStyle name="Currency 2 19" xfId="6165" xr:uid="{00000000-0005-0000-0000-000011180000}"/>
    <cellStyle name="Currency 2 19 2" xfId="6166" xr:uid="{00000000-0005-0000-0000-000012180000}"/>
    <cellStyle name="Currency 2 19 3" xfId="6167" xr:uid="{00000000-0005-0000-0000-000013180000}"/>
    <cellStyle name="Currency 2 2" xfId="6168" xr:uid="{00000000-0005-0000-0000-000014180000}"/>
    <cellStyle name="Currency 2 2 2" xfId="6169" xr:uid="{00000000-0005-0000-0000-000015180000}"/>
    <cellStyle name="Currency 2 2 2 2" xfId="6170" xr:uid="{00000000-0005-0000-0000-000016180000}"/>
    <cellStyle name="Currency 2 2 2 2 2" xfId="6171" xr:uid="{00000000-0005-0000-0000-000017180000}"/>
    <cellStyle name="Currency 2 2 2 2 2 2" xfId="6172" xr:uid="{00000000-0005-0000-0000-000018180000}"/>
    <cellStyle name="Currency 2 2 2 2 3" xfId="6173" xr:uid="{00000000-0005-0000-0000-000019180000}"/>
    <cellStyle name="Currency 2 2 2 2 4" xfId="6174" xr:uid="{00000000-0005-0000-0000-00001A180000}"/>
    <cellStyle name="Currency 2 2 2 2 5" xfId="6175" xr:uid="{00000000-0005-0000-0000-00001B180000}"/>
    <cellStyle name="Currency 2 2 2 2 6" xfId="6176" xr:uid="{00000000-0005-0000-0000-00001C180000}"/>
    <cellStyle name="Currency 2 2 2 3" xfId="6177" xr:uid="{00000000-0005-0000-0000-00001D180000}"/>
    <cellStyle name="Currency 2 2 2 3 2" xfId="6178" xr:uid="{00000000-0005-0000-0000-00001E180000}"/>
    <cellStyle name="Currency 2 2 2 3 3" xfId="6179" xr:uid="{00000000-0005-0000-0000-00001F180000}"/>
    <cellStyle name="Currency 2 2 2 3 4" xfId="6180" xr:uid="{00000000-0005-0000-0000-000020180000}"/>
    <cellStyle name="Currency 2 2 2 4" xfId="6181" xr:uid="{00000000-0005-0000-0000-000021180000}"/>
    <cellStyle name="Currency 2 2 2 5" xfId="6182" xr:uid="{00000000-0005-0000-0000-000022180000}"/>
    <cellStyle name="Currency 2 2 3" xfId="6183" xr:uid="{00000000-0005-0000-0000-000023180000}"/>
    <cellStyle name="Currency 2 2 3 2" xfId="6184" xr:uid="{00000000-0005-0000-0000-000024180000}"/>
    <cellStyle name="Currency 2 2 3 3" xfId="6185" xr:uid="{00000000-0005-0000-0000-000025180000}"/>
    <cellStyle name="Currency 2 2 4" xfId="6186" xr:uid="{00000000-0005-0000-0000-000026180000}"/>
    <cellStyle name="Currency 2 2 4 2" xfId="6187" xr:uid="{00000000-0005-0000-0000-000027180000}"/>
    <cellStyle name="Currency 2 2 4 3" xfId="6188" xr:uid="{00000000-0005-0000-0000-000028180000}"/>
    <cellStyle name="Currency 2 2 5" xfId="6189" xr:uid="{00000000-0005-0000-0000-000029180000}"/>
    <cellStyle name="Currency 2 2 6" xfId="6190" xr:uid="{00000000-0005-0000-0000-00002A180000}"/>
    <cellStyle name="Currency 2 2 7" xfId="6191" xr:uid="{00000000-0005-0000-0000-00002B180000}"/>
    <cellStyle name="Currency 2 20" xfId="6192" xr:uid="{00000000-0005-0000-0000-00002C180000}"/>
    <cellStyle name="Currency 2 20 2" xfId="6193" xr:uid="{00000000-0005-0000-0000-00002D180000}"/>
    <cellStyle name="Currency 2 20 3" xfId="6194" xr:uid="{00000000-0005-0000-0000-00002E180000}"/>
    <cellStyle name="Currency 2 21" xfId="6195" xr:uid="{00000000-0005-0000-0000-00002F180000}"/>
    <cellStyle name="Currency 2 21 2" xfId="6196" xr:uid="{00000000-0005-0000-0000-000030180000}"/>
    <cellStyle name="Currency 2 22" xfId="6197" xr:uid="{00000000-0005-0000-0000-000031180000}"/>
    <cellStyle name="Currency 2 22 2" xfId="6198" xr:uid="{00000000-0005-0000-0000-000032180000}"/>
    <cellStyle name="Currency 2 23" xfId="6199" xr:uid="{00000000-0005-0000-0000-000033180000}"/>
    <cellStyle name="Currency 2 23 2" xfId="6200" xr:uid="{00000000-0005-0000-0000-000034180000}"/>
    <cellStyle name="Currency 2 23 3" xfId="6201" xr:uid="{00000000-0005-0000-0000-000035180000}"/>
    <cellStyle name="Currency 2 24" xfId="6202" xr:uid="{00000000-0005-0000-0000-000036180000}"/>
    <cellStyle name="Currency 2 24 2" xfId="6203" xr:uid="{00000000-0005-0000-0000-000037180000}"/>
    <cellStyle name="Currency 2 25" xfId="6204" xr:uid="{00000000-0005-0000-0000-000038180000}"/>
    <cellStyle name="Currency 2 25 2" xfId="6205" xr:uid="{00000000-0005-0000-0000-000039180000}"/>
    <cellStyle name="Currency 2 26" xfId="6206" xr:uid="{00000000-0005-0000-0000-00003A180000}"/>
    <cellStyle name="Currency 2 26 2" xfId="6207" xr:uid="{00000000-0005-0000-0000-00003B180000}"/>
    <cellStyle name="Currency 2 27" xfId="6208" xr:uid="{00000000-0005-0000-0000-00003C180000}"/>
    <cellStyle name="Currency 2 27 2" xfId="6209" xr:uid="{00000000-0005-0000-0000-00003D180000}"/>
    <cellStyle name="Currency 2 28" xfId="6210" xr:uid="{00000000-0005-0000-0000-00003E180000}"/>
    <cellStyle name="Currency 2 28 2" xfId="6211" xr:uid="{00000000-0005-0000-0000-00003F180000}"/>
    <cellStyle name="Currency 2 29" xfId="6212" xr:uid="{00000000-0005-0000-0000-000040180000}"/>
    <cellStyle name="Currency 2 29 2" xfId="6213" xr:uid="{00000000-0005-0000-0000-000041180000}"/>
    <cellStyle name="Currency 2 3" xfId="6214" xr:uid="{00000000-0005-0000-0000-000042180000}"/>
    <cellStyle name="Currency 2 3 2" xfId="6215" xr:uid="{00000000-0005-0000-0000-000043180000}"/>
    <cellStyle name="Currency 2 3 3" xfId="6216" xr:uid="{00000000-0005-0000-0000-000044180000}"/>
    <cellStyle name="Currency 2 30" xfId="6217" xr:uid="{00000000-0005-0000-0000-000045180000}"/>
    <cellStyle name="Currency 2 31" xfId="6218" xr:uid="{00000000-0005-0000-0000-000046180000}"/>
    <cellStyle name="Currency 2 32" xfId="6219" xr:uid="{00000000-0005-0000-0000-000047180000}"/>
    <cellStyle name="Currency 2 33" xfId="6220" xr:uid="{00000000-0005-0000-0000-000048180000}"/>
    <cellStyle name="Currency 2 4" xfId="6221" xr:uid="{00000000-0005-0000-0000-000049180000}"/>
    <cellStyle name="Currency 2 4 2" xfId="6222" xr:uid="{00000000-0005-0000-0000-00004A180000}"/>
    <cellStyle name="Currency 2 4 3" xfId="6223" xr:uid="{00000000-0005-0000-0000-00004B180000}"/>
    <cellStyle name="Currency 2 5" xfId="6224" xr:uid="{00000000-0005-0000-0000-00004C180000}"/>
    <cellStyle name="Currency 2 5 2" xfId="6225" xr:uid="{00000000-0005-0000-0000-00004D180000}"/>
    <cellStyle name="Currency 2 5 2 2" xfId="6226" xr:uid="{00000000-0005-0000-0000-00004E180000}"/>
    <cellStyle name="Currency 2 5 3" xfId="6227" xr:uid="{00000000-0005-0000-0000-00004F180000}"/>
    <cellStyle name="Currency 2 5 3 2" xfId="6228" xr:uid="{00000000-0005-0000-0000-000050180000}"/>
    <cellStyle name="Currency 2 5 4" xfId="6229" xr:uid="{00000000-0005-0000-0000-000051180000}"/>
    <cellStyle name="Currency 2 5 5" xfId="6230" xr:uid="{00000000-0005-0000-0000-000052180000}"/>
    <cellStyle name="Currency 2 6" xfId="6231" xr:uid="{00000000-0005-0000-0000-000053180000}"/>
    <cellStyle name="Currency 2 6 2" xfId="6232" xr:uid="{00000000-0005-0000-0000-000054180000}"/>
    <cellStyle name="Currency 2 6 3" xfId="6233" xr:uid="{00000000-0005-0000-0000-000055180000}"/>
    <cellStyle name="Currency 2 7" xfId="6234" xr:uid="{00000000-0005-0000-0000-000056180000}"/>
    <cellStyle name="Currency 2 7 2" xfId="6235" xr:uid="{00000000-0005-0000-0000-000057180000}"/>
    <cellStyle name="Currency 2 7 3" xfId="6236" xr:uid="{00000000-0005-0000-0000-000058180000}"/>
    <cellStyle name="Currency 2 8" xfId="6237" xr:uid="{00000000-0005-0000-0000-000059180000}"/>
    <cellStyle name="Currency 2 8 2" xfId="6238" xr:uid="{00000000-0005-0000-0000-00005A180000}"/>
    <cellStyle name="Currency 2 8 3" xfId="6239" xr:uid="{00000000-0005-0000-0000-00005B180000}"/>
    <cellStyle name="Currency 2 9" xfId="6240" xr:uid="{00000000-0005-0000-0000-00005C180000}"/>
    <cellStyle name="Currency 2 9 2" xfId="6241" xr:uid="{00000000-0005-0000-0000-00005D180000}"/>
    <cellStyle name="Currency 2 9 3" xfId="6242" xr:uid="{00000000-0005-0000-0000-00005E180000}"/>
    <cellStyle name="Currency 20" xfId="6243" xr:uid="{00000000-0005-0000-0000-00005F180000}"/>
    <cellStyle name="Currency 21" xfId="6244" xr:uid="{00000000-0005-0000-0000-000060180000}"/>
    <cellStyle name="Currency 22" xfId="6245" xr:uid="{00000000-0005-0000-0000-000061180000}"/>
    <cellStyle name="Currency 23" xfId="6246" xr:uid="{00000000-0005-0000-0000-000062180000}"/>
    <cellStyle name="Currency 24" xfId="6247" xr:uid="{00000000-0005-0000-0000-000063180000}"/>
    <cellStyle name="Currency 25" xfId="6248" xr:uid="{00000000-0005-0000-0000-000064180000}"/>
    <cellStyle name="Currency 26" xfId="6249" xr:uid="{00000000-0005-0000-0000-000065180000}"/>
    <cellStyle name="Currency 27" xfId="6250" xr:uid="{00000000-0005-0000-0000-000066180000}"/>
    <cellStyle name="Currency 28" xfId="6251" xr:uid="{00000000-0005-0000-0000-000067180000}"/>
    <cellStyle name="Currency 29" xfId="6252" xr:uid="{00000000-0005-0000-0000-000068180000}"/>
    <cellStyle name="Currency 3" xfId="6253" xr:uid="{00000000-0005-0000-0000-000069180000}"/>
    <cellStyle name="Currency 3 2" xfId="6254" xr:uid="{00000000-0005-0000-0000-00006A180000}"/>
    <cellStyle name="Currency 3 3" xfId="6255" xr:uid="{00000000-0005-0000-0000-00006B180000}"/>
    <cellStyle name="Currency 30" xfId="6256" xr:uid="{00000000-0005-0000-0000-00006C180000}"/>
    <cellStyle name="Currency 31" xfId="15612" xr:uid="{1CF2866A-064B-4C80-B7E6-85B28C8FD38C}"/>
    <cellStyle name="Currency 4" xfId="6257" xr:uid="{00000000-0005-0000-0000-00006D180000}"/>
    <cellStyle name="Currency 5" xfId="6258" xr:uid="{00000000-0005-0000-0000-00006E180000}"/>
    <cellStyle name="Currency 6" xfId="6259" xr:uid="{00000000-0005-0000-0000-00006F180000}"/>
    <cellStyle name="Currency 7" xfId="6260" xr:uid="{00000000-0005-0000-0000-000070180000}"/>
    <cellStyle name="Currency 8" xfId="6261" xr:uid="{00000000-0005-0000-0000-000071180000}"/>
    <cellStyle name="Currency 9" xfId="6262" xr:uid="{00000000-0005-0000-0000-000072180000}"/>
    <cellStyle name="Date Short" xfId="6263" xr:uid="{00000000-0005-0000-0000-000073180000}"/>
    <cellStyle name="Date Short 2" xfId="6264" xr:uid="{00000000-0005-0000-0000-000074180000}"/>
    <cellStyle name="Date Short 3" xfId="6265" xr:uid="{00000000-0005-0000-0000-000075180000}"/>
    <cellStyle name="down" xfId="6266" xr:uid="{00000000-0005-0000-0000-000076180000}"/>
    <cellStyle name="down 2" xfId="6267" xr:uid="{00000000-0005-0000-0000-000077180000}"/>
    <cellStyle name="down 2 10" xfId="6268" xr:uid="{00000000-0005-0000-0000-000078180000}"/>
    <cellStyle name="down 2 11" xfId="6269" xr:uid="{00000000-0005-0000-0000-000079180000}"/>
    <cellStyle name="down 2 12" xfId="6270" xr:uid="{00000000-0005-0000-0000-00007A180000}"/>
    <cellStyle name="down 2 13" xfId="6271" xr:uid="{00000000-0005-0000-0000-00007B180000}"/>
    <cellStyle name="down 2 2" xfId="6272" xr:uid="{00000000-0005-0000-0000-00007C180000}"/>
    <cellStyle name="down 2 3" xfId="6273" xr:uid="{00000000-0005-0000-0000-00007D180000}"/>
    <cellStyle name="down 2 4" xfId="6274" xr:uid="{00000000-0005-0000-0000-00007E180000}"/>
    <cellStyle name="down 2 5" xfId="6275" xr:uid="{00000000-0005-0000-0000-00007F180000}"/>
    <cellStyle name="down 2 6" xfId="6276" xr:uid="{00000000-0005-0000-0000-000080180000}"/>
    <cellStyle name="down 2 7" xfId="6277" xr:uid="{00000000-0005-0000-0000-000081180000}"/>
    <cellStyle name="down 2 8" xfId="6278" xr:uid="{00000000-0005-0000-0000-000082180000}"/>
    <cellStyle name="down 2 9" xfId="6279" xr:uid="{00000000-0005-0000-0000-000083180000}"/>
    <cellStyle name="down 3" xfId="6280" xr:uid="{00000000-0005-0000-0000-000084180000}"/>
    <cellStyle name="down 3 2" xfId="6281" xr:uid="{00000000-0005-0000-0000-000085180000}"/>
    <cellStyle name="down 4" xfId="6282" xr:uid="{00000000-0005-0000-0000-000086180000}"/>
    <cellStyle name="Enter Currency (0)" xfId="6283" xr:uid="{00000000-0005-0000-0000-000087180000}"/>
    <cellStyle name="Enter Currency (0) 2" xfId="6284" xr:uid="{00000000-0005-0000-0000-000088180000}"/>
    <cellStyle name="Enter Currency (2)" xfId="6285" xr:uid="{00000000-0005-0000-0000-000089180000}"/>
    <cellStyle name="Enter Currency (2) 2" xfId="6286" xr:uid="{00000000-0005-0000-0000-00008A180000}"/>
    <cellStyle name="Enter Units (0)" xfId="6287" xr:uid="{00000000-0005-0000-0000-00008B180000}"/>
    <cellStyle name="Enter Units (0) 2" xfId="6288" xr:uid="{00000000-0005-0000-0000-00008C180000}"/>
    <cellStyle name="Enter Units (1)" xfId="6289" xr:uid="{00000000-0005-0000-0000-00008D180000}"/>
    <cellStyle name="Enter Units (1) 2" xfId="6290" xr:uid="{00000000-0005-0000-0000-00008E180000}"/>
    <cellStyle name="Enter Units (2)" xfId="6291" xr:uid="{00000000-0005-0000-0000-00008F180000}"/>
    <cellStyle name="Enter Units (2) 2" xfId="6292" xr:uid="{00000000-0005-0000-0000-000090180000}"/>
    <cellStyle name="Explanatory Text 10" xfId="6293" xr:uid="{00000000-0005-0000-0000-000091180000}"/>
    <cellStyle name="Explanatory Text 11" xfId="6294" xr:uid="{00000000-0005-0000-0000-000092180000}"/>
    <cellStyle name="Explanatory Text 12" xfId="6295" xr:uid="{00000000-0005-0000-0000-000093180000}"/>
    <cellStyle name="Explanatory Text 2" xfId="6296" xr:uid="{00000000-0005-0000-0000-000094180000}"/>
    <cellStyle name="Explanatory Text 2 10" xfId="6297" xr:uid="{00000000-0005-0000-0000-000095180000}"/>
    <cellStyle name="Explanatory Text 2 2" xfId="6298" xr:uid="{00000000-0005-0000-0000-000096180000}"/>
    <cellStyle name="Explanatory Text 2 2 2" xfId="6299" xr:uid="{00000000-0005-0000-0000-000097180000}"/>
    <cellStyle name="Explanatory Text 2 2 2 2" xfId="6300" xr:uid="{00000000-0005-0000-0000-000098180000}"/>
    <cellStyle name="Explanatory Text 2 2 2 2 2" xfId="6301" xr:uid="{00000000-0005-0000-0000-000099180000}"/>
    <cellStyle name="Explanatory Text 2 2 2 3" xfId="6302" xr:uid="{00000000-0005-0000-0000-00009A180000}"/>
    <cellStyle name="Explanatory Text 2 2 2 3 2" xfId="6303" xr:uid="{00000000-0005-0000-0000-00009B180000}"/>
    <cellStyle name="Explanatory Text 2 2 2 4" xfId="6304" xr:uid="{00000000-0005-0000-0000-00009C180000}"/>
    <cellStyle name="Explanatory Text 2 2 2 5" xfId="6305" xr:uid="{00000000-0005-0000-0000-00009D180000}"/>
    <cellStyle name="Explanatory Text 2 2 2 6" xfId="6306" xr:uid="{00000000-0005-0000-0000-00009E180000}"/>
    <cellStyle name="Explanatory Text 2 2 2 7" xfId="6307" xr:uid="{00000000-0005-0000-0000-00009F180000}"/>
    <cellStyle name="Explanatory Text 2 2 2 8" xfId="6308" xr:uid="{00000000-0005-0000-0000-0000A0180000}"/>
    <cellStyle name="Explanatory Text 2 2 2 9" xfId="6309" xr:uid="{00000000-0005-0000-0000-0000A1180000}"/>
    <cellStyle name="Explanatory Text 2 2 3" xfId="6310" xr:uid="{00000000-0005-0000-0000-0000A2180000}"/>
    <cellStyle name="Explanatory Text 2 2 3 2" xfId="6311" xr:uid="{00000000-0005-0000-0000-0000A3180000}"/>
    <cellStyle name="Explanatory Text 2 2 4" xfId="6312" xr:uid="{00000000-0005-0000-0000-0000A4180000}"/>
    <cellStyle name="Explanatory Text 2 2 5" xfId="6313" xr:uid="{00000000-0005-0000-0000-0000A5180000}"/>
    <cellStyle name="Explanatory Text 2 2 6" xfId="6314" xr:uid="{00000000-0005-0000-0000-0000A6180000}"/>
    <cellStyle name="Explanatory Text 2 2 7" xfId="6315" xr:uid="{00000000-0005-0000-0000-0000A7180000}"/>
    <cellStyle name="Explanatory Text 2 2 8" xfId="6316" xr:uid="{00000000-0005-0000-0000-0000A8180000}"/>
    <cellStyle name="Explanatory Text 2 2 9" xfId="6317" xr:uid="{00000000-0005-0000-0000-0000A9180000}"/>
    <cellStyle name="Explanatory Text 2 3" xfId="6318" xr:uid="{00000000-0005-0000-0000-0000AA180000}"/>
    <cellStyle name="Explanatory Text 2 3 2" xfId="6319" xr:uid="{00000000-0005-0000-0000-0000AB180000}"/>
    <cellStyle name="Explanatory Text 2 4" xfId="6320" xr:uid="{00000000-0005-0000-0000-0000AC180000}"/>
    <cellStyle name="Explanatory Text 2 4 2" xfId="6321" xr:uid="{00000000-0005-0000-0000-0000AD180000}"/>
    <cellStyle name="Explanatory Text 2 5" xfId="6322" xr:uid="{00000000-0005-0000-0000-0000AE180000}"/>
    <cellStyle name="Explanatory Text 2 6" xfId="6323" xr:uid="{00000000-0005-0000-0000-0000AF180000}"/>
    <cellStyle name="Explanatory Text 2 7" xfId="6324" xr:uid="{00000000-0005-0000-0000-0000B0180000}"/>
    <cellStyle name="Explanatory Text 2 8" xfId="6325" xr:uid="{00000000-0005-0000-0000-0000B1180000}"/>
    <cellStyle name="Explanatory Text 2 9" xfId="6326" xr:uid="{00000000-0005-0000-0000-0000B2180000}"/>
    <cellStyle name="Explanatory Text 3" xfId="6327" xr:uid="{00000000-0005-0000-0000-0000B3180000}"/>
    <cellStyle name="Explanatory Text 3 2" xfId="6328" xr:uid="{00000000-0005-0000-0000-0000B4180000}"/>
    <cellStyle name="Explanatory Text 4" xfId="6329" xr:uid="{00000000-0005-0000-0000-0000B5180000}"/>
    <cellStyle name="Explanatory Text 4 2" xfId="6330" xr:uid="{00000000-0005-0000-0000-0000B6180000}"/>
    <cellStyle name="Explanatory Text 5" xfId="6331" xr:uid="{00000000-0005-0000-0000-0000B7180000}"/>
    <cellStyle name="Explanatory Text 5 2" xfId="6332" xr:uid="{00000000-0005-0000-0000-0000B8180000}"/>
    <cellStyle name="Explanatory Text 6" xfId="6333" xr:uid="{00000000-0005-0000-0000-0000B9180000}"/>
    <cellStyle name="Explanatory Text 7" xfId="6334" xr:uid="{00000000-0005-0000-0000-0000BA180000}"/>
    <cellStyle name="Explanatory Text 8" xfId="6335" xr:uid="{00000000-0005-0000-0000-0000BB180000}"/>
    <cellStyle name="Explanatory Text 9" xfId="6336" xr:uid="{00000000-0005-0000-0000-0000BC180000}"/>
    <cellStyle name="FOUR" xfId="6337" xr:uid="{00000000-0005-0000-0000-0000BD180000}"/>
    <cellStyle name="FOUR 2" xfId="6338" xr:uid="{00000000-0005-0000-0000-0000BE180000}"/>
    <cellStyle name="Good 10" xfId="6339" xr:uid="{00000000-0005-0000-0000-0000BF180000}"/>
    <cellStyle name="Good 11" xfId="6340" xr:uid="{00000000-0005-0000-0000-0000C0180000}"/>
    <cellStyle name="Good 12" xfId="6341" xr:uid="{00000000-0005-0000-0000-0000C1180000}"/>
    <cellStyle name="Good 2" xfId="6342" xr:uid="{00000000-0005-0000-0000-0000C2180000}"/>
    <cellStyle name="Good 2 10" xfId="6343" xr:uid="{00000000-0005-0000-0000-0000C3180000}"/>
    <cellStyle name="Good 2 2" xfId="6344" xr:uid="{00000000-0005-0000-0000-0000C4180000}"/>
    <cellStyle name="Good 2 2 2" xfId="6345" xr:uid="{00000000-0005-0000-0000-0000C5180000}"/>
    <cellStyle name="Good 2 2 2 2" xfId="6346" xr:uid="{00000000-0005-0000-0000-0000C6180000}"/>
    <cellStyle name="Good 2 2 2 2 2" xfId="6347" xr:uid="{00000000-0005-0000-0000-0000C7180000}"/>
    <cellStyle name="Good 2 2 2 3" xfId="6348" xr:uid="{00000000-0005-0000-0000-0000C8180000}"/>
    <cellStyle name="Good 2 2 2 3 2" xfId="6349" xr:uid="{00000000-0005-0000-0000-0000C9180000}"/>
    <cellStyle name="Good 2 2 2 4" xfId="6350" xr:uid="{00000000-0005-0000-0000-0000CA180000}"/>
    <cellStyle name="Good 2 2 2 5" xfId="6351" xr:uid="{00000000-0005-0000-0000-0000CB180000}"/>
    <cellStyle name="Good 2 2 2 6" xfId="6352" xr:uid="{00000000-0005-0000-0000-0000CC180000}"/>
    <cellStyle name="Good 2 2 2 7" xfId="6353" xr:uid="{00000000-0005-0000-0000-0000CD180000}"/>
    <cellStyle name="Good 2 2 2 8" xfId="6354" xr:uid="{00000000-0005-0000-0000-0000CE180000}"/>
    <cellStyle name="Good 2 2 2 9" xfId="6355" xr:uid="{00000000-0005-0000-0000-0000CF180000}"/>
    <cellStyle name="Good 2 2 3" xfId="6356" xr:uid="{00000000-0005-0000-0000-0000D0180000}"/>
    <cellStyle name="Good 2 2 3 2" xfId="6357" xr:uid="{00000000-0005-0000-0000-0000D1180000}"/>
    <cellStyle name="Good 2 2 4" xfId="6358" xr:uid="{00000000-0005-0000-0000-0000D2180000}"/>
    <cellStyle name="Good 2 2 5" xfId="6359" xr:uid="{00000000-0005-0000-0000-0000D3180000}"/>
    <cellStyle name="Good 2 2 6" xfId="6360" xr:uid="{00000000-0005-0000-0000-0000D4180000}"/>
    <cellStyle name="Good 2 2 7" xfId="6361" xr:uid="{00000000-0005-0000-0000-0000D5180000}"/>
    <cellStyle name="Good 2 2 8" xfId="6362" xr:uid="{00000000-0005-0000-0000-0000D6180000}"/>
    <cellStyle name="Good 2 2 9" xfId="6363" xr:uid="{00000000-0005-0000-0000-0000D7180000}"/>
    <cellStyle name="Good 2 3" xfId="6364" xr:uid="{00000000-0005-0000-0000-0000D8180000}"/>
    <cellStyle name="Good 2 3 2" xfId="6365" xr:uid="{00000000-0005-0000-0000-0000D9180000}"/>
    <cellStyle name="Good 2 4" xfId="6366" xr:uid="{00000000-0005-0000-0000-0000DA180000}"/>
    <cellStyle name="Good 2 4 2" xfId="6367" xr:uid="{00000000-0005-0000-0000-0000DB180000}"/>
    <cellStyle name="Good 2 5" xfId="6368" xr:uid="{00000000-0005-0000-0000-0000DC180000}"/>
    <cellStyle name="Good 2 6" xfId="6369" xr:uid="{00000000-0005-0000-0000-0000DD180000}"/>
    <cellStyle name="Good 2 7" xfId="6370" xr:uid="{00000000-0005-0000-0000-0000DE180000}"/>
    <cellStyle name="Good 2 8" xfId="6371" xr:uid="{00000000-0005-0000-0000-0000DF180000}"/>
    <cellStyle name="Good 2 9" xfId="6372" xr:uid="{00000000-0005-0000-0000-0000E0180000}"/>
    <cellStyle name="Good 3" xfId="6373" xr:uid="{00000000-0005-0000-0000-0000E1180000}"/>
    <cellStyle name="Good 3 2" xfId="6374" xr:uid="{00000000-0005-0000-0000-0000E2180000}"/>
    <cellStyle name="Good 4" xfId="6375" xr:uid="{00000000-0005-0000-0000-0000E3180000}"/>
    <cellStyle name="Good 4 2" xfId="6376" xr:uid="{00000000-0005-0000-0000-0000E4180000}"/>
    <cellStyle name="Good 5" xfId="6377" xr:uid="{00000000-0005-0000-0000-0000E5180000}"/>
    <cellStyle name="Good 5 2" xfId="6378" xr:uid="{00000000-0005-0000-0000-0000E6180000}"/>
    <cellStyle name="Good 6" xfId="6379" xr:uid="{00000000-0005-0000-0000-0000E7180000}"/>
    <cellStyle name="Good 7" xfId="6380" xr:uid="{00000000-0005-0000-0000-0000E8180000}"/>
    <cellStyle name="Good 8" xfId="6381" xr:uid="{00000000-0005-0000-0000-0000E9180000}"/>
    <cellStyle name="Good 9" xfId="6382" xr:uid="{00000000-0005-0000-0000-0000EA180000}"/>
    <cellStyle name="Header1" xfId="6383" xr:uid="{00000000-0005-0000-0000-0000EB180000}"/>
    <cellStyle name="Header1 2" xfId="6384" xr:uid="{00000000-0005-0000-0000-0000EC180000}"/>
    <cellStyle name="Header2" xfId="6385" xr:uid="{00000000-0005-0000-0000-0000ED180000}"/>
    <cellStyle name="Header2 2" xfId="6386" xr:uid="{00000000-0005-0000-0000-0000EE180000}"/>
    <cellStyle name="Heading 1 10" xfId="6387" xr:uid="{00000000-0005-0000-0000-0000EF180000}"/>
    <cellStyle name="Heading 1 11" xfId="6388" xr:uid="{00000000-0005-0000-0000-0000F0180000}"/>
    <cellStyle name="Heading 1 12" xfId="6389" xr:uid="{00000000-0005-0000-0000-0000F1180000}"/>
    <cellStyle name="Heading 1 2" xfId="6390" xr:uid="{00000000-0005-0000-0000-0000F2180000}"/>
    <cellStyle name="Heading 1 2 10" xfId="6391" xr:uid="{00000000-0005-0000-0000-0000F3180000}"/>
    <cellStyle name="Heading 1 2 2" xfId="6392" xr:uid="{00000000-0005-0000-0000-0000F4180000}"/>
    <cellStyle name="Heading 1 2 2 2" xfId="6393" xr:uid="{00000000-0005-0000-0000-0000F5180000}"/>
    <cellStyle name="Heading 1 2 2 2 2" xfId="6394" xr:uid="{00000000-0005-0000-0000-0000F6180000}"/>
    <cellStyle name="Heading 1 2 2 2 2 2" xfId="6395" xr:uid="{00000000-0005-0000-0000-0000F7180000}"/>
    <cellStyle name="Heading 1 2 2 2 3" xfId="6396" xr:uid="{00000000-0005-0000-0000-0000F8180000}"/>
    <cellStyle name="Heading 1 2 2 2 3 2" xfId="6397" xr:uid="{00000000-0005-0000-0000-0000F9180000}"/>
    <cellStyle name="Heading 1 2 2 2 4" xfId="6398" xr:uid="{00000000-0005-0000-0000-0000FA180000}"/>
    <cellStyle name="Heading 1 2 2 2 5" xfId="6399" xr:uid="{00000000-0005-0000-0000-0000FB180000}"/>
    <cellStyle name="Heading 1 2 2 2 6" xfId="6400" xr:uid="{00000000-0005-0000-0000-0000FC180000}"/>
    <cellStyle name="Heading 1 2 2 2 7" xfId="6401" xr:uid="{00000000-0005-0000-0000-0000FD180000}"/>
    <cellStyle name="Heading 1 2 2 2 8" xfId="6402" xr:uid="{00000000-0005-0000-0000-0000FE180000}"/>
    <cellStyle name="Heading 1 2 2 2 9" xfId="6403" xr:uid="{00000000-0005-0000-0000-0000FF180000}"/>
    <cellStyle name="Heading 1 2 2 3" xfId="6404" xr:uid="{00000000-0005-0000-0000-000000190000}"/>
    <cellStyle name="Heading 1 2 2 3 2" xfId="6405" xr:uid="{00000000-0005-0000-0000-000001190000}"/>
    <cellStyle name="Heading 1 2 2 4" xfId="6406" xr:uid="{00000000-0005-0000-0000-000002190000}"/>
    <cellStyle name="Heading 1 2 2 5" xfId="6407" xr:uid="{00000000-0005-0000-0000-000003190000}"/>
    <cellStyle name="Heading 1 2 2 6" xfId="6408" xr:uid="{00000000-0005-0000-0000-000004190000}"/>
    <cellStyle name="Heading 1 2 2 7" xfId="6409" xr:uid="{00000000-0005-0000-0000-000005190000}"/>
    <cellStyle name="Heading 1 2 2 8" xfId="6410" xr:uid="{00000000-0005-0000-0000-000006190000}"/>
    <cellStyle name="Heading 1 2 2 9" xfId="6411" xr:uid="{00000000-0005-0000-0000-000007190000}"/>
    <cellStyle name="Heading 1 2 3" xfId="6412" xr:uid="{00000000-0005-0000-0000-000008190000}"/>
    <cellStyle name="Heading 1 2 3 2" xfId="6413" xr:uid="{00000000-0005-0000-0000-000009190000}"/>
    <cellStyle name="Heading 1 2 4" xfId="6414" xr:uid="{00000000-0005-0000-0000-00000A190000}"/>
    <cellStyle name="Heading 1 2 4 2" xfId="6415" xr:uid="{00000000-0005-0000-0000-00000B190000}"/>
    <cellStyle name="Heading 1 2 5" xfId="6416" xr:uid="{00000000-0005-0000-0000-00000C190000}"/>
    <cellStyle name="Heading 1 2 6" xfId="6417" xr:uid="{00000000-0005-0000-0000-00000D190000}"/>
    <cellStyle name="Heading 1 2 7" xfId="6418" xr:uid="{00000000-0005-0000-0000-00000E190000}"/>
    <cellStyle name="Heading 1 2 8" xfId="6419" xr:uid="{00000000-0005-0000-0000-00000F190000}"/>
    <cellStyle name="Heading 1 2 9" xfId="6420" xr:uid="{00000000-0005-0000-0000-000010190000}"/>
    <cellStyle name="Heading 1 3" xfId="6421" xr:uid="{00000000-0005-0000-0000-000011190000}"/>
    <cellStyle name="Heading 1 3 2" xfId="6422" xr:uid="{00000000-0005-0000-0000-000012190000}"/>
    <cellStyle name="Heading 1 4" xfId="6423" xr:uid="{00000000-0005-0000-0000-000013190000}"/>
    <cellStyle name="Heading 1 4 2" xfId="6424" xr:uid="{00000000-0005-0000-0000-000014190000}"/>
    <cellStyle name="Heading 1 5" xfId="6425" xr:uid="{00000000-0005-0000-0000-000015190000}"/>
    <cellStyle name="Heading 1 5 2" xfId="6426" xr:uid="{00000000-0005-0000-0000-000016190000}"/>
    <cellStyle name="Heading 1 6" xfId="6427" xr:uid="{00000000-0005-0000-0000-000017190000}"/>
    <cellStyle name="Heading 1 7" xfId="6428" xr:uid="{00000000-0005-0000-0000-000018190000}"/>
    <cellStyle name="Heading 1 8" xfId="6429" xr:uid="{00000000-0005-0000-0000-000019190000}"/>
    <cellStyle name="Heading 1 9" xfId="6430" xr:uid="{00000000-0005-0000-0000-00001A190000}"/>
    <cellStyle name="Heading 2 10" xfId="6431" xr:uid="{00000000-0005-0000-0000-00001B190000}"/>
    <cellStyle name="Heading 2 11" xfId="6432" xr:uid="{00000000-0005-0000-0000-00001C190000}"/>
    <cellStyle name="Heading 2 12" xfId="6433" xr:uid="{00000000-0005-0000-0000-00001D190000}"/>
    <cellStyle name="Heading 2 2" xfId="6434" xr:uid="{00000000-0005-0000-0000-00001E190000}"/>
    <cellStyle name="Heading 2 2 10" xfId="6435" xr:uid="{00000000-0005-0000-0000-00001F190000}"/>
    <cellStyle name="Heading 2 2 2" xfId="6436" xr:uid="{00000000-0005-0000-0000-000020190000}"/>
    <cellStyle name="Heading 2 2 2 2" xfId="6437" xr:uid="{00000000-0005-0000-0000-000021190000}"/>
    <cellStyle name="Heading 2 2 2 2 2" xfId="6438" xr:uid="{00000000-0005-0000-0000-000022190000}"/>
    <cellStyle name="Heading 2 2 2 2 2 2" xfId="6439" xr:uid="{00000000-0005-0000-0000-000023190000}"/>
    <cellStyle name="Heading 2 2 2 2 3" xfId="6440" xr:uid="{00000000-0005-0000-0000-000024190000}"/>
    <cellStyle name="Heading 2 2 2 2 3 2" xfId="6441" xr:uid="{00000000-0005-0000-0000-000025190000}"/>
    <cellStyle name="Heading 2 2 2 2 4" xfId="6442" xr:uid="{00000000-0005-0000-0000-000026190000}"/>
    <cellStyle name="Heading 2 2 2 2 5" xfId="6443" xr:uid="{00000000-0005-0000-0000-000027190000}"/>
    <cellStyle name="Heading 2 2 2 2 6" xfId="6444" xr:uid="{00000000-0005-0000-0000-000028190000}"/>
    <cellStyle name="Heading 2 2 2 2 7" xfId="6445" xr:uid="{00000000-0005-0000-0000-000029190000}"/>
    <cellStyle name="Heading 2 2 2 2 8" xfId="6446" xr:uid="{00000000-0005-0000-0000-00002A190000}"/>
    <cellStyle name="Heading 2 2 2 2 9" xfId="6447" xr:uid="{00000000-0005-0000-0000-00002B190000}"/>
    <cellStyle name="Heading 2 2 2 3" xfId="6448" xr:uid="{00000000-0005-0000-0000-00002C190000}"/>
    <cellStyle name="Heading 2 2 2 3 2" xfId="6449" xr:uid="{00000000-0005-0000-0000-00002D190000}"/>
    <cellStyle name="Heading 2 2 2 4" xfId="6450" xr:uid="{00000000-0005-0000-0000-00002E190000}"/>
    <cellStyle name="Heading 2 2 2 5" xfId="6451" xr:uid="{00000000-0005-0000-0000-00002F190000}"/>
    <cellStyle name="Heading 2 2 2 6" xfId="6452" xr:uid="{00000000-0005-0000-0000-000030190000}"/>
    <cellStyle name="Heading 2 2 2 7" xfId="6453" xr:uid="{00000000-0005-0000-0000-000031190000}"/>
    <cellStyle name="Heading 2 2 2 8" xfId="6454" xr:uid="{00000000-0005-0000-0000-000032190000}"/>
    <cellStyle name="Heading 2 2 2 9" xfId="6455" xr:uid="{00000000-0005-0000-0000-000033190000}"/>
    <cellStyle name="Heading 2 2 3" xfId="6456" xr:uid="{00000000-0005-0000-0000-000034190000}"/>
    <cellStyle name="Heading 2 2 3 2" xfId="6457" xr:uid="{00000000-0005-0000-0000-000035190000}"/>
    <cellStyle name="Heading 2 2 4" xfId="6458" xr:uid="{00000000-0005-0000-0000-000036190000}"/>
    <cellStyle name="Heading 2 2 4 2" xfId="6459" xr:uid="{00000000-0005-0000-0000-000037190000}"/>
    <cellStyle name="Heading 2 2 5" xfId="6460" xr:uid="{00000000-0005-0000-0000-000038190000}"/>
    <cellStyle name="Heading 2 2 6" xfId="6461" xr:uid="{00000000-0005-0000-0000-000039190000}"/>
    <cellStyle name="Heading 2 2 7" xfId="6462" xr:uid="{00000000-0005-0000-0000-00003A190000}"/>
    <cellStyle name="Heading 2 2 8" xfId="6463" xr:uid="{00000000-0005-0000-0000-00003B190000}"/>
    <cellStyle name="Heading 2 2 9" xfId="6464" xr:uid="{00000000-0005-0000-0000-00003C190000}"/>
    <cellStyle name="Heading 2 3" xfId="6465" xr:uid="{00000000-0005-0000-0000-00003D190000}"/>
    <cellStyle name="Heading 2 3 2" xfId="6466" xr:uid="{00000000-0005-0000-0000-00003E190000}"/>
    <cellStyle name="Heading 2 4" xfId="6467" xr:uid="{00000000-0005-0000-0000-00003F190000}"/>
    <cellStyle name="Heading 2 4 2" xfId="6468" xr:uid="{00000000-0005-0000-0000-000040190000}"/>
    <cellStyle name="Heading 2 5" xfId="6469" xr:uid="{00000000-0005-0000-0000-000041190000}"/>
    <cellStyle name="Heading 2 5 2" xfId="6470" xr:uid="{00000000-0005-0000-0000-000042190000}"/>
    <cellStyle name="Heading 2 6" xfId="6471" xr:uid="{00000000-0005-0000-0000-000043190000}"/>
    <cellStyle name="Heading 2 7" xfId="6472" xr:uid="{00000000-0005-0000-0000-000044190000}"/>
    <cellStyle name="Heading 2 8" xfId="6473" xr:uid="{00000000-0005-0000-0000-000045190000}"/>
    <cellStyle name="Heading 2 9" xfId="6474" xr:uid="{00000000-0005-0000-0000-000046190000}"/>
    <cellStyle name="Heading 3 10" xfId="6475" xr:uid="{00000000-0005-0000-0000-000047190000}"/>
    <cellStyle name="Heading 3 11" xfId="6476" xr:uid="{00000000-0005-0000-0000-000048190000}"/>
    <cellStyle name="Heading 3 12" xfId="6477" xr:uid="{00000000-0005-0000-0000-000049190000}"/>
    <cellStyle name="Heading 3 2" xfId="6478" xr:uid="{00000000-0005-0000-0000-00004A190000}"/>
    <cellStyle name="Heading 3 2 10" xfId="6479" xr:uid="{00000000-0005-0000-0000-00004B190000}"/>
    <cellStyle name="Heading 3 2 2" xfId="6480" xr:uid="{00000000-0005-0000-0000-00004C190000}"/>
    <cellStyle name="Heading 3 2 2 2" xfId="6481" xr:uid="{00000000-0005-0000-0000-00004D190000}"/>
    <cellStyle name="Heading 3 2 2 2 2" xfId="6482" xr:uid="{00000000-0005-0000-0000-00004E190000}"/>
    <cellStyle name="Heading 3 2 2 2 2 2" xfId="6483" xr:uid="{00000000-0005-0000-0000-00004F190000}"/>
    <cellStyle name="Heading 3 2 2 2 3" xfId="6484" xr:uid="{00000000-0005-0000-0000-000050190000}"/>
    <cellStyle name="Heading 3 2 2 2 3 2" xfId="6485" xr:uid="{00000000-0005-0000-0000-000051190000}"/>
    <cellStyle name="Heading 3 2 2 2 4" xfId="6486" xr:uid="{00000000-0005-0000-0000-000052190000}"/>
    <cellStyle name="Heading 3 2 2 2 5" xfId="6487" xr:uid="{00000000-0005-0000-0000-000053190000}"/>
    <cellStyle name="Heading 3 2 2 2 6" xfId="6488" xr:uid="{00000000-0005-0000-0000-000054190000}"/>
    <cellStyle name="Heading 3 2 2 2 7" xfId="6489" xr:uid="{00000000-0005-0000-0000-000055190000}"/>
    <cellStyle name="Heading 3 2 2 2 8" xfId="6490" xr:uid="{00000000-0005-0000-0000-000056190000}"/>
    <cellStyle name="Heading 3 2 2 2 9" xfId="6491" xr:uid="{00000000-0005-0000-0000-000057190000}"/>
    <cellStyle name="Heading 3 2 2 3" xfId="6492" xr:uid="{00000000-0005-0000-0000-000058190000}"/>
    <cellStyle name="Heading 3 2 2 3 2" xfId="6493" xr:uid="{00000000-0005-0000-0000-000059190000}"/>
    <cellStyle name="Heading 3 2 2 4" xfId="6494" xr:uid="{00000000-0005-0000-0000-00005A190000}"/>
    <cellStyle name="Heading 3 2 2 5" xfId="6495" xr:uid="{00000000-0005-0000-0000-00005B190000}"/>
    <cellStyle name="Heading 3 2 2 6" xfId="6496" xr:uid="{00000000-0005-0000-0000-00005C190000}"/>
    <cellStyle name="Heading 3 2 2 7" xfId="6497" xr:uid="{00000000-0005-0000-0000-00005D190000}"/>
    <cellStyle name="Heading 3 2 2 8" xfId="6498" xr:uid="{00000000-0005-0000-0000-00005E190000}"/>
    <cellStyle name="Heading 3 2 2 9" xfId="6499" xr:uid="{00000000-0005-0000-0000-00005F190000}"/>
    <cellStyle name="Heading 3 2 3" xfId="6500" xr:uid="{00000000-0005-0000-0000-000060190000}"/>
    <cellStyle name="Heading 3 2 3 2" xfId="6501" xr:uid="{00000000-0005-0000-0000-000061190000}"/>
    <cellStyle name="Heading 3 2 4" xfId="6502" xr:uid="{00000000-0005-0000-0000-000062190000}"/>
    <cellStyle name="Heading 3 2 4 2" xfId="6503" xr:uid="{00000000-0005-0000-0000-000063190000}"/>
    <cellStyle name="Heading 3 2 5" xfId="6504" xr:uid="{00000000-0005-0000-0000-000064190000}"/>
    <cellStyle name="Heading 3 2 6" xfId="6505" xr:uid="{00000000-0005-0000-0000-000065190000}"/>
    <cellStyle name="Heading 3 2 7" xfId="6506" xr:uid="{00000000-0005-0000-0000-000066190000}"/>
    <cellStyle name="Heading 3 2 8" xfId="6507" xr:uid="{00000000-0005-0000-0000-000067190000}"/>
    <cellStyle name="Heading 3 2 9" xfId="6508" xr:uid="{00000000-0005-0000-0000-000068190000}"/>
    <cellStyle name="Heading 3 3" xfId="6509" xr:uid="{00000000-0005-0000-0000-000069190000}"/>
    <cellStyle name="Heading 3 3 2" xfId="6510" xr:uid="{00000000-0005-0000-0000-00006A190000}"/>
    <cellStyle name="Heading 3 4" xfId="6511" xr:uid="{00000000-0005-0000-0000-00006B190000}"/>
    <cellStyle name="Heading 3 4 2" xfId="6512" xr:uid="{00000000-0005-0000-0000-00006C190000}"/>
    <cellStyle name="Heading 3 5" xfId="6513" xr:uid="{00000000-0005-0000-0000-00006D190000}"/>
    <cellStyle name="Heading 3 5 2" xfId="6514" xr:uid="{00000000-0005-0000-0000-00006E190000}"/>
    <cellStyle name="Heading 3 6" xfId="6515" xr:uid="{00000000-0005-0000-0000-00006F190000}"/>
    <cellStyle name="Heading 3 7" xfId="6516" xr:uid="{00000000-0005-0000-0000-000070190000}"/>
    <cellStyle name="Heading 3 8" xfId="6517" xr:uid="{00000000-0005-0000-0000-000071190000}"/>
    <cellStyle name="Heading 3 9" xfId="6518" xr:uid="{00000000-0005-0000-0000-000072190000}"/>
    <cellStyle name="Heading 4 10" xfId="6519" xr:uid="{00000000-0005-0000-0000-000073190000}"/>
    <cellStyle name="Heading 4 11" xfId="6520" xr:uid="{00000000-0005-0000-0000-000074190000}"/>
    <cellStyle name="Heading 4 12" xfId="6521" xr:uid="{00000000-0005-0000-0000-000075190000}"/>
    <cellStyle name="Heading 4 2" xfId="6522" xr:uid="{00000000-0005-0000-0000-000076190000}"/>
    <cellStyle name="Heading 4 2 10" xfId="6523" xr:uid="{00000000-0005-0000-0000-000077190000}"/>
    <cellStyle name="Heading 4 2 2" xfId="6524" xr:uid="{00000000-0005-0000-0000-000078190000}"/>
    <cellStyle name="Heading 4 2 2 2" xfId="6525" xr:uid="{00000000-0005-0000-0000-000079190000}"/>
    <cellStyle name="Heading 4 2 2 2 2" xfId="6526" xr:uid="{00000000-0005-0000-0000-00007A190000}"/>
    <cellStyle name="Heading 4 2 2 2 2 2" xfId="6527" xr:uid="{00000000-0005-0000-0000-00007B190000}"/>
    <cellStyle name="Heading 4 2 2 2 3" xfId="6528" xr:uid="{00000000-0005-0000-0000-00007C190000}"/>
    <cellStyle name="Heading 4 2 2 2 3 2" xfId="6529" xr:uid="{00000000-0005-0000-0000-00007D190000}"/>
    <cellStyle name="Heading 4 2 2 2 4" xfId="6530" xr:uid="{00000000-0005-0000-0000-00007E190000}"/>
    <cellStyle name="Heading 4 2 2 2 5" xfId="6531" xr:uid="{00000000-0005-0000-0000-00007F190000}"/>
    <cellStyle name="Heading 4 2 2 2 6" xfId="6532" xr:uid="{00000000-0005-0000-0000-000080190000}"/>
    <cellStyle name="Heading 4 2 2 2 7" xfId="6533" xr:uid="{00000000-0005-0000-0000-000081190000}"/>
    <cellStyle name="Heading 4 2 2 2 8" xfId="6534" xr:uid="{00000000-0005-0000-0000-000082190000}"/>
    <cellStyle name="Heading 4 2 2 2 9" xfId="6535" xr:uid="{00000000-0005-0000-0000-000083190000}"/>
    <cellStyle name="Heading 4 2 2 3" xfId="6536" xr:uid="{00000000-0005-0000-0000-000084190000}"/>
    <cellStyle name="Heading 4 2 2 3 2" xfId="6537" xr:uid="{00000000-0005-0000-0000-000085190000}"/>
    <cellStyle name="Heading 4 2 2 4" xfId="6538" xr:uid="{00000000-0005-0000-0000-000086190000}"/>
    <cellStyle name="Heading 4 2 2 5" xfId="6539" xr:uid="{00000000-0005-0000-0000-000087190000}"/>
    <cellStyle name="Heading 4 2 2 6" xfId="6540" xr:uid="{00000000-0005-0000-0000-000088190000}"/>
    <cellStyle name="Heading 4 2 2 7" xfId="6541" xr:uid="{00000000-0005-0000-0000-000089190000}"/>
    <cellStyle name="Heading 4 2 2 8" xfId="6542" xr:uid="{00000000-0005-0000-0000-00008A190000}"/>
    <cellStyle name="Heading 4 2 2 9" xfId="6543" xr:uid="{00000000-0005-0000-0000-00008B190000}"/>
    <cellStyle name="Heading 4 2 3" xfId="6544" xr:uid="{00000000-0005-0000-0000-00008C190000}"/>
    <cellStyle name="Heading 4 2 3 2" xfId="6545" xr:uid="{00000000-0005-0000-0000-00008D190000}"/>
    <cellStyle name="Heading 4 2 4" xfId="6546" xr:uid="{00000000-0005-0000-0000-00008E190000}"/>
    <cellStyle name="Heading 4 2 4 2" xfId="6547" xr:uid="{00000000-0005-0000-0000-00008F190000}"/>
    <cellStyle name="Heading 4 2 5" xfId="6548" xr:uid="{00000000-0005-0000-0000-000090190000}"/>
    <cellStyle name="Heading 4 2 6" xfId="6549" xr:uid="{00000000-0005-0000-0000-000091190000}"/>
    <cellStyle name="Heading 4 2 7" xfId="6550" xr:uid="{00000000-0005-0000-0000-000092190000}"/>
    <cellStyle name="Heading 4 2 8" xfId="6551" xr:uid="{00000000-0005-0000-0000-000093190000}"/>
    <cellStyle name="Heading 4 2 9" xfId="6552" xr:uid="{00000000-0005-0000-0000-000094190000}"/>
    <cellStyle name="Heading 4 3" xfId="6553" xr:uid="{00000000-0005-0000-0000-000095190000}"/>
    <cellStyle name="Heading 4 3 2" xfId="6554" xr:uid="{00000000-0005-0000-0000-000096190000}"/>
    <cellStyle name="Heading 4 4" xfId="6555" xr:uid="{00000000-0005-0000-0000-000097190000}"/>
    <cellStyle name="Heading 4 4 2" xfId="6556" xr:uid="{00000000-0005-0000-0000-000098190000}"/>
    <cellStyle name="Heading 4 5" xfId="6557" xr:uid="{00000000-0005-0000-0000-000099190000}"/>
    <cellStyle name="Heading 4 5 2" xfId="6558" xr:uid="{00000000-0005-0000-0000-00009A190000}"/>
    <cellStyle name="Heading 4 6" xfId="6559" xr:uid="{00000000-0005-0000-0000-00009B190000}"/>
    <cellStyle name="Heading 4 7" xfId="6560" xr:uid="{00000000-0005-0000-0000-00009C190000}"/>
    <cellStyle name="Heading 4 8" xfId="6561" xr:uid="{00000000-0005-0000-0000-00009D190000}"/>
    <cellStyle name="Heading 4 9" xfId="6562" xr:uid="{00000000-0005-0000-0000-00009E190000}"/>
    <cellStyle name="Input 10" xfId="6563" xr:uid="{00000000-0005-0000-0000-00009F190000}"/>
    <cellStyle name="Input 11" xfId="6564" xr:uid="{00000000-0005-0000-0000-0000A0190000}"/>
    <cellStyle name="Input 12" xfId="6565" xr:uid="{00000000-0005-0000-0000-0000A1190000}"/>
    <cellStyle name="Input 2" xfId="6566" xr:uid="{00000000-0005-0000-0000-0000A2190000}"/>
    <cellStyle name="Input 2 10" xfId="6567" xr:uid="{00000000-0005-0000-0000-0000A3190000}"/>
    <cellStyle name="Input 2 2" xfId="6568" xr:uid="{00000000-0005-0000-0000-0000A4190000}"/>
    <cellStyle name="Input 2 2 2" xfId="6569" xr:uid="{00000000-0005-0000-0000-0000A5190000}"/>
    <cellStyle name="Input 2 2 2 2" xfId="6570" xr:uid="{00000000-0005-0000-0000-0000A6190000}"/>
    <cellStyle name="Input 2 2 2 2 2" xfId="6571" xr:uid="{00000000-0005-0000-0000-0000A7190000}"/>
    <cellStyle name="Input 2 2 2 3" xfId="6572" xr:uid="{00000000-0005-0000-0000-0000A8190000}"/>
    <cellStyle name="Input 2 2 2 3 2" xfId="6573" xr:uid="{00000000-0005-0000-0000-0000A9190000}"/>
    <cellStyle name="Input 2 2 2 4" xfId="6574" xr:uid="{00000000-0005-0000-0000-0000AA190000}"/>
    <cellStyle name="Input 2 2 2 5" xfId="6575" xr:uid="{00000000-0005-0000-0000-0000AB190000}"/>
    <cellStyle name="Input 2 2 2 6" xfId="6576" xr:uid="{00000000-0005-0000-0000-0000AC190000}"/>
    <cellStyle name="Input 2 2 2 7" xfId="6577" xr:uid="{00000000-0005-0000-0000-0000AD190000}"/>
    <cellStyle name="Input 2 2 2 8" xfId="6578" xr:uid="{00000000-0005-0000-0000-0000AE190000}"/>
    <cellStyle name="Input 2 2 2 9" xfId="6579" xr:uid="{00000000-0005-0000-0000-0000AF190000}"/>
    <cellStyle name="Input 2 2 3" xfId="6580" xr:uid="{00000000-0005-0000-0000-0000B0190000}"/>
    <cellStyle name="Input 2 2 3 2" xfId="6581" xr:uid="{00000000-0005-0000-0000-0000B1190000}"/>
    <cellStyle name="Input 2 2 4" xfId="6582" xr:uid="{00000000-0005-0000-0000-0000B2190000}"/>
    <cellStyle name="Input 2 2 5" xfId="6583" xr:uid="{00000000-0005-0000-0000-0000B3190000}"/>
    <cellStyle name="Input 2 2 6" xfId="6584" xr:uid="{00000000-0005-0000-0000-0000B4190000}"/>
    <cellStyle name="Input 2 2 7" xfId="6585" xr:uid="{00000000-0005-0000-0000-0000B5190000}"/>
    <cellStyle name="Input 2 2 8" xfId="6586" xr:uid="{00000000-0005-0000-0000-0000B6190000}"/>
    <cellStyle name="Input 2 2 9" xfId="6587" xr:uid="{00000000-0005-0000-0000-0000B7190000}"/>
    <cellStyle name="Input 2 3" xfId="6588" xr:uid="{00000000-0005-0000-0000-0000B8190000}"/>
    <cellStyle name="Input 2 3 2" xfId="6589" xr:uid="{00000000-0005-0000-0000-0000B9190000}"/>
    <cellStyle name="Input 2 4" xfId="6590" xr:uid="{00000000-0005-0000-0000-0000BA190000}"/>
    <cellStyle name="Input 2 4 2" xfId="6591" xr:uid="{00000000-0005-0000-0000-0000BB190000}"/>
    <cellStyle name="Input 2 5" xfId="6592" xr:uid="{00000000-0005-0000-0000-0000BC190000}"/>
    <cellStyle name="Input 2 6" xfId="6593" xr:uid="{00000000-0005-0000-0000-0000BD190000}"/>
    <cellStyle name="Input 2 7" xfId="6594" xr:uid="{00000000-0005-0000-0000-0000BE190000}"/>
    <cellStyle name="Input 2 8" xfId="6595" xr:uid="{00000000-0005-0000-0000-0000BF190000}"/>
    <cellStyle name="Input 2 9" xfId="6596" xr:uid="{00000000-0005-0000-0000-0000C0190000}"/>
    <cellStyle name="Input 3" xfId="6597" xr:uid="{00000000-0005-0000-0000-0000C1190000}"/>
    <cellStyle name="Input 3 2" xfId="6598" xr:uid="{00000000-0005-0000-0000-0000C2190000}"/>
    <cellStyle name="Input 4" xfId="6599" xr:uid="{00000000-0005-0000-0000-0000C3190000}"/>
    <cellStyle name="Input 4 2" xfId="6600" xr:uid="{00000000-0005-0000-0000-0000C4190000}"/>
    <cellStyle name="Input 5" xfId="6601" xr:uid="{00000000-0005-0000-0000-0000C5190000}"/>
    <cellStyle name="Input 5 2" xfId="6602" xr:uid="{00000000-0005-0000-0000-0000C6190000}"/>
    <cellStyle name="Input 6" xfId="6603" xr:uid="{00000000-0005-0000-0000-0000C7190000}"/>
    <cellStyle name="Input 7" xfId="6604" xr:uid="{00000000-0005-0000-0000-0000C8190000}"/>
    <cellStyle name="Input 8" xfId="6605" xr:uid="{00000000-0005-0000-0000-0000C9190000}"/>
    <cellStyle name="Input 9" xfId="6606" xr:uid="{00000000-0005-0000-0000-0000CA190000}"/>
    <cellStyle name="LineItemPrompt" xfId="6607" xr:uid="{00000000-0005-0000-0000-0000CB190000}"/>
    <cellStyle name="LineItemPrompt 2" xfId="6608" xr:uid="{00000000-0005-0000-0000-0000CC190000}"/>
    <cellStyle name="LineItemValue" xfId="6609" xr:uid="{00000000-0005-0000-0000-0000CD190000}"/>
    <cellStyle name="LineItemValue 2" xfId="6610" xr:uid="{00000000-0005-0000-0000-0000CE190000}"/>
    <cellStyle name="Link Currency (0)" xfId="6611" xr:uid="{00000000-0005-0000-0000-0000CF190000}"/>
    <cellStyle name="Link Currency (0) 2" xfId="6612" xr:uid="{00000000-0005-0000-0000-0000D0190000}"/>
    <cellStyle name="Link Currency (2)" xfId="6613" xr:uid="{00000000-0005-0000-0000-0000D1190000}"/>
    <cellStyle name="Link Currency (2) 2" xfId="6614" xr:uid="{00000000-0005-0000-0000-0000D2190000}"/>
    <cellStyle name="Link Units (0)" xfId="6615" xr:uid="{00000000-0005-0000-0000-0000D3190000}"/>
    <cellStyle name="Link Units (0) 2" xfId="6616" xr:uid="{00000000-0005-0000-0000-0000D4190000}"/>
    <cellStyle name="Link Units (1)" xfId="6617" xr:uid="{00000000-0005-0000-0000-0000D5190000}"/>
    <cellStyle name="Link Units (1) 2" xfId="6618" xr:uid="{00000000-0005-0000-0000-0000D6190000}"/>
    <cellStyle name="Link Units (2)" xfId="6619" xr:uid="{00000000-0005-0000-0000-0000D7190000}"/>
    <cellStyle name="Link Units (2) 2" xfId="6620" xr:uid="{00000000-0005-0000-0000-0000D8190000}"/>
    <cellStyle name="Linked Cell 10" xfId="6621" xr:uid="{00000000-0005-0000-0000-0000D9190000}"/>
    <cellStyle name="Linked Cell 11" xfId="6622" xr:uid="{00000000-0005-0000-0000-0000DA190000}"/>
    <cellStyle name="Linked Cell 12" xfId="6623" xr:uid="{00000000-0005-0000-0000-0000DB190000}"/>
    <cellStyle name="Linked Cell 2" xfId="6624" xr:uid="{00000000-0005-0000-0000-0000DC190000}"/>
    <cellStyle name="Linked Cell 2 10" xfId="6625" xr:uid="{00000000-0005-0000-0000-0000DD190000}"/>
    <cellStyle name="Linked Cell 2 2" xfId="6626" xr:uid="{00000000-0005-0000-0000-0000DE190000}"/>
    <cellStyle name="Linked Cell 2 2 2" xfId="6627" xr:uid="{00000000-0005-0000-0000-0000DF190000}"/>
    <cellStyle name="Linked Cell 2 2 2 2" xfId="6628" xr:uid="{00000000-0005-0000-0000-0000E0190000}"/>
    <cellStyle name="Linked Cell 2 2 2 2 2" xfId="6629" xr:uid="{00000000-0005-0000-0000-0000E1190000}"/>
    <cellStyle name="Linked Cell 2 2 2 3" xfId="6630" xr:uid="{00000000-0005-0000-0000-0000E2190000}"/>
    <cellStyle name="Linked Cell 2 2 2 3 2" xfId="6631" xr:uid="{00000000-0005-0000-0000-0000E3190000}"/>
    <cellStyle name="Linked Cell 2 2 2 4" xfId="6632" xr:uid="{00000000-0005-0000-0000-0000E4190000}"/>
    <cellStyle name="Linked Cell 2 2 2 5" xfId="6633" xr:uid="{00000000-0005-0000-0000-0000E5190000}"/>
    <cellStyle name="Linked Cell 2 2 2 6" xfId="6634" xr:uid="{00000000-0005-0000-0000-0000E6190000}"/>
    <cellStyle name="Linked Cell 2 2 2 7" xfId="6635" xr:uid="{00000000-0005-0000-0000-0000E7190000}"/>
    <cellStyle name="Linked Cell 2 2 2 8" xfId="6636" xr:uid="{00000000-0005-0000-0000-0000E8190000}"/>
    <cellStyle name="Linked Cell 2 2 2 9" xfId="6637" xr:uid="{00000000-0005-0000-0000-0000E9190000}"/>
    <cellStyle name="Linked Cell 2 2 3" xfId="6638" xr:uid="{00000000-0005-0000-0000-0000EA190000}"/>
    <cellStyle name="Linked Cell 2 2 3 2" xfId="6639" xr:uid="{00000000-0005-0000-0000-0000EB190000}"/>
    <cellStyle name="Linked Cell 2 2 4" xfId="6640" xr:uid="{00000000-0005-0000-0000-0000EC190000}"/>
    <cellStyle name="Linked Cell 2 2 5" xfId="6641" xr:uid="{00000000-0005-0000-0000-0000ED190000}"/>
    <cellStyle name="Linked Cell 2 2 6" xfId="6642" xr:uid="{00000000-0005-0000-0000-0000EE190000}"/>
    <cellStyle name="Linked Cell 2 2 7" xfId="6643" xr:uid="{00000000-0005-0000-0000-0000EF190000}"/>
    <cellStyle name="Linked Cell 2 2 8" xfId="6644" xr:uid="{00000000-0005-0000-0000-0000F0190000}"/>
    <cellStyle name="Linked Cell 2 2 9" xfId="6645" xr:uid="{00000000-0005-0000-0000-0000F1190000}"/>
    <cellStyle name="Linked Cell 2 3" xfId="6646" xr:uid="{00000000-0005-0000-0000-0000F2190000}"/>
    <cellStyle name="Linked Cell 2 3 2" xfId="6647" xr:uid="{00000000-0005-0000-0000-0000F3190000}"/>
    <cellStyle name="Linked Cell 2 4" xfId="6648" xr:uid="{00000000-0005-0000-0000-0000F4190000}"/>
    <cellStyle name="Linked Cell 2 4 2" xfId="6649" xr:uid="{00000000-0005-0000-0000-0000F5190000}"/>
    <cellStyle name="Linked Cell 2 5" xfId="6650" xr:uid="{00000000-0005-0000-0000-0000F6190000}"/>
    <cellStyle name="Linked Cell 2 6" xfId="6651" xr:uid="{00000000-0005-0000-0000-0000F7190000}"/>
    <cellStyle name="Linked Cell 2 7" xfId="6652" xr:uid="{00000000-0005-0000-0000-0000F8190000}"/>
    <cellStyle name="Linked Cell 2 8" xfId="6653" xr:uid="{00000000-0005-0000-0000-0000F9190000}"/>
    <cellStyle name="Linked Cell 2 9" xfId="6654" xr:uid="{00000000-0005-0000-0000-0000FA190000}"/>
    <cellStyle name="Linked Cell 3" xfId="6655" xr:uid="{00000000-0005-0000-0000-0000FB190000}"/>
    <cellStyle name="Linked Cell 3 2" xfId="6656" xr:uid="{00000000-0005-0000-0000-0000FC190000}"/>
    <cellStyle name="Linked Cell 4" xfId="6657" xr:uid="{00000000-0005-0000-0000-0000FD190000}"/>
    <cellStyle name="Linked Cell 4 2" xfId="6658" xr:uid="{00000000-0005-0000-0000-0000FE190000}"/>
    <cellStyle name="Linked Cell 5" xfId="6659" xr:uid="{00000000-0005-0000-0000-0000FF190000}"/>
    <cellStyle name="Linked Cell 5 2" xfId="6660" xr:uid="{00000000-0005-0000-0000-0000001A0000}"/>
    <cellStyle name="Linked Cell 6" xfId="6661" xr:uid="{00000000-0005-0000-0000-0000011A0000}"/>
    <cellStyle name="Linked Cell 7" xfId="6662" xr:uid="{00000000-0005-0000-0000-0000021A0000}"/>
    <cellStyle name="Linked Cell 8" xfId="6663" xr:uid="{00000000-0005-0000-0000-0000031A0000}"/>
    <cellStyle name="Linked Cell 9" xfId="6664" xr:uid="{00000000-0005-0000-0000-0000041A0000}"/>
    <cellStyle name="Neutral 10" xfId="6665" xr:uid="{00000000-0005-0000-0000-0000051A0000}"/>
    <cellStyle name="Neutral 11" xfId="6666" xr:uid="{00000000-0005-0000-0000-0000061A0000}"/>
    <cellStyle name="Neutral 12" xfId="6667" xr:uid="{00000000-0005-0000-0000-0000071A0000}"/>
    <cellStyle name="Neutral 2" xfId="6668" xr:uid="{00000000-0005-0000-0000-0000081A0000}"/>
    <cellStyle name="Neutral 2 10" xfId="6669" xr:uid="{00000000-0005-0000-0000-0000091A0000}"/>
    <cellStyle name="Neutral 2 2" xfId="6670" xr:uid="{00000000-0005-0000-0000-00000A1A0000}"/>
    <cellStyle name="Neutral 2 2 2" xfId="6671" xr:uid="{00000000-0005-0000-0000-00000B1A0000}"/>
    <cellStyle name="Neutral 2 2 2 2" xfId="6672" xr:uid="{00000000-0005-0000-0000-00000C1A0000}"/>
    <cellStyle name="Neutral 2 2 2 2 2" xfId="6673" xr:uid="{00000000-0005-0000-0000-00000D1A0000}"/>
    <cellStyle name="Neutral 2 2 2 3" xfId="6674" xr:uid="{00000000-0005-0000-0000-00000E1A0000}"/>
    <cellStyle name="Neutral 2 2 2 3 2" xfId="6675" xr:uid="{00000000-0005-0000-0000-00000F1A0000}"/>
    <cellStyle name="Neutral 2 2 2 4" xfId="6676" xr:uid="{00000000-0005-0000-0000-0000101A0000}"/>
    <cellStyle name="Neutral 2 2 2 5" xfId="6677" xr:uid="{00000000-0005-0000-0000-0000111A0000}"/>
    <cellStyle name="Neutral 2 2 2 6" xfId="6678" xr:uid="{00000000-0005-0000-0000-0000121A0000}"/>
    <cellStyle name="Neutral 2 2 2 7" xfId="6679" xr:uid="{00000000-0005-0000-0000-0000131A0000}"/>
    <cellStyle name="Neutral 2 2 2 8" xfId="6680" xr:uid="{00000000-0005-0000-0000-0000141A0000}"/>
    <cellStyle name="Neutral 2 2 2 9" xfId="6681" xr:uid="{00000000-0005-0000-0000-0000151A0000}"/>
    <cellStyle name="Neutral 2 2 3" xfId="6682" xr:uid="{00000000-0005-0000-0000-0000161A0000}"/>
    <cellStyle name="Neutral 2 2 3 2" xfId="6683" xr:uid="{00000000-0005-0000-0000-0000171A0000}"/>
    <cellStyle name="Neutral 2 2 4" xfId="6684" xr:uid="{00000000-0005-0000-0000-0000181A0000}"/>
    <cellStyle name="Neutral 2 2 5" xfId="6685" xr:uid="{00000000-0005-0000-0000-0000191A0000}"/>
    <cellStyle name="Neutral 2 2 6" xfId="6686" xr:uid="{00000000-0005-0000-0000-00001A1A0000}"/>
    <cellStyle name="Neutral 2 2 7" xfId="6687" xr:uid="{00000000-0005-0000-0000-00001B1A0000}"/>
    <cellStyle name="Neutral 2 2 8" xfId="6688" xr:uid="{00000000-0005-0000-0000-00001C1A0000}"/>
    <cellStyle name="Neutral 2 2 9" xfId="6689" xr:uid="{00000000-0005-0000-0000-00001D1A0000}"/>
    <cellStyle name="Neutral 2 3" xfId="6690" xr:uid="{00000000-0005-0000-0000-00001E1A0000}"/>
    <cellStyle name="Neutral 2 3 2" xfId="6691" xr:uid="{00000000-0005-0000-0000-00001F1A0000}"/>
    <cellStyle name="Neutral 2 4" xfId="6692" xr:uid="{00000000-0005-0000-0000-0000201A0000}"/>
    <cellStyle name="Neutral 2 4 2" xfId="6693" xr:uid="{00000000-0005-0000-0000-0000211A0000}"/>
    <cellStyle name="Neutral 2 5" xfId="6694" xr:uid="{00000000-0005-0000-0000-0000221A0000}"/>
    <cellStyle name="Neutral 2 6" xfId="6695" xr:uid="{00000000-0005-0000-0000-0000231A0000}"/>
    <cellStyle name="Neutral 2 7" xfId="6696" xr:uid="{00000000-0005-0000-0000-0000241A0000}"/>
    <cellStyle name="Neutral 2 8" xfId="6697" xr:uid="{00000000-0005-0000-0000-0000251A0000}"/>
    <cellStyle name="Neutral 2 9" xfId="6698" xr:uid="{00000000-0005-0000-0000-0000261A0000}"/>
    <cellStyle name="Neutral 3" xfId="6699" xr:uid="{00000000-0005-0000-0000-0000271A0000}"/>
    <cellStyle name="Neutral 3 2" xfId="6700" xr:uid="{00000000-0005-0000-0000-0000281A0000}"/>
    <cellStyle name="Neutral 4" xfId="6701" xr:uid="{00000000-0005-0000-0000-0000291A0000}"/>
    <cellStyle name="Neutral 4 2" xfId="6702" xr:uid="{00000000-0005-0000-0000-00002A1A0000}"/>
    <cellStyle name="Neutral 5" xfId="6703" xr:uid="{00000000-0005-0000-0000-00002B1A0000}"/>
    <cellStyle name="Neutral 5 2" xfId="6704" xr:uid="{00000000-0005-0000-0000-00002C1A0000}"/>
    <cellStyle name="Neutral 6" xfId="6705" xr:uid="{00000000-0005-0000-0000-00002D1A0000}"/>
    <cellStyle name="Neutral 7" xfId="6706" xr:uid="{00000000-0005-0000-0000-00002E1A0000}"/>
    <cellStyle name="Neutral 8" xfId="6707" xr:uid="{00000000-0005-0000-0000-00002F1A0000}"/>
    <cellStyle name="Neutral 9" xfId="6708" xr:uid="{00000000-0005-0000-0000-0000301A0000}"/>
    <cellStyle name="noncur" xfId="6709" xr:uid="{00000000-0005-0000-0000-0000311A0000}"/>
    <cellStyle name="Normal" xfId="0" builtinId="0"/>
    <cellStyle name="Normal - Style1" xfId="6710" xr:uid="{00000000-0005-0000-0000-0000331A0000}"/>
    <cellStyle name="Normal - Style1 10" xfId="6711" xr:uid="{00000000-0005-0000-0000-0000341A0000}"/>
    <cellStyle name="Normal - Style1 10 2" xfId="6712" xr:uid="{00000000-0005-0000-0000-0000351A0000}"/>
    <cellStyle name="Normal - Style1 11" xfId="6713" xr:uid="{00000000-0005-0000-0000-0000361A0000}"/>
    <cellStyle name="Normal - Style1 11 2" xfId="6714" xr:uid="{00000000-0005-0000-0000-0000371A0000}"/>
    <cellStyle name="Normal - Style1 12" xfId="6715" xr:uid="{00000000-0005-0000-0000-0000381A0000}"/>
    <cellStyle name="Normal - Style1 13" xfId="6716" xr:uid="{00000000-0005-0000-0000-0000391A0000}"/>
    <cellStyle name="Normal - Style1 14" xfId="6717" xr:uid="{00000000-0005-0000-0000-00003A1A0000}"/>
    <cellStyle name="Normal - Style1 2" xfId="6718" xr:uid="{00000000-0005-0000-0000-00003B1A0000}"/>
    <cellStyle name="Normal - Style1 2 2" xfId="6719" xr:uid="{00000000-0005-0000-0000-00003C1A0000}"/>
    <cellStyle name="Normal - Style1 2 3" xfId="6720" xr:uid="{00000000-0005-0000-0000-00003D1A0000}"/>
    <cellStyle name="Normal - Style1 2 4" xfId="6721" xr:uid="{00000000-0005-0000-0000-00003E1A0000}"/>
    <cellStyle name="Normal - Style1 2 5" xfId="6722" xr:uid="{00000000-0005-0000-0000-00003F1A0000}"/>
    <cellStyle name="Normal - Style1 3" xfId="6723" xr:uid="{00000000-0005-0000-0000-0000401A0000}"/>
    <cellStyle name="Normal - Style1 3 2" xfId="6724" xr:uid="{00000000-0005-0000-0000-0000411A0000}"/>
    <cellStyle name="Normal - Style1 4" xfId="6725" xr:uid="{00000000-0005-0000-0000-0000421A0000}"/>
    <cellStyle name="Normal - Style1 4 2" xfId="6726" xr:uid="{00000000-0005-0000-0000-0000431A0000}"/>
    <cellStyle name="Normal - Style1 5" xfId="6727" xr:uid="{00000000-0005-0000-0000-0000441A0000}"/>
    <cellStyle name="Normal - Style1 5 2" xfId="6728" xr:uid="{00000000-0005-0000-0000-0000451A0000}"/>
    <cellStyle name="Normal - Style1 6" xfId="6729" xr:uid="{00000000-0005-0000-0000-0000461A0000}"/>
    <cellStyle name="Normal - Style1 6 2" xfId="6730" xr:uid="{00000000-0005-0000-0000-0000471A0000}"/>
    <cellStyle name="Normal - Style1 7" xfId="6731" xr:uid="{00000000-0005-0000-0000-0000481A0000}"/>
    <cellStyle name="Normal - Style1 7 2" xfId="6732" xr:uid="{00000000-0005-0000-0000-0000491A0000}"/>
    <cellStyle name="Normal - Style1 8" xfId="6733" xr:uid="{00000000-0005-0000-0000-00004A1A0000}"/>
    <cellStyle name="Normal - Style1 8 2" xfId="6734" xr:uid="{00000000-0005-0000-0000-00004B1A0000}"/>
    <cellStyle name="Normal - Style1 9" xfId="6735" xr:uid="{00000000-0005-0000-0000-00004C1A0000}"/>
    <cellStyle name="Normal - Style1 9 2" xfId="6736" xr:uid="{00000000-0005-0000-0000-00004D1A0000}"/>
    <cellStyle name="Normal 10" xfId="6737" xr:uid="{00000000-0005-0000-0000-00004E1A0000}"/>
    <cellStyle name="Normal 10 10" xfId="6738" xr:uid="{00000000-0005-0000-0000-00004F1A0000}"/>
    <cellStyle name="Normal 10 10 2" xfId="6739" xr:uid="{00000000-0005-0000-0000-0000501A0000}"/>
    <cellStyle name="Normal 10 10 2 2" xfId="6740" xr:uid="{00000000-0005-0000-0000-0000511A0000}"/>
    <cellStyle name="Normal 10 10 2 3" xfId="6741" xr:uid="{00000000-0005-0000-0000-0000521A0000}"/>
    <cellStyle name="Normal 10 10 3" xfId="6742" xr:uid="{00000000-0005-0000-0000-0000531A0000}"/>
    <cellStyle name="Normal 10 10 4" xfId="6743" xr:uid="{00000000-0005-0000-0000-0000541A0000}"/>
    <cellStyle name="Normal 10 11" xfId="6744" xr:uid="{00000000-0005-0000-0000-0000551A0000}"/>
    <cellStyle name="Normal 10 11 2" xfId="6745" xr:uid="{00000000-0005-0000-0000-0000561A0000}"/>
    <cellStyle name="Normal 10 11 2 2" xfId="6746" xr:uid="{00000000-0005-0000-0000-0000571A0000}"/>
    <cellStyle name="Normal 10 11 2 3" xfId="6747" xr:uid="{00000000-0005-0000-0000-0000581A0000}"/>
    <cellStyle name="Normal 10 11 3" xfId="6748" xr:uid="{00000000-0005-0000-0000-0000591A0000}"/>
    <cellStyle name="Normal 10 11 4" xfId="6749" xr:uid="{00000000-0005-0000-0000-00005A1A0000}"/>
    <cellStyle name="Normal 10 12" xfId="6750" xr:uid="{00000000-0005-0000-0000-00005B1A0000}"/>
    <cellStyle name="Normal 10 12 2" xfId="6751" xr:uid="{00000000-0005-0000-0000-00005C1A0000}"/>
    <cellStyle name="Normal 10 12 2 2" xfId="6752" xr:uid="{00000000-0005-0000-0000-00005D1A0000}"/>
    <cellStyle name="Normal 10 12 2 3" xfId="6753" xr:uid="{00000000-0005-0000-0000-00005E1A0000}"/>
    <cellStyle name="Normal 10 12 3" xfId="6754" xr:uid="{00000000-0005-0000-0000-00005F1A0000}"/>
    <cellStyle name="Normal 10 12 4" xfId="6755" xr:uid="{00000000-0005-0000-0000-0000601A0000}"/>
    <cellStyle name="Normal 10 13" xfId="6756" xr:uid="{00000000-0005-0000-0000-0000611A0000}"/>
    <cellStyle name="Normal 10 13 2" xfId="6757" xr:uid="{00000000-0005-0000-0000-0000621A0000}"/>
    <cellStyle name="Normal 10 13 2 2" xfId="6758" xr:uid="{00000000-0005-0000-0000-0000631A0000}"/>
    <cellStyle name="Normal 10 13 2 3" xfId="6759" xr:uid="{00000000-0005-0000-0000-0000641A0000}"/>
    <cellStyle name="Normal 10 13 3" xfId="6760" xr:uid="{00000000-0005-0000-0000-0000651A0000}"/>
    <cellStyle name="Normal 10 13 4" xfId="6761" xr:uid="{00000000-0005-0000-0000-0000661A0000}"/>
    <cellStyle name="Normal 10 14" xfId="6762" xr:uid="{00000000-0005-0000-0000-0000671A0000}"/>
    <cellStyle name="Normal 10 14 2" xfId="6763" xr:uid="{00000000-0005-0000-0000-0000681A0000}"/>
    <cellStyle name="Normal 10 14 2 2" xfId="6764" xr:uid="{00000000-0005-0000-0000-0000691A0000}"/>
    <cellStyle name="Normal 10 14 2 3" xfId="6765" xr:uid="{00000000-0005-0000-0000-00006A1A0000}"/>
    <cellStyle name="Normal 10 14 3" xfId="6766" xr:uid="{00000000-0005-0000-0000-00006B1A0000}"/>
    <cellStyle name="Normal 10 14 4" xfId="6767" xr:uid="{00000000-0005-0000-0000-00006C1A0000}"/>
    <cellStyle name="Normal 10 15" xfId="6768" xr:uid="{00000000-0005-0000-0000-00006D1A0000}"/>
    <cellStyle name="Normal 10 15 2" xfId="6769" xr:uid="{00000000-0005-0000-0000-00006E1A0000}"/>
    <cellStyle name="Normal 10 15 2 2" xfId="6770" xr:uid="{00000000-0005-0000-0000-00006F1A0000}"/>
    <cellStyle name="Normal 10 15 2 3" xfId="6771" xr:uid="{00000000-0005-0000-0000-0000701A0000}"/>
    <cellStyle name="Normal 10 15 3" xfId="6772" xr:uid="{00000000-0005-0000-0000-0000711A0000}"/>
    <cellStyle name="Normal 10 15 4" xfId="6773" xr:uid="{00000000-0005-0000-0000-0000721A0000}"/>
    <cellStyle name="Normal 10 16" xfId="6774" xr:uid="{00000000-0005-0000-0000-0000731A0000}"/>
    <cellStyle name="Normal 10 16 2" xfId="6775" xr:uid="{00000000-0005-0000-0000-0000741A0000}"/>
    <cellStyle name="Normal 10 16 2 2" xfId="6776" xr:uid="{00000000-0005-0000-0000-0000751A0000}"/>
    <cellStyle name="Normal 10 16 2 3" xfId="6777" xr:uid="{00000000-0005-0000-0000-0000761A0000}"/>
    <cellStyle name="Normal 10 16 3" xfId="6778" xr:uid="{00000000-0005-0000-0000-0000771A0000}"/>
    <cellStyle name="Normal 10 16 4" xfId="6779" xr:uid="{00000000-0005-0000-0000-0000781A0000}"/>
    <cellStyle name="Normal 10 17" xfId="6780" xr:uid="{00000000-0005-0000-0000-0000791A0000}"/>
    <cellStyle name="Normal 10 17 2" xfId="6781" xr:uid="{00000000-0005-0000-0000-00007A1A0000}"/>
    <cellStyle name="Normal 10 17 2 2" xfId="6782" xr:uid="{00000000-0005-0000-0000-00007B1A0000}"/>
    <cellStyle name="Normal 10 17 2 3" xfId="6783" xr:uid="{00000000-0005-0000-0000-00007C1A0000}"/>
    <cellStyle name="Normal 10 17 3" xfId="6784" xr:uid="{00000000-0005-0000-0000-00007D1A0000}"/>
    <cellStyle name="Normal 10 17 4" xfId="6785" xr:uid="{00000000-0005-0000-0000-00007E1A0000}"/>
    <cellStyle name="Normal 10 18" xfId="6786" xr:uid="{00000000-0005-0000-0000-00007F1A0000}"/>
    <cellStyle name="Normal 10 18 2" xfId="6787" xr:uid="{00000000-0005-0000-0000-0000801A0000}"/>
    <cellStyle name="Normal 10 18 2 2" xfId="6788" xr:uid="{00000000-0005-0000-0000-0000811A0000}"/>
    <cellStyle name="Normal 10 18 2 3" xfId="6789" xr:uid="{00000000-0005-0000-0000-0000821A0000}"/>
    <cellStyle name="Normal 10 18 3" xfId="6790" xr:uid="{00000000-0005-0000-0000-0000831A0000}"/>
    <cellStyle name="Normal 10 18 4" xfId="6791" xr:uid="{00000000-0005-0000-0000-0000841A0000}"/>
    <cellStyle name="Normal 10 19" xfId="6792" xr:uid="{00000000-0005-0000-0000-0000851A0000}"/>
    <cellStyle name="Normal 10 19 2" xfId="6793" xr:uid="{00000000-0005-0000-0000-0000861A0000}"/>
    <cellStyle name="Normal 10 19 2 2" xfId="6794" xr:uid="{00000000-0005-0000-0000-0000871A0000}"/>
    <cellStyle name="Normal 10 19 2 3" xfId="6795" xr:uid="{00000000-0005-0000-0000-0000881A0000}"/>
    <cellStyle name="Normal 10 19 3" xfId="6796" xr:uid="{00000000-0005-0000-0000-0000891A0000}"/>
    <cellStyle name="Normal 10 19 4" xfId="6797" xr:uid="{00000000-0005-0000-0000-00008A1A0000}"/>
    <cellStyle name="Normal 10 2" xfId="6798" xr:uid="{00000000-0005-0000-0000-00008B1A0000}"/>
    <cellStyle name="Normal 10 2 2" xfId="6799" xr:uid="{00000000-0005-0000-0000-00008C1A0000}"/>
    <cellStyle name="Normal 10 2 3" xfId="15614" xr:uid="{4E1750A3-4647-42C4-A1D4-557BDD78CD45}"/>
    <cellStyle name="Normal 10 20" xfId="6800" xr:uid="{00000000-0005-0000-0000-00008D1A0000}"/>
    <cellStyle name="Normal 10 20 2" xfId="6801" xr:uid="{00000000-0005-0000-0000-00008E1A0000}"/>
    <cellStyle name="Normal 10 20 2 2" xfId="6802" xr:uid="{00000000-0005-0000-0000-00008F1A0000}"/>
    <cellStyle name="Normal 10 20 2 3" xfId="6803" xr:uid="{00000000-0005-0000-0000-0000901A0000}"/>
    <cellStyle name="Normal 10 20 3" xfId="6804" xr:uid="{00000000-0005-0000-0000-0000911A0000}"/>
    <cellStyle name="Normal 10 20 4" xfId="6805" xr:uid="{00000000-0005-0000-0000-0000921A0000}"/>
    <cellStyle name="Normal 10 21" xfId="6806" xr:uid="{00000000-0005-0000-0000-0000931A0000}"/>
    <cellStyle name="Normal 10 21 2" xfId="6807" xr:uid="{00000000-0005-0000-0000-0000941A0000}"/>
    <cellStyle name="Normal 10 21 2 2" xfId="6808" xr:uid="{00000000-0005-0000-0000-0000951A0000}"/>
    <cellStyle name="Normal 10 21 2 3" xfId="6809" xr:uid="{00000000-0005-0000-0000-0000961A0000}"/>
    <cellStyle name="Normal 10 21 3" xfId="6810" xr:uid="{00000000-0005-0000-0000-0000971A0000}"/>
    <cellStyle name="Normal 10 21 4" xfId="6811" xr:uid="{00000000-0005-0000-0000-0000981A0000}"/>
    <cellStyle name="Normal 10 22" xfId="6812" xr:uid="{00000000-0005-0000-0000-0000991A0000}"/>
    <cellStyle name="Normal 10 22 2" xfId="6813" xr:uid="{00000000-0005-0000-0000-00009A1A0000}"/>
    <cellStyle name="Normal 10 22 2 2" xfId="6814" xr:uid="{00000000-0005-0000-0000-00009B1A0000}"/>
    <cellStyle name="Normal 10 22 2 3" xfId="6815" xr:uid="{00000000-0005-0000-0000-00009C1A0000}"/>
    <cellStyle name="Normal 10 22 3" xfId="6816" xr:uid="{00000000-0005-0000-0000-00009D1A0000}"/>
    <cellStyle name="Normal 10 22 4" xfId="6817" xr:uid="{00000000-0005-0000-0000-00009E1A0000}"/>
    <cellStyle name="Normal 10 23" xfId="6818" xr:uid="{00000000-0005-0000-0000-00009F1A0000}"/>
    <cellStyle name="Normal 10 23 2" xfId="6819" xr:uid="{00000000-0005-0000-0000-0000A01A0000}"/>
    <cellStyle name="Normal 10 23 2 2" xfId="6820" xr:uid="{00000000-0005-0000-0000-0000A11A0000}"/>
    <cellStyle name="Normal 10 23 2 3" xfId="6821" xr:uid="{00000000-0005-0000-0000-0000A21A0000}"/>
    <cellStyle name="Normal 10 23 3" xfId="6822" xr:uid="{00000000-0005-0000-0000-0000A31A0000}"/>
    <cellStyle name="Normal 10 23 4" xfId="6823" xr:uid="{00000000-0005-0000-0000-0000A41A0000}"/>
    <cellStyle name="Normal 10 24" xfId="6824" xr:uid="{00000000-0005-0000-0000-0000A51A0000}"/>
    <cellStyle name="Normal 10 24 2" xfId="6825" xr:uid="{00000000-0005-0000-0000-0000A61A0000}"/>
    <cellStyle name="Normal 10 24 2 2" xfId="6826" xr:uid="{00000000-0005-0000-0000-0000A71A0000}"/>
    <cellStyle name="Normal 10 24 2 3" xfId="6827" xr:uid="{00000000-0005-0000-0000-0000A81A0000}"/>
    <cellStyle name="Normal 10 24 3" xfId="6828" xr:uid="{00000000-0005-0000-0000-0000A91A0000}"/>
    <cellStyle name="Normal 10 24 4" xfId="6829" xr:uid="{00000000-0005-0000-0000-0000AA1A0000}"/>
    <cellStyle name="Normal 10 25" xfId="6830" xr:uid="{00000000-0005-0000-0000-0000AB1A0000}"/>
    <cellStyle name="Normal 10 25 2" xfId="6831" xr:uid="{00000000-0005-0000-0000-0000AC1A0000}"/>
    <cellStyle name="Normal 10 25 2 2" xfId="6832" xr:uid="{00000000-0005-0000-0000-0000AD1A0000}"/>
    <cellStyle name="Normal 10 25 2 3" xfId="6833" xr:uid="{00000000-0005-0000-0000-0000AE1A0000}"/>
    <cellStyle name="Normal 10 25 3" xfId="6834" xr:uid="{00000000-0005-0000-0000-0000AF1A0000}"/>
    <cellStyle name="Normal 10 25 4" xfId="6835" xr:uid="{00000000-0005-0000-0000-0000B01A0000}"/>
    <cellStyle name="Normal 10 26" xfId="6836" xr:uid="{00000000-0005-0000-0000-0000B11A0000}"/>
    <cellStyle name="Normal 10 26 2" xfId="6837" xr:uid="{00000000-0005-0000-0000-0000B21A0000}"/>
    <cellStyle name="Normal 10 26 3" xfId="6838" xr:uid="{00000000-0005-0000-0000-0000B31A0000}"/>
    <cellStyle name="Normal 10 27" xfId="6839" xr:uid="{00000000-0005-0000-0000-0000B41A0000}"/>
    <cellStyle name="Normal 10 28" xfId="6840" xr:uid="{00000000-0005-0000-0000-0000B51A0000}"/>
    <cellStyle name="Normal 10 3" xfId="6841" xr:uid="{00000000-0005-0000-0000-0000B61A0000}"/>
    <cellStyle name="Normal 10 3 2" xfId="6842" xr:uid="{00000000-0005-0000-0000-0000B71A0000}"/>
    <cellStyle name="Normal 10 4" xfId="6843" xr:uid="{00000000-0005-0000-0000-0000B81A0000}"/>
    <cellStyle name="Normal 10 4 2" xfId="6844" xr:uid="{00000000-0005-0000-0000-0000B91A0000}"/>
    <cellStyle name="Normal 10 4 2 2" xfId="6845" xr:uid="{00000000-0005-0000-0000-0000BA1A0000}"/>
    <cellStyle name="Normal 10 4 2 3" xfId="6846" xr:uid="{00000000-0005-0000-0000-0000BB1A0000}"/>
    <cellStyle name="Normal 10 4 3" xfId="6847" xr:uid="{00000000-0005-0000-0000-0000BC1A0000}"/>
    <cellStyle name="Normal 10 4 4" xfId="6848" xr:uid="{00000000-0005-0000-0000-0000BD1A0000}"/>
    <cellStyle name="Normal 10 5" xfId="6849" xr:uid="{00000000-0005-0000-0000-0000BE1A0000}"/>
    <cellStyle name="Normal 10 5 2" xfId="6850" xr:uid="{00000000-0005-0000-0000-0000BF1A0000}"/>
    <cellStyle name="Normal 10 5 2 2" xfId="6851" xr:uid="{00000000-0005-0000-0000-0000C01A0000}"/>
    <cellStyle name="Normal 10 5 2 3" xfId="6852" xr:uid="{00000000-0005-0000-0000-0000C11A0000}"/>
    <cellStyle name="Normal 10 5 3" xfId="6853" xr:uid="{00000000-0005-0000-0000-0000C21A0000}"/>
    <cellStyle name="Normal 10 5 4" xfId="6854" xr:uid="{00000000-0005-0000-0000-0000C31A0000}"/>
    <cellStyle name="Normal 10 6" xfId="6855" xr:uid="{00000000-0005-0000-0000-0000C41A0000}"/>
    <cellStyle name="Normal 10 6 2" xfId="6856" xr:uid="{00000000-0005-0000-0000-0000C51A0000}"/>
    <cellStyle name="Normal 10 6 2 2" xfId="6857" xr:uid="{00000000-0005-0000-0000-0000C61A0000}"/>
    <cellStyle name="Normal 10 6 2 3" xfId="6858" xr:uid="{00000000-0005-0000-0000-0000C71A0000}"/>
    <cellStyle name="Normal 10 6 3" xfId="6859" xr:uid="{00000000-0005-0000-0000-0000C81A0000}"/>
    <cellStyle name="Normal 10 6 4" xfId="6860" xr:uid="{00000000-0005-0000-0000-0000C91A0000}"/>
    <cellStyle name="Normal 10 7" xfId="6861" xr:uid="{00000000-0005-0000-0000-0000CA1A0000}"/>
    <cellStyle name="Normal 10 7 2" xfId="6862" xr:uid="{00000000-0005-0000-0000-0000CB1A0000}"/>
    <cellStyle name="Normal 10 7 2 2" xfId="6863" xr:uid="{00000000-0005-0000-0000-0000CC1A0000}"/>
    <cellStyle name="Normal 10 7 2 3" xfId="6864" xr:uid="{00000000-0005-0000-0000-0000CD1A0000}"/>
    <cellStyle name="Normal 10 7 3" xfId="6865" xr:uid="{00000000-0005-0000-0000-0000CE1A0000}"/>
    <cellStyle name="Normal 10 7 4" xfId="6866" xr:uid="{00000000-0005-0000-0000-0000CF1A0000}"/>
    <cellStyle name="Normal 10 8" xfId="6867" xr:uid="{00000000-0005-0000-0000-0000D01A0000}"/>
    <cellStyle name="Normal 10 8 2" xfId="6868" xr:uid="{00000000-0005-0000-0000-0000D11A0000}"/>
    <cellStyle name="Normal 10 8 2 2" xfId="6869" xr:uid="{00000000-0005-0000-0000-0000D21A0000}"/>
    <cellStyle name="Normal 10 8 2 3" xfId="6870" xr:uid="{00000000-0005-0000-0000-0000D31A0000}"/>
    <cellStyle name="Normal 10 8 3" xfId="6871" xr:uid="{00000000-0005-0000-0000-0000D41A0000}"/>
    <cellStyle name="Normal 10 8 4" xfId="6872" xr:uid="{00000000-0005-0000-0000-0000D51A0000}"/>
    <cellStyle name="Normal 10 9" xfId="6873" xr:uid="{00000000-0005-0000-0000-0000D61A0000}"/>
    <cellStyle name="Normal 10 9 2" xfId="6874" xr:uid="{00000000-0005-0000-0000-0000D71A0000}"/>
    <cellStyle name="Normal 10 9 2 2" xfId="6875" xr:uid="{00000000-0005-0000-0000-0000D81A0000}"/>
    <cellStyle name="Normal 10 9 2 3" xfId="6876" xr:uid="{00000000-0005-0000-0000-0000D91A0000}"/>
    <cellStyle name="Normal 10 9 3" xfId="6877" xr:uid="{00000000-0005-0000-0000-0000DA1A0000}"/>
    <cellStyle name="Normal 10 9 4" xfId="6878" xr:uid="{00000000-0005-0000-0000-0000DB1A0000}"/>
    <cellStyle name="Normal 100" xfId="6879" xr:uid="{00000000-0005-0000-0000-0000DC1A0000}"/>
    <cellStyle name="Normal 100 2" xfId="6880" xr:uid="{00000000-0005-0000-0000-0000DD1A0000}"/>
    <cellStyle name="Normal 100 2 2" xfId="6881" xr:uid="{00000000-0005-0000-0000-0000DE1A0000}"/>
    <cellStyle name="Normal 100 2 3" xfId="6882" xr:uid="{00000000-0005-0000-0000-0000DF1A0000}"/>
    <cellStyle name="Normal 100 2 3 2" xfId="6883" xr:uid="{00000000-0005-0000-0000-0000E01A0000}"/>
    <cellStyle name="Normal 100 2 3 3" xfId="6884" xr:uid="{00000000-0005-0000-0000-0000E11A0000}"/>
    <cellStyle name="Normal 100 2 4" xfId="6885" xr:uid="{00000000-0005-0000-0000-0000E21A0000}"/>
    <cellStyle name="Normal 100 2 5" xfId="6886" xr:uid="{00000000-0005-0000-0000-0000E31A0000}"/>
    <cellStyle name="Normal 101" xfId="6887" xr:uid="{00000000-0005-0000-0000-0000E41A0000}"/>
    <cellStyle name="Normal 101 2" xfId="6888" xr:uid="{00000000-0005-0000-0000-0000E51A0000}"/>
    <cellStyle name="Normal 101 2 2" xfId="6889" xr:uid="{00000000-0005-0000-0000-0000E61A0000}"/>
    <cellStyle name="Normal 101 2 3" xfId="6890" xr:uid="{00000000-0005-0000-0000-0000E71A0000}"/>
    <cellStyle name="Normal 101 2 3 2" xfId="6891" xr:uid="{00000000-0005-0000-0000-0000E81A0000}"/>
    <cellStyle name="Normal 101 2 3 3" xfId="6892" xr:uid="{00000000-0005-0000-0000-0000E91A0000}"/>
    <cellStyle name="Normal 101 2 4" xfId="6893" xr:uid="{00000000-0005-0000-0000-0000EA1A0000}"/>
    <cellStyle name="Normal 101 2 5" xfId="6894" xr:uid="{00000000-0005-0000-0000-0000EB1A0000}"/>
    <cellStyle name="Normal 102" xfId="6895" xr:uid="{00000000-0005-0000-0000-0000EC1A0000}"/>
    <cellStyle name="Normal 103" xfId="6896" xr:uid="{00000000-0005-0000-0000-0000ED1A0000}"/>
    <cellStyle name="Normal 104" xfId="6897" xr:uid="{00000000-0005-0000-0000-0000EE1A0000}"/>
    <cellStyle name="Normal 105" xfId="6898" xr:uid="{00000000-0005-0000-0000-0000EF1A0000}"/>
    <cellStyle name="Normal 106" xfId="6899" xr:uid="{00000000-0005-0000-0000-0000F01A0000}"/>
    <cellStyle name="Normal 107" xfId="6900" xr:uid="{00000000-0005-0000-0000-0000F11A0000}"/>
    <cellStyle name="Normal 108" xfId="6901" xr:uid="{00000000-0005-0000-0000-0000F21A0000}"/>
    <cellStyle name="Normal 109" xfId="6902" xr:uid="{00000000-0005-0000-0000-0000F31A0000}"/>
    <cellStyle name="Normal 109 10" xfId="6903" xr:uid="{00000000-0005-0000-0000-0000F41A0000}"/>
    <cellStyle name="Normal 109 10 2" xfId="6904" xr:uid="{00000000-0005-0000-0000-0000F51A0000}"/>
    <cellStyle name="Normal 109 10 2 2" xfId="6905" xr:uid="{00000000-0005-0000-0000-0000F61A0000}"/>
    <cellStyle name="Normal 109 10 2 3" xfId="6906" xr:uid="{00000000-0005-0000-0000-0000F71A0000}"/>
    <cellStyle name="Normal 109 10 3" xfId="6907" xr:uid="{00000000-0005-0000-0000-0000F81A0000}"/>
    <cellStyle name="Normal 109 10 4" xfId="6908" xr:uid="{00000000-0005-0000-0000-0000F91A0000}"/>
    <cellStyle name="Normal 109 11" xfId="6909" xr:uid="{00000000-0005-0000-0000-0000FA1A0000}"/>
    <cellStyle name="Normal 109 11 2" xfId="6910" xr:uid="{00000000-0005-0000-0000-0000FB1A0000}"/>
    <cellStyle name="Normal 109 11 2 2" xfId="6911" xr:uid="{00000000-0005-0000-0000-0000FC1A0000}"/>
    <cellStyle name="Normal 109 11 2 3" xfId="6912" xr:uid="{00000000-0005-0000-0000-0000FD1A0000}"/>
    <cellStyle name="Normal 109 11 3" xfId="6913" xr:uid="{00000000-0005-0000-0000-0000FE1A0000}"/>
    <cellStyle name="Normal 109 11 4" xfId="6914" xr:uid="{00000000-0005-0000-0000-0000FF1A0000}"/>
    <cellStyle name="Normal 109 12" xfId="6915" xr:uid="{00000000-0005-0000-0000-0000001B0000}"/>
    <cellStyle name="Normal 109 12 2" xfId="6916" xr:uid="{00000000-0005-0000-0000-0000011B0000}"/>
    <cellStyle name="Normal 109 12 2 2" xfId="6917" xr:uid="{00000000-0005-0000-0000-0000021B0000}"/>
    <cellStyle name="Normal 109 12 2 3" xfId="6918" xr:uid="{00000000-0005-0000-0000-0000031B0000}"/>
    <cellStyle name="Normal 109 12 3" xfId="6919" xr:uid="{00000000-0005-0000-0000-0000041B0000}"/>
    <cellStyle name="Normal 109 12 4" xfId="6920" xr:uid="{00000000-0005-0000-0000-0000051B0000}"/>
    <cellStyle name="Normal 109 13" xfId="6921" xr:uid="{00000000-0005-0000-0000-0000061B0000}"/>
    <cellStyle name="Normal 109 13 2" xfId="6922" xr:uid="{00000000-0005-0000-0000-0000071B0000}"/>
    <cellStyle name="Normal 109 13 3" xfId="6923" xr:uid="{00000000-0005-0000-0000-0000081B0000}"/>
    <cellStyle name="Normal 109 14" xfId="6924" xr:uid="{00000000-0005-0000-0000-0000091B0000}"/>
    <cellStyle name="Normal 109 15" xfId="6925" xr:uid="{00000000-0005-0000-0000-00000A1B0000}"/>
    <cellStyle name="Normal 109 2" xfId="6926" xr:uid="{00000000-0005-0000-0000-00000B1B0000}"/>
    <cellStyle name="Normal 109 2 10" xfId="6927" xr:uid="{00000000-0005-0000-0000-00000C1B0000}"/>
    <cellStyle name="Normal 109 2 10 2" xfId="6928" xr:uid="{00000000-0005-0000-0000-00000D1B0000}"/>
    <cellStyle name="Normal 109 2 10 3" xfId="6929" xr:uid="{00000000-0005-0000-0000-00000E1B0000}"/>
    <cellStyle name="Normal 109 2 11" xfId="6930" xr:uid="{00000000-0005-0000-0000-00000F1B0000}"/>
    <cellStyle name="Normal 109 2 12" xfId="6931" xr:uid="{00000000-0005-0000-0000-0000101B0000}"/>
    <cellStyle name="Normal 109 2 2" xfId="6932" xr:uid="{00000000-0005-0000-0000-0000111B0000}"/>
    <cellStyle name="Normal 109 2 2 2" xfId="6933" xr:uid="{00000000-0005-0000-0000-0000121B0000}"/>
    <cellStyle name="Normal 109 2 2 2 2" xfId="6934" xr:uid="{00000000-0005-0000-0000-0000131B0000}"/>
    <cellStyle name="Normal 109 2 2 2 3" xfId="6935" xr:uid="{00000000-0005-0000-0000-0000141B0000}"/>
    <cellStyle name="Normal 109 2 2 3" xfId="6936" xr:uid="{00000000-0005-0000-0000-0000151B0000}"/>
    <cellStyle name="Normal 109 2 2 4" xfId="6937" xr:uid="{00000000-0005-0000-0000-0000161B0000}"/>
    <cellStyle name="Normal 109 2 3" xfId="6938" xr:uid="{00000000-0005-0000-0000-0000171B0000}"/>
    <cellStyle name="Normal 109 2 3 2" xfId="6939" xr:uid="{00000000-0005-0000-0000-0000181B0000}"/>
    <cellStyle name="Normal 109 2 3 2 2" xfId="6940" xr:uid="{00000000-0005-0000-0000-0000191B0000}"/>
    <cellStyle name="Normal 109 2 3 2 3" xfId="6941" xr:uid="{00000000-0005-0000-0000-00001A1B0000}"/>
    <cellStyle name="Normal 109 2 3 3" xfId="6942" xr:uid="{00000000-0005-0000-0000-00001B1B0000}"/>
    <cellStyle name="Normal 109 2 3 4" xfId="6943" xr:uid="{00000000-0005-0000-0000-00001C1B0000}"/>
    <cellStyle name="Normal 109 2 4" xfId="6944" xr:uid="{00000000-0005-0000-0000-00001D1B0000}"/>
    <cellStyle name="Normal 109 2 4 2" xfId="6945" xr:uid="{00000000-0005-0000-0000-00001E1B0000}"/>
    <cellStyle name="Normal 109 2 4 2 2" xfId="6946" xr:uid="{00000000-0005-0000-0000-00001F1B0000}"/>
    <cellStyle name="Normal 109 2 4 2 3" xfId="6947" xr:uid="{00000000-0005-0000-0000-0000201B0000}"/>
    <cellStyle name="Normal 109 2 4 3" xfId="6948" xr:uid="{00000000-0005-0000-0000-0000211B0000}"/>
    <cellStyle name="Normal 109 2 4 4" xfId="6949" xr:uid="{00000000-0005-0000-0000-0000221B0000}"/>
    <cellStyle name="Normal 109 2 5" xfId="6950" xr:uid="{00000000-0005-0000-0000-0000231B0000}"/>
    <cellStyle name="Normal 109 2 5 2" xfId="6951" xr:uid="{00000000-0005-0000-0000-0000241B0000}"/>
    <cellStyle name="Normal 109 2 5 2 2" xfId="6952" xr:uid="{00000000-0005-0000-0000-0000251B0000}"/>
    <cellStyle name="Normal 109 2 5 2 3" xfId="6953" xr:uid="{00000000-0005-0000-0000-0000261B0000}"/>
    <cellStyle name="Normal 109 2 5 3" xfId="6954" xr:uid="{00000000-0005-0000-0000-0000271B0000}"/>
    <cellStyle name="Normal 109 2 5 4" xfId="6955" xr:uid="{00000000-0005-0000-0000-0000281B0000}"/>
    <cellStyle name="Normal 109 2 6" xfId="6956" xr:uid="{00000000-0005-0000-0000-0000291B0000}"/>
    <cellStyle name="Normal 109 2 6 2" xfId="6957" xr:uid="{00000000-0005-0000-0000-00002A1B0000}"/>
    <cellStyle name="Normal 109 2 6 2 2" xfId="6958" xr:uid="{00000000-0005-0000-0000-00002B1B0000}"/>
    <cellStyle name="Normal 109 2 6 2 3" xfId="6959" xr:uid="{00000000-0005-0000-0000-00002C1B0000}"/>
    <cellStyle name="Normal 109 2 6 3" xfId="6960" xr:uid="{00000000-0005-0000-0000-00002D1B0000}"/>
    <cellStyle name="Normal 109 2 6 4" xfId="6961" xr:uid="{00000000-0005-0000-0000-00002E1B0000}"/>
    <cellStyle name="Normal 109 2 7" xfId="6962" xr:uid="{00000000-0005-0000-0000-00002F1B0000}"/>
    <cellStyle name="Normal 109 2 7 2" xfId="6963" xr:uid="{00000000-0005-0000-0000-0000301B0000}"/>
    <cellStyle name="Normal 109 2 7 2 2" xfId="6964" xr:uid="{00000000-0005-0000-0000-0000311B0000}"/>
    <cellStyle name="Normal 109 2 7 2 3" xfId="6965" xr:uid="{00000000-0005-0000-0000-0000321B0000}"/>
    <cellStyle name="Normal 109 2 7 3" xfId="6966" xr:uid="{00000000-0005-0000-0000-0000331B0000}"/>
    <cellStyle name="Normal 109 2 7 4" xfId="6967" xr:uid="{00000000-0005-0000-0000-0000341B0000}"/>
    <cellStyle name="Normal 109 2 8" xfId="6968" xr:uid="{00000000-0005-0000-0000-0000351B0000}"/>
    <cellStyle name="Normal 109 2 8 2" xfId="6969" xr:uid="{00000000-0005-0000-0000-0000361B0000}"/>
    <cellStyle name="Normal 109 2 8 2 2" xfId="6970" xr:uid="{00000000-0005-0000-0000-0000371B0000}"/>
    <cellStyle name="Normal 109 2 8 2 3" xfId="6971" xr:uid="{00000000-0005-0000-0000-0000381B0000}"/>
    <cellStyle name="Normal 109 2 8 3" xfId="6972" xr:uid="{00000000-0005-0000-0000-0000391B0000}"/>
    <cellStyle name="Normal 109 2 8 4" xfId="6973" xr:uid="{00000000-0005-0000-0000-00003A1B0000}"/>
    <cellStyle name="Normal 109 2 9" xfId="6974" xr:uid="{00000000-0005-0000-0000-00003B1B0000}"/>
    <cellStyle name="Normal 109 3" xfId="6975" xr:uid="{00000000-0005-0000-0000-00003C1B0000}"/>
    <cellStyle name="Normal 109 3 10" xfId="6976" xr:uid="{00000000-0005-0000-0000-00003D1B0000}"/>
    <cellStyle name="Normal 109 3 10 2" xfId="6977" xr:uid="{00000000-0005-0000-0000-00003E1B0000}"/>
    <cellStyle name="Normal 109 3 10 3" xfId="6978" xr:uid="{00000000-0005-0000-0000-00003F1B0000}"/>
    <cellStyle name="Normal 109 3 11" xfId="6979" xr:uid="{00000000-0005-0000-0000-0000401B0000}"/>
    <cellStyle name="Normal 109 3 12" xfId="6980" xr:uid="{00000000-0005-0000-0000-0000411B0000}"/>
    <cellStyle name="Normal 109 3 2" xfId="6981" xr:uid="{00000000-0005-0000-0000-0000421B0000}"/>
    <cellStyle name="Normal 109 3 2 2" xfId="6982" xr:uid="{00000000-0005-0000-0000-0000431B0000}"/>
    <cellStyle name="Normal 109 3 2 2 2" xfId="6983" xr:uid="{00000000-0005-0000-0000-0000441B0000}"/>
    <cellStyle name="Normal 109 3 2 2 3" xfId="6984" xr:uid="{00000000-0005-0000-0000-0000451B0000}"/>
    <cellStyle name="Normal 109 3 2 3" xfId="6985" xr:uid="{00000000-0005-0000-0000-0000461B0000}"/>
    <cellStyle name="Normal 109 3 2 4" xfId="6986" xr:uid="{00000000-0005-0000-0000-0000471B0000}"/>
    <cellStyle name="Normal 109 3 3" xfId="6987" xr:uid="{00000000-0005-0000-0000-0000481B0000}"/>
    <cellStyle name="Normal 109 3 3 2" xfId="6988" xr:uid="{00000000-0005-0000-0000-0000491B0000}"/>
    <cellStyle name="Normal 109 3 3 2 2" xfId="6989" xr:uid="{00000000-0005-0000-0000-00004A1B0000}"/>
    <cellStyle name="Normal 109 3 3 2 3" xfId="6990" xr:uid="{00000000-0005-0000-0000-00004B1B0000}"/>
    <cellStyle name="Normal 109 3 3 3" xfId="6991" xr:uid="{00000000-0005-0000-0000-00004C1B0000}"/>
    <cellStyle name="Normal 109 3 3 4" xfId="6992" xr:uid="{00000000-0005-0000-0000-00004D1B0000}"/>
    <cellStyle name="Normal 109 3 4" xfId="6993" xr:uid="{00000000-0005-0000-0000-00004E1B0000}"/>
    <cellStyle name="Normal 109 3 4 2" xfId="6994" xr:uid="{00000000-0005-0000-0000-00004F1B0000}"/>
    <cellStyle name="Normal 109 3 4 2 2" xfId="6995" xr:uid="{00000000-0005-0000-0000-0000501B0000}"/>
    <cellStyle name="Normal 109 3 4 2 3" xfId="6996" xr:uid="{00000000-0005-0000-0000-0000511B0000}"/>
    <cellStyle name="Normal 109 3 4 3" xfId="6997" xr:uid="{00000000-0005-0000-0000-0000521B0000}"/>
    <cellStyle name="Normal 109 3 4 4" xfId="6998" xr:uid="{00000000-0005-0000-0000-0000531B0000}"/>
    <cellStyle name="Normal 109 3 5" xfId="6999" xr:uid="{00000000-0005-0000-0000-0000541B0000}"/>
    <cellStyle name="Normal 109 3 5 2" xfId="7000" xr:uid="{00000000-0005-0000-0000-0000551B0000}"/>
    <cellStyle name="Normal 109 3 5 2 2" xfId="7001" xr:uid="{00000000-0005-0000-0000-0000561B0000}"/>
    <cellStyle name="Normal 109 3 5 2 3" xfId="7002" xr:uid="{00000000-0005-0000-0000-0000571B0000}"/>
    <cellStyle name="Normal 109 3 5 3" xfId="7003" xr:uid="{00000000-0005-0000-0000-0000581B0000}"/>
    <cellStyle name="Normal 109 3 5 4" xfId="7004" xr:uid="{00000000-0005-0000-0000-0000591B0000}"/>
    <cellStyle name="Normal 109 3 6" xfId="7005" xr:uid="{00000000-0005-0000-0000-00005A1B0000}"/>
    <cellStyle name="Normal 109 3 6 2" xfId="7006" xr:uid="{00000000-0005-0000-0000-00005B1B0000}"/>
    <cellStyle name="Normal 109 3 6 2 2" xfId="7007" xr:uid="{00000000-0005-0000-0000-00005C1B0000}"/>
    <cellStyle name="Normal 109 3 6 2 3" xfId="7008" xr:uid="{00000000-0005-0000-0000-00005D1B0000}"/>
    <cellStyle name="Normal 109 3 6 3" xfId="7009" xr:uid="{00000000-0005-0000-0000-00005E1B0000}"/>
    <cellStyle name="Normal 109 3 6 4" xfId="7010" xr:uid="{00000000-0005-0000-0000-00005F1B0000}"/>
    <cellStyle name="Normal 109 3 7" xfId="7011" xr:uid="{00000000-0005-0000-0000-0000601B0000}"/>
    <cellStyle name="Normal 109 3 7 2" xfId="7012" xr:uid="{00000000-0005-0000-0000-0000611B0000}"/>
    <cellStyle name="Normal 109 3 7 2 2" xfId="7013" xr:uid="{00000000-0005-0000-0000-0000621B0000}"/>
    <cellStyle name="Normal 109 3 7 2 3" xfId="7014" xr:uid="{00000000-0005-0000-0000-0000631B0000}"/>
    <cellStyle name="Normal 109 3 7 3" xfId="7015" xr:uid="{00000000-0005-0000-0000-0000641B0000}"/>
    <cellStyle name="Normal 109 3 7 4" xfId="7016" xr:uid="{00000000-0005-0000-0000-0000651B0000}"/>
    <cellStyle name="Normal 109 3 8" xfId="7017" xr:uid="{00000000-0005-0000-0000-0000661B0000}"/>
    <cellStyle name="Normal 109 3 8 2" xfId="7018" xr:uid="{00000000-0005-0000-0000-0000671B0000}"/>
    <cellStyle name="Normal 109 3 8 2 2" xfId="7019" xr:uid="{00000000-0005-0000-0000-0000681B0000}"/>
    <cellStyle name="Normal 109 3 8 2 3" xfId="7020" xr:uid="{00000000-0005-0000-0000-0000691B0000}"/>
    <cellStyle name="Normal 109 3 8 3" xfId="7021" xr:uid="{00000000-0005-0000-0000-00006A1B0000}"/>
    <cellStyle name="Normal 109 3 8 4" xfId="7022" xr:uid="{00000000-0005-0000-0000-00006B1B0000}"/>
    <cellStyle name="Normal 109 3 9" xfId="7023" xr:uid="{00000000-0005-0000-0000-00006C1B0000}"/>
    <cellStyle name="Normal 109 4" xfId="7024" xr:uid="{00000000-0005-0000-0000-00006D1B0000}"/>
    <cellStyle name="Normal 109 4 2" xfId="7025" xr:uid="{00000000-0005-0000-0000-00006E1B0000}"/>
    <cellStyle name="Normal 109 4 3" xfId="7026" xr:uid="{00000000-0005-0000-0000-00006F1B0000}"/>
    <cellStyle name="Normal 109 4 3 2" xfId="7027" xr:uid="{00000000-0005-0000-0000-0000701B0000}"/>
    <cellStyle name="Normal 109 4 3 3" xfId="7028" xr:uid="{00000000-0005-0000-0000-0000711B0000}"/>
    <cellStyle name="Normal 109 4 4" xfId="7029" xr:uid="{00000000-0005-0000-0000-0000721B0000}"/>
    <cellStyle name="Normal 109 4 5" xfId="7030" xr:uid="{00000000-0005-0000-0000-0000731B0000}"/>
    <cellStyle name="Normal 109 5" xfId="7031" xr:uid="{00000000-0005-0000-0000-0000741B0000}"/>
    <cellStyle name="Normal 109 5 2" xfId="7032" xr:uid="{00000000-0005-0000-0000-0000751B0000}"/>
    <cellStyle name="Normal 109 5 2 2" xfId="7033" xr:uid="{00000000-0005-0000-0000-0000761B0000}"/>
    <cellStyle name="Normal 109 5 2 3" xfId="7034" xr:uid="{00000000-0005-0000-0000-0000771B0000}"/>
    <cellStyle name="Normal 109 5 3" xfId="7035" xr:uid="{00000000-0005-0000-0000-0000781B0000}"/>
    <cellStyle name="Normal 109 5 4" xfId="7036" xr:uid="{00000000-0005-0000-0000-0000791B0000}"/>
    <cellStyle name="Normal 109 6" xfId="7037" xr:uid="{00000000-0005-0000-0000-00007A1B0000}"/>
    <cellStyle name="Normal 109 6 2" xfId="7038" xr:uid="{00000000-0005-0000-0000-00007B1B0000}"/>
    <cellStyle name="Normal 109 6 2 2" xfId="7039" xr:uid="{00000000-0005-0000-0000-00007C1B0000}"/>
    <cellStyle name="Normal 109 6 2 3" xfId="7040" xr:uid="{00000000-0005-0000-0000-00007D1B0000}"/>
    <cellStyle name="Normal 109 6 3" xfId="7041" xr:uid="{00000000-0005-0000-0000-00007E1B0000}"/>
    <cellStyle name="Normal 109 6 4" xfId="7042" xr:uid="{00000000-0005-0000-0000-00007F1B0000}"/>
    <cellStyle name="Normal 109 7" xfId="7043" xr:uid="{00000000-0005-0000-0000-0000801B0000}"/>
    <cellStyle name="Normal 109 7 2" xfId="7044" xr:uid="{00000000-0005-0000-0000-0000811B0000}"/>
    <cellStyle name="Normal 109 7 2 2" xfId="7045" xr:uid="{00000000-0005-0000-0000-0000821B0000}"/>
    <cellStyle name="Normal 109 7 2 3" xfId="7046" xr:uid="{00000000-0005-0000-0000-0000831B0000}"/>
    <cellStyle name="Normal 109 7 3" xfId="7047" xr:uid="{00000000-0005-0000-0000-0000841B0000}"/>
    <cellStyle name="Normal 109 7 4" xfId="7048" xr:uid="{00000000-0005-0000-0000-0000851B0000}"/>
    <cellStyle name="Normal 109 8" xfId="7049" xr:uid="{00000000-0005-0000-0000-0000861B0000}"/>
    <cellStyle name="Normal 109 8 2" xfId="7050" xr:uid="{00000000-0005-0000-0000-0000871B0000}"/>
    <cellStyle name="Normal 109 8 2 2" xfId="7051" xr:uid="{00000000-0005-0000-0000-0000881B0000}"/>
    <cellStyle name="Normal 109 8 2 3" xfId="7052" xr:uid="{00000000-0005-0000-0000-0000891B0000}"/>
    <cellStyle name="Normal 109 8 3" xfId="7053" xr:uid="{00000000-0005-0000-0000-00008A1B0000}"/>
    <cellStyle name="Normal 109 8 4" xfId="7054" xr:uid="{00000000-0005-0000-0000-00008B1B0000}"/>
    <cellStyle name="Normal 109 9" xfId="7055" xr:uid="{00000000-0005-0000-0000-00008C1B0000}"/>
    <cellStyle name="Normal 109 9 2" xfId="7056" xr:uid="{00000000-0005-0000-0000-00008D1B0000}"/>
    <cellStyle name="Normal 109 9 2 2" xfId="7057" xr:uid="{00000000-0005-0000-0000-00008E1B0000}"/>
    <cellStyle name="Normal 109 9 2 3" xfId="7058" xr:uid="{00000000-0005-0000-0000-00008F1B0000}"/>
    <cellStyle name="Normal 109 9 3" xfId="7059" xr:uid="{00000000-0005-0000-0000-0000901B0000}"/>
    <cellStyle name="Normal 109 9 4" xfId="7060" xr:uid="{00000000-0005-0000-0000-0000911B0000}"/>
    <cellStyle name="Normal 11" xfId="7061" xr:uid="{00000000-0005-0000-0000-0000921B0000}"/>
    <cellStyle name="Normal 11 10" xfId="7062" xr:uid="{00000000-0005-0000-0000-0000931B0000}"/>
    <cellStyle name="Normal 11 10 2" xfId="7063" xr:uid="{00000000-0005-0000-0000-0000941B0000}"/>
    <cellStyle name="Normal 11 10 2 2" xfId="7064" xr:uid="{00000000-0005-0000-0000-0000951B0000}"/>
    <cellStyle name="Normal 11 10 2 3" xfId="7065" xr:uid="{00000000-0005-0000-0000-0000961B0000}"/>
    <cellStyle name="Normal 11 10 3" xfId="7066" xr:uid="{00000000-0005-0000-0000-0000971B0000}"/>
    <cellStyle name="Normal 11 10 4" xfId="7067" xr:uid="{00000000-0005-0000-0000-0000981B0000}"/>
    <cellStyle name="Normal 11 11" xfId="7068" xr:uid="{00000000-0005-0000-0000-0000991B0000}"/>
    <cellStyle name="Normal 11 11 2" xfId="7069" xr:uid="{00000000-0005-0000-0000-00009A1B0000}"/>
    <cellStyle name="Normal 11 11 2 2" xfId="7070" xr:uid="{00000000-0005-0000-0000-00009B1B0000}"/>
    <cellStyle name="Normal 11 11 2 3" xfId="7071" xr:uid="{00000000-0005-0000-0000-00009C1B0000}"/>
    <cellStyle name="Normal 11 11 3" xfId="7072" xr:uid="{00000000-0005-0000-0000-00009D1B0000}"/>
    <cellStyle name="Normal 11 11 4" xfId="7073" xr:uid="{00000000-0005-0000-0000-00009E1B0000}"/>
    <cellStyle name="Normal 11 12" xfId="7074" xr:uid="{00000000-0005-0000-0000-00009F1B0000}"/>
    <cellStyle name="Normal 11 12 2" xfId="7075" xr:uid="{00000000-0005-0000-0000-0000A01B0000}"/>
    <cellStyle name="Normal 11 12 2 2" xfId="7076" xr:uid="{00000000-0005-0000-0000-0000A11B0000}"/>
    <cellStyle name="Normal 11 12 2 3" xfId="7077" xr:uid="{00000000-0005-0000-0000-0000A21B0000}"/>
    <cellStyle name="Normal 11 12 3" xfId="7078" xr:uid="{00000000-0005-0000-0000-0000A31B0000}"/>
    <cellStyle name="Normal 11 12 4" xfId="7079" xr:uid="{00000000-0005-0000-0000-0000A41B0000}"/>
    <cellStyle name="Normal 11 13" xfId="7080" xr:uid="{00000000-0005-0000-0000-0000A51B0000}"/>
    <cellStyle name="Normal 11 13 2" xfId="7081" xr:uid="{00000000-0005-0000-0000-0000A61B0000}"/>
    <cellStyle name="Normal 11 13 2 2" xfId="7082" xr:uid="{00000000-0005-0000-0000-0000A71B0000}"/>
    <cellStyle name="Normal 11 13 2 3" xfId="7083" xr:uid="{00000000-0005-0000-0000-0000A81B0000}"/>
    <cellStyle name="Normal 11 13 3" xfId="7084" xr:uid="{00000000-0005-0000-0000-0000A91B0000}"/>
    <cellStyle name="Normal 11 13 4" xfId="7085" xr:uid="{00000000-0005-0000-0000-0000AA1B0000}"/>
    <cellStyle name="Normal 11 14" xfId="7086" xr:uid="{00000000-0005-0000-0000-0000AB1B0000}"/>
    <cellStyle name="Normal 11 14 2" xfId="7087" xr:uid="{00000000-0005-0000-0000-0000AC1B0000}"/>
    <cellStyle name="Normal 11 14 2 2" xfId="7088" xr:uid="{00000000-0005-0000-0000-0000AD1B0000}"/>
    <cellStyle name="Normal 11 14 2 3" xfId="7089" xr:uid="{00000000-0005-0000-0000-0000AE1B0000}"/>
    <cellStyle name="Normal 11 14 3" xfId="7090" xr:uid="{00000000-0005-0000-0000-0000AF1B0000}"/>
    <cellStyle name="Normal 11 14 4" xfId="7091" xr:uid="{00000000-0005-0000-0000-0000B01B0000}"/>
    <cellStyle name="Normal 11 15" xfId="7092" xr:uid="{00000000-0005-0000-0000-0000B11B0000}"/>
    <cellStyle name="Normal 11 15 2" xfId="7093" xr:uid="{00000000-0005-0000-0000-0000B21B0000}"/>
    <cellStyle name="Normal 11 15 2 2" xfId="7094" xr:uid="{00000000-0005-0000-0000-0000B31B0000}"/>
    <cellStyle name="Normal 11 15 2 3" xfId="7095" xr:uid="{00000000-0005-0000-0000-0000B41B0000}"/>
    <cellStyle name="Normal 11 15 3" xfId="7096" xr:uid="{00000000-0005-0000-0000-0000B51B0000}"/>
    <cellStyle name="Normal 11 15 4" xfId="7097" xr:uid="{00000000-0005-0000-0000-0000B61B0000}"/>
    <cellStyle name="Normal 11 16" xfId="7098" xr:uid="{00000000-0005-0000-0000-0000B71B0000}"/>
    <cellStyle name="Normal 11 16 2" xfId="7099" xr:uid="{00000000-0005-0000-0000-0000B81B0000}"/>
    <cellStyle name="Normal 11 16 2 2" xfId="7100" xr:uid="{00000000-0005-0000-0000-0000B91B0000}"/>
    <cellStyle name="Normal 11 16 2 3" xfId="7101" xr:uid="{00000000-0005-0000-0000-0000BA1B0000}"/>
    <cellStyle name="Normal 11 16 3" xfId="7102" xr:uid="{00000000-0005-0000-0000-0000BB1B0000}"/>
    <cellStyle name="Normal 11 16 4" xfId="7103" xr:uid="{00000000-0005-0000-0000-0000BC1B0000}"/>
    <cellStyle name="Normal 11 17" xfId="7104" xr:uid="{00000000-0005-0000-0000-0000BD1B0000}"/>
    <cellStyle name="Normal 11 17 2" xfId="7105" xr:uid="{00000000-0005-0000-0000-0000BE1B0000}"/>
    <cellStyle name="Normal 11 17 2 2" xfId="7106" xr:uid="{00000000-0005-0000-0000-0000BF1B0000}"/>
    <cellStyle name="Normal 11 17 2 3" xfId="7107" xr:uid="{00000000-0005-0000-0000-0000C01B0000}"/>
    <cellStyle name="Normal 11 17 3" xfId="7108" xr:uid="{00000000-0005-0000-0000-0000C11B0000}"/>
    <cellStyle name="Normal 11 17 4" xfId="7109" xr:uid="{00000000-0005-0000-0000-0000C21B0000}"/>
    <cellStyle name="Normal 11 18" xfId="7110" xr:uid="{00000000-0005-0000-0000-0000C31B0000}"/>
    <cellStyle name="Normal 11 18 2" xfId="7111" xr:uid="{00000000-0005-0000-0000-0000C41B0000}"/>
    <cellStyle name="Normal 11 18 2 2" xfId="7112" xr:uid="{00000000-0005-0000-0000-0000C51B0000}"/>
    <cellStyle name="Normal 11 18 2 3" xfId="7113" xr:uid="{00000000-0005-0000-0000-0000C61B0000}"/>
    <cellStyle name="Normal 11 18 3" xfId="7114" xr:uid="{00000000-0005-0000-0000-0000C71B0000}"/>
    <cellStyle name="Normal 11 18 4" xfId="7115" xr:uid="{00000000-0005-0000-0000-0000C81B0000}"/>
    <cellStyle name="Normal 11 19" xfId="7116" xr:uid="{00000000-0005-0000-0000-0000C91B0000}"/>
    <cellStyle name="Normal 11 19 2" xfId="7117" xr:uid="{00000000-0005-0000-0000-0000CA1B0000}"/>
    <cellStyle name="Normal 11 19 2 2" xfId="7118" xr:uid="{00000000-0005-0000-0000-0000CB1B0000}"/>
    <cellStyle name="Normal 11 19 2 3" xfId="7119" xr:uid="{00000000-0005-0000-0000-0000CC1B0000}"/>
    <cellStyle name="Normal 11 19 3" xfId="7120" xr:uid="{00000000-0005-0000-0000-0000CD1B0000}"/>
    <cellStyle name="Normal 11 19 4" xfId="7121" xr:uid="{00000000-0005-0000-0000-0000CE1B0000}"/>
    <cellStyle name="Normal 11 2" xfId="7122" xr:uid="{00000000-0005-0000-0000-0000CF1B0000}"/>
    <cellStyle name="Normal 11 2 2" xfId="7123" xr:uid="{00000000-0005-0000-0000-0000D01B0000}"/>
    <cellStyle name="Normal 11 20" xfId="7124" xr:uid="{00000000-0005-0000-0000-0000D11B0000}"/>
    <cellStyle name="Normal 11 20 2" xfId="7125" xr:uid="{00000000-0005-0000-0000-0000D21B0000}"/>
    <cellStyle name="Normal 11 20 2 2" xfId="7126" xr:uid="{00000000-0005-0000-0000-0000D31B0000}"/>
    <cellStyle name="Normal 11 20 2 3" xfId="7127" xr:uid="{00000000-0005-0000-0000-0000D41B0000}"/>
    <cellStyle name="Normal 11 20 3" xfId="7128" xr:uid="{00000000-0005-0000-0000-0000D51B0000}"/>
    <cellStyle name="Normal 11 20 4" xfId="7129" xr:uid="{00000000-0005-0000-0000-0000D61B0000}"/>
    <cellStyle name="Normal 11 21" xfId="7130" xr:uid="{00000000-0005-0000-0000-0000D71B0000}"/>
    <cellStyle name="Normal 11 21 2" xfId="7131" xr:uid="{00000000-0005-0000-0000-0000D81B0000}"/>
    <cellStyle name="Normal 11 21 2 2" xfId="7132" xr:uid="{00000000-0005-0000-0000-0000D91B0000}"/>
    <cellStyle name="Normal 11 21 2 3" xfId="7133" xr:uid="{00000000-0005-0000-0000-0000DA1B0000}"/>
    <cellStyle name="Normal 11 21 3" xfId="7134" xr:uid="{00000000-0005-0000-0000-0000DB1B0000}"/>
    <cellStyle name="Normal 11 21 4" xfId="7135" xr:uid="{00000000-0005-0000-0000-0000DC1B0000}"/>
    <cellStyle name="Normal 11 22" xfId="7136" xr:uid="{00000000-0005-0000-0000-0000DD1B0000}"/>
    <cellStyle name="Normal 11 22 2" xfId="7137" xr:uid="{00000000-0005-0000-0000-0000DE1B0000}"/>
    <cellStyle name="Normal 11 22 2 2" xfId="7138" xr:uid="{00000000-0005-0000-0000-0000DF1B0000}"/>
    <cellStyle name="Normal 11 22 2 3" xfId="7139" xr:uid="{00000000-0005-0000-0000-0000E01B0000}"/>
    <cellStyle name="Normal 11 22 3" xfId="7140" xr:uid="{00000000-0005-0000-0000-0000E11B0000}"/>
    <cellStyle name="Normal 11 22 4" xfId="7141" xr:uid="{00000000-0005-0000-0000-0000E21B0000}"/>
    <cellStyle name="Normal 11 23" xfId="7142" xr:uid="{00000000-0005-0000-0000-0000E31B0000}"/>
    <cellStyle name="Normal 11 23 2" xfId="7143" xr:uid="{00000000-0005-0000-0000-0000E41B0000}"/>
    <cellStyle name="Normal 11 23 2 2" xfId="7144" xr:uid="{00000000-0005-0000-0000-0000E51B0000}"/>
    <cellStyle name="Normal 11 23 2 3" xfId="7145" xr:uid="{00000000-0005-0000-0000-0000E61B0000}"/>
    <cellStyle name="Normal 11 23 3" xfId="7146" xr:uid="{00000000-0005-0000-0000-0000E71B0000}"/>
    <cellStyle name="Normal 11 23 4" xfId="7147" xr:uid="{00000000-0005-0000-0000-0000E81B0000}"/>
    <cellStyle name="Normal 11 24" xfId="7148" xr:uid="{00000000-0005-0000-0000-0000E91B0000}"/>
    <cellStyle name="Normal 11 24 2" xfId="7149" xr:uid="{00000000-0005-0000-0000-0000EA1B0000}"/>
    <cellStyle name="Normal 11 24 2 2" xfId="7150" xr:uid="{00000000-0005-0000-0000-0000EB1B0000}"/>
    <cellStyle name="Normal 11 24 2 3" xfId="7151" xr:uid="{00000000-0005-0000-0000-0000EC1B0000}"/>
    <cellStyle name="Normal 11 24 3" xfId="7152" xr:uid="{00000000-0005-0000-0000-0000ED1B0000}"/>
    <cellStyle name="Normal 11 24 4" xfId="7153" xr:uid="{00000000-0005-0000-0000-0000EE1B0000}"/>
    <cellStyle name="Normal 11 25" xfId="7154" xr:uid="{00000000-0005-0000-0000-0000EF1B0000}"/>
    <cellStyle name="Normal 11 25 2" xfId="7155" xr:uid="{00000000-0005-0000-0000-0000F01B0000}"/>
    <cellStyle name="Normal 11 25 2 2" xfId="7156" xr:uid="{00000000-0005-0000-0000-0000F11B0000}"/>
    <cellStyle name="Normal 11 25 2 3" xfId="7157" xr:uid="{00000000-0005-0000-0000-0000F21B0000}"/>
    <cellStyle name="Normal 11 25 3" xfId="7158" xr:uid="{00000000-0005-0000-0000-0000F31B0000}"/>
    <cellStyle name="Normal 11 25 4" xfId="7159" xr:uid="{00000000-0005-0000-0000-0000F41B0000}"/>
    <cellStyle name="Normal 11 26" xfId="7160" xr:uid="{00000000-0005-0000-0000-0000F51B0000}"/>
    <cellStyle name="Normal 11 26 2" xfId="7161" xr:uid="{00000000-0005-0000-0000-0000F61B0000}"/>
    <cellStyle name="Normal 11 26 3" xfId="7162" xr:uid="{00000000-0005-0000-0000-0000F71B0000}"/>
    <cellStyle name="Normal 11 27" xfId="7163" xr:uid="{00000000-0005-0000-0000-0000F81B0000}"/>
    <cellStyle name="Normal 11 28" xfId="7164" xr:uid="{00000000-0005-0000-0000-0000F91B0000}"/>
    <cellStyle name="Normal 11 3" xfId="7165" xr:uid="{00000000-0005-0000-0000-0000FA1B0000}"/>
    <cellStyle name="Normal 11 3 2" xfId="7166" xr:uid="{00000000-0005-0000-0000-0000FB1B0000}"/>
    <cellStyle name="Normal 11 4" xfId="7167" xr:uid="{00000000-0005-0000-0000-0000FC1B0000}"/>
    <cellStyle name="Normal 11 4 2" xfId="7168" xr:uid="{00000000-0005-0000-0000-0000FD1B0000}"/>
    <cellStyle name="Normal 11 4 2 2" xfId="7169" xr:uid="{00000000-0005-0000-0000-0000FE1B0000}"/>
    <cellStyle name="Normal 11 4 2 3" xfId="7170" xr:uid="{00000000-0005-0000-0000-0000FF1B0000}"/>
    <cellStyle name="Normal 11 4 3" xfId="7171" xr:uid="{00000000-0005-0000-0000-0000001C0000}"/>
    <cellStyle name="Normal 11 4 4" xfId="7172" xr:uid="{00000000-0005-0000-0000-0000011C0000}"/>
    <cellStyle name="Normal 11 5" xfId="7173" xr:uid="{00000000-0005-0000-0000-0000021C0000}"/>
    <cellStyle name="Normal 11 5 2" xfId="7174" xr:uid="{00000000-0005-0000-0000-0000031C0000}"/>
    <cellStyle name="Normal 11 5 2 2" xfId="7175" xr:uid="{00000000-0005-0000-0000-0000041C0000}"/>
    <cellStyle name="Normal 11 5 2 3" xfId="7176" xr:uid="{00000000-0005-0000-0000-0000051C0000}"/>
    <cellStyle name="Normal 11 5 3" xfId="7177" xr:uid="{00000000-0005-0000-0000-0000061C0000}"/>
    <cellStyle name="Normal 11 5 4" xfId="7178" xr:uid="{00000000-0005-0000-0000-0000071C0000}"/>
    <cellStyle name="Normal 11 6" xfId="7179" xr:uid="{00000000-0005-0000-0000-0000081C0000}"/>
    <cellStyle name="Normal 11 6 2" xfId="7180" xr:uid="{00000000-0005-0000-0000-0000091C0000}"/>
    <cellStyle name="Normal 11 6 2 2" xfId="7181" xr:uid="{00000000-0005-0000-0000-00000A1C0000}"/>
    <cellStyle name="Normal 11 6 2 3" xfId="7182" xr:uid="{00000000-0005-0000-0000-00000B1C0000}"/>
    <cellStyle name="Normal 11 6 3" xfId="7183" xr:uid="{00000000-0005-0000-0000-00000C1C0000}"/>
    <cellStyle name="Normal 11 6 4" xfId="7184" xr:uid="{00000000-0005-0000-0000-00000D1C0000}"/>
    <cellStyle name="Normal 11 7" xfId="7185" xr:uid="{00000000-0005-0000-0000-00000E1C0000}"/>
    <cellStyle name="Normal 11 7 2" xfId="7186" xr:uid="{00000000-0005-0000-0000-00000F1C0000}"/>
    <cellStyle name="Normal 11 7 2 2" xfId="7187" xr:uid="{00000000-0005-0000-0000-0000101C0000}"/>
    <cellStyle name="Normal 11 7 2 3" xfId="7188" xr:uid="{00000000-0005-0000-0000-0000111C0000}"/>
    <cellStyle name="Normal 11 7 3" xfId="7189" xr:uid="{00000000-0005-0000-0000-0000121C0000}"/>
    <cellStyle name="Normal 11 7 4" xfId="7190" xr:uid="{00000000-0005-0000-0000-0000131C0000}"/>
    <cellStyle name="Normal 11 8" xfId="7191" xr:uid="{00000000-0005-0000-0000-0000141C0000}"/>
    <cellStyle name="Normal 11 8 2" xfId="7192" xr:uid="{00000000-0005-0000-0000-0000151C0000}"/>
    <cellStyle name="Normal 11 8 2 2" xfId="7193" xr:uid="{00000000-0005-0000-0000-0000161C0000}"/>
    <cellStyle name="Normal 11 8 2 3" xfId="7194" xr:uid="{00000000-0005-0000-0000-0000171C0000}"/>
    <cellStyle name="Normal 11 8 3" xfId="7195" xr:uid="{00000000-0005-0000-0000-0000181C0000}"/>
    <cellStyle name="Normal 11 8 4" xfId="7196" xr:uid="{00000000-0005-0000-0000-0000191C0000}"/>
    <cellStyle name="Normal 11 9" xfId="7197" xr:uid="{00000000-0005-0000-0000-00001A1C0000}"/>
    <cellStyle name="Normal 11 9 2" xfId="7198" xr:uid="{00000000-0005-0000-0000-00001B1C0000}"/>
    <cellStyle name="Normal 11 9 2 2" xfId="7199" xr:uid="{00000000-0005-0000-0000-00001C1C0000}"/>
    <cellStyle name="Normal 11 9 2 3" xfId="7200" xr:uid="{00000000-0005-0000-0000-00001D1C0000}"/>
    <cellStyle name="Normal 11 9 3" xfId="7201" xr:uid="{00000000-0005-0000-0000-00001E1C0000}"/>
    <cellStyle name="Normal 11 9 4" xfId="7202" xr:uid="{00000000-0005-0000-0000-00001F1C0000}"/>
    <cellStyle name="Normal 110" xfId="7203" xr:uid="{00000000-0005-0000-0000-0000201C0000}"/>
    <cellStyle name="Normal 111" xfId="7204" xr:uid="{00000000-0005-0000-0000-0000211C0000}"/>
    <cellStyle name="Normal 112" xfId="7205" xr:uid="{00000000-0005-0000-0000-0000221C0000}"/>
    <cellStyle name="Normal 113" xfId="7206" xr:uid="{00000000-0005-0000-0000-0000231C0000}"/>
    <cellStyle name="Normal 113 2" xfId="7207" xr:uid="{00000000-0005-0000-0000-0000241C0000}"/>
    <cellStyle name="Normal 114" xfId="7208" xr:uid="{00000000-0005-0000-0000-0000251C0000}"/>
    <cellStyle name="Normal 115" xfId="7209" xr:uid="{00000000-0005-0000-0000-0000261C0000}"/>
    <cellStyle name="Normal 116" xfId="7210" xr:uid="{00000000-0005-0000-0000-0000271C0000}"/>
    <cellStyle name="Normal 116 2" xfId="7211" xr:uid="{00000000-0005-0000-0000-0000281C0000}"/>
    <cellStyle name="Normal 116 2 2" xfId="7212" xr:uid="{00000000-0005-0000-0000-0000291C0000}"/>
    <cellStyle name="Normal 116 2 3" xfId="7213" xr:uid="{00000000-0005-0000-0000-00002A1C0000}"/>
    <cellStyle name="Normal 116 2 3 2" xfId="7214" xr:uid="{00000000-0005-0000-0000-00002B1C0000}"/>
    <cellStyle name="Normal 116 2 3 3" xfId="7215" xr:uid="{00000000-0005-0000-0000-00002C1C0000}"/>
    <cellStyle name="Normal 116 2 4" xfId="7216" xr:uid="{00000000-0005-0000-0000-00002D1C0000}"/>
    <cellStyle name="Normal 116 2 5" xfId="7217" xr:uid="{00000000-0005-0000-0000-00002E1C0000}"/>
    <cellStyle name="Normal 116 3" xfId="7218" xr:uid="{00000000-0005-0000-0000-00002F1C0000}"/>
    <cellStyle name="Normal 116 3 2" xfId="7219" xr:uid="{00000000-0005-0000-0000-0000301C0000}"/>
    <cellStyle name="Normal 116 3 3" xfId="7220" xr:uid="{00000000-0005-0000-0000-0000311C0000}"/>
    <cellStyle name="Normal 116 3 3 2" xfId="7221" xr:uid="{00000000-0005-0000-0000-0000321C0000}"/>
    <cellStyle name="Normal 116 3 3 3" xfId="7222" xr:uid="{00000000-0005-0000-0000-0000331C0000}"/>
    <cellStyle name="Normal 116 3 4" xfId="7223" xr:uid="{00000000-0005-0000-0000-0000341C0000}"/>
    <cellStyle name="Normal 116 3 5" xfId="7224" xr:uid="{00000000-0005-0000-0000-0000351C0000}"/>
    <cellStyle name="Normal 117" xfId="7225" xr:uid="{00000000-0005-0000-0000-0000361C0000}"/>
    <cellStyle name="Normal 117 2" xfId="7226" xr:uid="{00000000-0005-0000-0000-0000371C0000}"/>
    <cellStyle name="Normal 118" xfId="7227" xr:uid="{00000000-0005-0000-0000-0000381C0000}"/>
    <cellStyle name="Normal 119" xfId="7228" xr:uid="{00000000-0005-0000-0000-0000391C0000}"/>
    <cellStyle name="Normal 12" xfId="7229" xr:uid="{00000000-0005-0000-0000-00003A1C0000}"/>
    <cellStyle name="Normal 12 10" xfId="7230" xr:uid="{00000000-0005-0000-0000-00003B1C0000}"/>
    <cellStyle name="Normal 12 10 2" xfId="7231" xr:uid="{00000000-0005-0000-0000-00003C1C0000}"/>
    <cellStyle name="Normal 12 10 2 2" xfId="7232" xr:uid="{00000000-0005-0000-0000-00003D1C0000}"/>
    <cellStyle name="Normal 12 10 2 3" xfId="7233" xr:uid="{00000000-0005-0000-0000-00003E1C0000}"/>
    <cellStyle name="Normal 12 10 3" xfId="7234" xr:uid="{00000000-0005-0000-0000-00003F1C0000}"/>
    <cellStyle name="Normal 12 10 4" xfId="7235" xr:uid="{00000000-0005-0000-0000-0000401C0000}"/>
    <cellStyle name="Normal 12 11" xfId="7236" xr:uid="{00000000-0005-0000-0000-0000411C0000}"/>
    <cellStyle name="Normal 12 11 2" xfId="7237" xr:uid="{00000000-0005-0000-0000-0000421C0000}"/>
    <cellStyle name="Normal 12 11 2 2" xfId="7238" xr:uid="{00000000-0005-0000-0000-0000431C0000}"/>
    <cellStyle name="Normal 12 11 2 3" xfId="7239" xr:uid="{00000000-0005-0000-0000-0000441C0000}"/>
    <cellStyle name="Normal 12 11 3" xfId="7240" xr:uid="{00000000-0005-0000-0000-0000451C0000}"/>
    <cellStyle name="Normal 12 11 4" xfId="7241" xr:uid="{00000000-0005-0000-0000-0000461C0000}"/>
    <cellStyle name="Normal 12 12" xfId="7242" xr:uid="{00000000-0005-0000-0000-0000471C0000}"/>
    <cellStyle name="Normal 12 12 2" xfId="7243" xr:uid="{00000000-0005-0000-0000-0000481C0000}"/>
    <cellStyle name="Normal 12 12 2 2" xfId="7244" xr:uid="{00000000-0005-0000-0000-0000491C0000}"/>
    <cellStyle name="Normal 12 12 2 3" xfId="7245" xr:uid="{00000000-0005-0000-0000-00004A1C0000}"/>
    <cellStyle name="Normal 12 12 3" xfId="7246" xr:uid="{00000000-0005-0000-0000-00004B1C0000}"/>
    <cellStyle name="Normal 12 12 4" xfId="7247" xr:uid="{00000000-0005-0000-0000-00004C1C0000}"/>
    <cellStyle name="Normal 12 13" xfId="7248" xr:uid="{00000000-0005-0000-0000-00004D1C0000}"/>
    <cellStyle name="Normal 12 13 2" xfId="7249" xr:uid="{00000000-0005-0000-0000-00004E1C0000}"/>
    <cellStyle name="Normal 12 13 2 2" xfId="7250" xr:uid="{00000000-0005-0000-0000-00004F1C0000}"/>
    <cellStyle name="Normal 12 13 2 3" xfId="7251" xr:uid="{00000000-0005-0000-0000-0000501C0000}"/>
    <cellStyle name="Normal 12 13 3" xfId="7252" xr:uid="{00000000-0005-0000-0000-0000511C0000}"/>
    <cellStyle name="Normal 12 13 4" xfId="7253" xr:uid="{00000000-0005-0000-0000-0000521C0000}"/>
    <cellStyle name="Normal 12 14" xfId="7254" xr:uid="{00000000-0005-0000-0000-0000531C0000}"/>
    <cellStyle name="Normal 12 14 2" xfId="7255" xr:uid="{00000000-0005-0000-0000-0000541C0000}"/>
    <cellStyle name="Normal 12 14 2 2" xfId="7256" xr:uid="{00000000-0005-0000-0000-0000551C0000}"/>
    <cellStyle name="Normal 12 14 2 3" xfId="7257" xr:uid="{00000000-0005-0000-0000-0000561C0000}"/>
    <cellStyle name="Normal 12 14 3" xfId="7258" xr:uid="{00000000-0005-0000-0000-0000571C0000}"/>
    <cellStyle name="Normal 12 14 4" xfId="7259" xr:uid="{00000000-0005-0000-0000-0000581C0000}"/>
    <cellStyle name="Normal 12 15" xfId="7260" xr:uid="{00000000-0005-0000-0000-0000591C0000}"/>
    <cellStyle name="Normal 12 15 2" xfId="7261" xr:uid="{00000000-0005-0000-0000-00005A1C0000}"/>
    <cellStyle name="Normal 12 15 2 2" xfId="7262" xr:uid="{00000000-0005-0000-0000-00005B1C0000}"/>
    <cellStyle name="Normal 12 15 2 3" xfId="7263" xr:uid="{00000000-0005-0000-0000-00005C1C0000}"/>
    <cellStyle name="Normal 12 15 3" xfId="7264" xr:uid="{00000000-0005-0000-0000-00005D1C0000}"/>
    <cellStyle name="Normal 12 15 4" xfId="7265" xr:uid="{00000000-0005-0000-0000-00005E1C0000}"/>
    <cellStyle name="Normal 12 16" xfId="7266" xr:uid="{00000000-0005-0000-0000-00005F1C0000}"/>
    <cellStyle name="Normal 12 16 2" xfId="7267" xr:uid="{00000000-0005-0000-0000-0000601C0000}"/>
    <cellStyle name="Normal 12 16 2 2" xfId="7268" xr:uid="{00000000-0005-0000-0000-0000611C0000}"/>
    <cellStyle name="Normal 12 16 2 3" xfId="7269" xr:uid="{00000000-0005-0000-0000-0000621C0000}"/>
    <cellStyle name="Normal 12 16 3" xfId="7270" xr:uid="{00000000-0005-0000-0000-0000631C0000}"/>
    <cellStyle name="Normal 12 16 4" xfId="7271" xr:uid="{00000000-0005-0000-0000-0000641C0000}"/>
    <cellStyle name="Normal 12 17" xfId="7272" xr:uid="{00000000-0005-0000-0000-0000651C0000}"/>
    <cellStyle name="Normal 12 17 2" xfId="7273" xr:uid="{00000000-0005-0000-0000-0000661C0000}"/>
    <cellStyle name="Normal 12 17 2 2" xfId="7274" xr:uid="{00000000-0005-0000-0000-0000671C0000}"/>
    <cellStyle name="Normal 12 17 2 3" xfId="7275" xr:uid="{00000000-0005-0000-0000-0000681C0000}"/>
    <cellStyle name="Normal 12 17 3" xfId="7276" xr:uid="{00000000-0005-0000-0000-0000691C0000}"/>
    <cellStyle name="Normal 12 17 4" xfId="7277" xr:uid="{00000000-0005-0000-0000-00006A1C0000}"/>
    <cellStyle name="Normal 12 18" xfId="7278" xr:uid="{00000000-0005-0000-0000-00006B1C0000}"/>
    <cellStyle name="Normal 12 18 2" xfId="7279" xr:uid="{00000000-0005-0000-0000-00006C1C0000}"/>
    <cellStyle name="Normal 12 18 2 2" xfId="7280" xr:uid="{00000000-0005-0000-0000-00006D1C0000}"/>
    <cellStyle name="Normal 12 18 2 3" xfId="7281" xr:uid="{00000000-0005-0000-0000-00006E1C0000}"/>
    <cellStyle name="Normal 12 18 3" xfId="7282" xr:uid="{00000000-0005-0000-0000-00006F1C0000}"/>
    <cellStyle name="Normal 12 18 4" xfId="7283" xr:uid="{00000000-0005-0000-0000-0000701C0000}"/>
    <cellStyle name="Normal 12 19" xfId="7284" xr:uid="{00000000-0005-0000-0000-0000711C0000}"/>
    <cellStyle name="Normal 12 19 2" xfId="7285" xr:uid="{00000000-0005-0000-0000-0000721C0000}"/>
    <cellStyle name="Normal 12 19 2 2" xfId="7286" xr:uid="{00000000-0005-0000-0000-0000731C0000}"/>
    <cellStyle name="Normal 12 19 2 3" xfId="7287" xr:uid="{00000000-0005-0000-0000-0000741C0000}"/>
    <cellStyle name="Normal 12 19 3" xfId="7288" xr:uid="{00000000-0005-0000-0000-0000751C0000}"/>
    <cellStyle name="Normal 12 19 4" xfId="7289" xr:uid="{00000000-0005-0000-0000-0000761C0000}"/>
    <cellStyle name="Normal 12 2" xfId="7290" xr:uid="{00000000-0005-0000-0000-0000771C0000}"/>
    <cellStyle name="Normal 12 2 2" xfId="7291" xr:uid="{00000000-0005-0000-0000-0000781C0000}"/>
    <cellStyle name="Normal 12 20" xfId="7292" xr:uid="{00000000-0005-0000-0000-0000791C0000}"/>
    <cellStyle name="Normal 12 20 2" xfId="7293" xr:uid="{00000000-0005-0000-0000-00007A1C0000}"/>
    <cellStyle name="Normal 12 20 2 2" xfId="7294" xr:uid="{00000000-0005-0000-0000-00007B1C0000}"/>
    <cellStyle name="Normal 12 20 2 3" xfId="7295" xr:uid="{00000000-0005-0000-0000-00007C1C0000}"/>
    <cellStyle name="Normal 12 20 3" xfId="7296" xr:uid="{00000000-0005-0000-0000-00007D1C0000}"/>
    <cellStyle name="Normal 12 20 4" xfId="7297" xr:uid="{00000000-0005-0000-0000-00007E1C0000}"/>
    <cellStyle name="Normal 12 21" xfId="7298" xr:uid="{00000000-0005-0000-0000-00007F1C0000}"/>
    <cellStyle name="Normal 12 21 2" xfId="7299" xr:uid="{00000000-0005-0000-0000-0000801C0000}"/>
    <cellStyle name="Normal 12 21 2 2" xfId="7300" xr:uid="{00000000-0005-0000-0000-0000811C0000}"/>
    <cellStyle name="Normal 12 21 2 3" xfId="7301" xr:uid="{00000000-0005-0000-0000-0000821C0000}"/>
    <cellStyle name="Normal 12 21 3" xfId="7302" xr:uid="{00000000-0005-0000-0000-0000831C0000}"/>
    <cellStyle name="Normal 12 21 4" xfId="7303" xr:uid="{00000000-0005-0000-0000-0000841C0000}"/>
    <cellStyle name="Normal 12 22" xfId="7304" xr:uid="{00000000-0005-0000-0000-0000851C0000}"/>
    <cellStyle name="Normal 12 22 2" xfId="7305" xr:uid="{00000000-0005-0000-0000-0000861C0000}"/>
    <cellStyle name="Normal 12 22 2 2" xfId="7306" xr:uid="{00000000-0005-0000-0000-0000871C0000}"/>
    <cellStyle name="Normal 12 22 2 3" xfId="7307" xr:uid="{00000000-0005-0000-0000-0000881C0000}"/>
    <cellStyle name="Normal 12 22 3" xfId="7308" xr:uid="{00000000-0005-0000-0000-0000891C0000}"/>
    <cellStyle name="Normal 12 22 4" xfId="7309" xr:uid="{00000000-0005-0000-0000-00008A1C0000}"/>
    <cellStyle name="Normal 12 23" xfId="7310" xr:uid="{00000000-0005-0000-0000-00008B1C0000}"/>
    <cellStyle name="Normal 12 23 2" xfId="7311" xr:uid="{00000000-0005-0000-0000-00008C1C0000}"/>
    <cellStyle name="Normal 12 23 2 2" xfId="7312" xr:uid="{00000000-0005-0000-0000-00008D1C0000}"/>
    <cellStyle name="Normal 12 23 2 3" xfId="7313" xr:uid="{00000000-0005-0000-0000-00008E1C0000}"/>
    <cellStyle name="Normal 12 23 3" xfId="7314" xr:uid="{00000000-0005-0000-0000-00008F1C0000}"/>
    <cellStyle name="Normal 12 23 4" xfId="7315" xr:uid="{00000000-0005-0000-0000-0000901C0000}"/>
    <cellStyle name="Normal 12 24" xfId="7316" xr:uid="{00000000-0005-0000-0000-0000911C0000}"/>
    <cellStyle name="Normal 12 24 2" xfId="7317" xr:uid="{00000000-0005-0000-0000-0000921C0000}"/>
    <cellStyle name="Normal 12 24 2 2" xfId="7318" xr:uid="{00000000-0005-0000-0000-0000931C0000}"/>
    <cellStyle name="Normal 12 24 2 3" xfId="7319" xr:uid="{00000000-0005-0000-0000-0000941C0000}"/>
    <cellStyle name="Normal 12 24 3" xfId="7320" xr:uid="{00000000-0005-0000-0000-0000951C0000}"/>
    <cellStyle name="Normal 12 24 4" xfId="7321" xr:uid="{00000000-0005-0000-0000-0000961C0000}"/>
    <cellStyle name="Normal 12 25" xfId="7322" xr:uid="{00000000-0005-0000-0000-0000971C0000}"/>
    <cellStyle name="Normal 12 25 2" xfId="7323" xr:uid="{00000000-0005-0000-0000-0000981C0000}"/>
    <cellStyle name="Normal 12 25 2 2" xfId="7324" xr:uid="{00000000-0005-0000-0000-0000991C0000}"/>
    <cellStyle name="Normal 12 25 2 3" xfId="7325" xr:uid="{00000000-0005-0000-0000-00009A1C0000}"/>
    <cellStyle name="Normal 12 25 3" xfId="7326" xr:uid="{00000000-0005-0000-0000-00009B1C0000}"/>
    <cellStyle name="Normal 12 25 4" xfId="7327" xr:uid="{00000000-0005-0000-0000-00009C1C0000}"/>
    <cellStyle name="Normal 12 26" xfId="7328" xr:uid="{00000000-0005-0000-0000-00009D1C0000}"/>
    <cellStyle name="Normal 12 26 2" xfId="7329" xr:uid="{00000000-0005-0000-0000-00009E1C0000}"/>
    <cellStyle name="Normal 12 26 3" xfId="7330" xr:uid="{00000000-0005-0000-0000-00009F1C0000}"/>
    <cellStyle name="Normal 12 27" xfId="7331" xr:uid="{00000000-0005-0000-0000-0000A01C0000}"/>
    <cellStyle name="Normal 12 28" xfId="7332" xr:uid="{00000000-0005-0000-0000-0000A11C0000}"/>
    <cellStyle name="Normal 12 3" xfId="7333" xr:uid="{00000000-0005-0000-0000-0000A21C0000}"/>
    <cellStyle name="Normal 12 3 2" xfId="7334" xr:uid="{00000000-0005-0000-0000-0000A31C0000}"/>
    <cellStyle name="Normal 12 4" xfId="7335" xr:uid="{00000000-0005-0000-0000-0000A41C0000}"/>
    <cellStyle name="Normal 12 4 2" xfId="7336" xr:uid="{00000000-0005-0000-0000-0000A51C0000}"/>
    <cellStyle name="Normal 12 4 2 2" xfId="7337" xr:uid="{00000000-0005-0000-0000-0000A61C0000}"/>
    <cellStyle name="Normal 12 4 2 3" xfId="7338" xr:uid="{00000000-0005-0000-0000-0000A71C0000}"/>
    <cellStyle name="Normal 12 4 3" xfId="7339" xr:uid="{00000000-0005-0000-0000-0000A81C0000}"/>
    <cellStyle name="Normal 12 4 4" xfId="7340" xr:uid="{00000000-0005-0000-0000-0000A91C0000}"/>
    <cellStyle name="Normal 12 5" xfId="7341" xr:uid="{00000000-0005-0000-0000-0000AA1C0000}"/>
    <cellStyle name="Normal 12 5 2" xfId="7342" xr:uid="{00000000-0005-0000-0000-0000AB1C0000}"/>
    <cellStyle name="Normal 12 5 2 2" xfId="7343" xr:uid="{00000000-0005-0000-0000-0000AC1C0000}"/>
    <cellStyle name="Normal 12 5 2 3" xfId="7344" xr:uid="{00000000-0005-0000-0000-0000AD1C0000}"/>
    <cellStyle name="Normal 12 5 3" xfId="7345" xr:uid="{00000000-0005-0000-0000-0000AE1C0000}"/>
    <cellStyle name="Normal 12 5 4" xfId="7346" xr:uid="{00000000-0005-0000-0000-0000AF1C0000}"/>
    <cellStyle name="Normal 12 6" xfId="7347" xr:uid="{00000000-0005-0000-0000-0000B01C0000}"/>
    <cellStyle name="Normal 12 6 2" xfId="7348" xr:uid="{00000000-0005-0000-0000-0000B11C0000}"/>
    <cellStyle name="Normal 12 6 2 2" xfId="7349" xr:uid="{00000000-0005-0000-0000-0000B21C0000}"/>
    <cellStyle name="Normal 12 6 2 3" xfId="7350" xr:uid="{00000000-0005-0000-0000-0000B31C0000}"/>
    <cellStyle name="Normal 12 6 3" xfId="7351" xr:uid="{00000000-0005-0000-0000-0000B41C0000}"/>
    <cellStyle name="Normal 12 6 4" xfId="7352" xr:uid="{00000000-0005-0000-0000-0000B51C0000}"/>
    <cellStyle name="Normal 12 7" xfId="7353" xr:uid="{00000000-0005-0000-0000-0000B61C0000}"/>
    <cellStyle name="Normal 12 7 2" xfId="7354" xr:uid="{00000000-0005-0000-0000-0000B71C0000}"/>
    <cellStyle name="Normal 12 7 2 2" xfId="7355" xr:uid="{00000000-0005-0000-0000-0000B81C0000}"/>
    <cellStyle name="Normal 12 7 2 3" xfId="7356" xr:uid="{00000000-0005-0000-0000-0000B91C0000}"/>
    <cellStyle name="Normal 12 7 3" xfId="7357" xr:uid="{00000000-0005-0000-0000-0000BA1C0000}"/>
    <cellStyle name="Normal 12 7 4" xfId="7358" xr:uid="{00000000-0005-0000-0000-0000BB1C0000}"/>
    <cellStyle name="Normal 12 8" xfId="7359" xr:uid="{00000000-0005-0000-0000-0000BC1C0000}"/>
    <cellStyle name="Normal 12 8 2" xfId="7360" xr:uid="{00000000-0005-0000-0000-0000BD1C0000}"/>
    <cellStyle name="Normal 12 8 2 2" xfId="7361" xr:uid="{00000000-0005-0000-0000-0000BE1C0000}"/>
    <cellStyle name="Normal 12 8 2 3" xfId="7362" xr:uid="{00000000-0005-0000-0000-0000BF1C0000}"/>
    <cellStyle name="Normal 12 8 3" xfId="7363" xr:uid="{00000000-0005-0000-0000-0000C01C0000}"/>
    <cellStyle name="Normal 12 8 4" xfId="7364" xr:uid="{00000000-0005-0000-0000-0000C11C0000}"/>
    <cellStyle name="Normal 12 9" xfId="7365" xr:uid="{00000000-0005-0000-0000-0000C21C0000}"/>
    <cellStyle name="Normal 12 9 2" xfId="7366" xr:uid="{00000000-0005-0000-0000-0000C31C0000}"/>
    <cellStyle name="Normal 12 9 2 2" xfId="7367" xr:uid="{00000000-0005-0000-0000-0000C41C0000}"/>
    <cellStyle name="Normal 12 9 2 3" xfId="7368" xr:uid="{00000000-0005-0000-0000-0000C51C0000}"/>
    <cellStyle name="Normal 12 9 3" xfId="7369" xr:uid="{00000000-0005-0000-0000-0000C61C0000}"/>
    <cellStyle name="Normal 12 9 4" xfId="7370" xr:uid="{00000000-0005-0000-0000-0000C71C0000}"/>
    <cellStyle name="Normal 120" xfId="7371" xr:uid="{00000000-0005-0000-0000-0000C81C0000}"/>
    <cellStyle name="Normal 121" xfId="7372" xr:uid="{00000000-0005-0000-0000-0000C91C0000}"/>
    <cellStyle name="Normal 122" xfId="7373" xr:uid="{00000000-0005-0000-0000-0000CA1C0000}"/>
    <cellStyle name="Normal 122 2" xfId="7374" xr:uid="{00000000-0005-0000-0000-0000CB1C0000}"/>
    <cellStyle name="Normal 123" xfId="7375" xr:uid="{00000000-0005-0000-0000-0000CC1C0000}"/>
    <cellStyle name="Normal 124" xfId="7376" xr:uid="{00000000-0005-0000-0000-0000CD1C0000}"/>
    <cellStyle name="Normal 124 2" xfId="7377" xr:uid="{00000000-0005-0000-0000-0000CE1C0000}"/>
    <cellStyle name="Normal 125" xfId="7378" xr:uid="{00000000-0005-0000-0000-0000CF1C0000}"/>
    <cellStyle name="Normal 126" xfId="7379" xr:uid="{00000000-0005-0000-0000-0000D01C0000}"/>
    <cellStyle name="Normal 127" xfId="7380" xr:uid="{00000000-0005-0000-0000-0000D11C0000}"/>
    <cellStyle name="Normal 128" xfId="7381" xr:uid="{00000000-0005-0000-0000-0000D21C0000}"/>
    <cellStyle name="Normal 129" xfId="7382" xr:uid="{00000000-0005-0000-0000-0000D31C0000}"/>
    <cellStyle name="Normal 129 2" xfId="7383" xr:uid="{00000000-0005-0000-0000-0000D41C0000}"/>
    <cellStyle name="Normal 13" xfId="7384" xr:uid="{00000000-0005-0000-0000-0000D51C0000}"/>
    <cellStyle name="Normal 13 10" xfId="7385" xr:uid="{00000000-0005-0000-0000-0000D61C0000}"/>
    <cellStyle name="Normal 13 10 2" xfId="7386" xr:uid="{00000000-0005-0000-0000-0000D71C0000}"/>
    <cellStyle name="Normal 13 10 2 2" xfId="7387" xr:uid="{00000000-0005-0000-0000-0000D81C0000}"/>
    <cellStyle name="Normal 13 10 2 3" xfId="7388" xr:uid="{00000000-0005-0000-0000-0000D91C0000}"/>
    <cellStyle name="Normal 13 10 3" xfId="7389" xr:uid="{00000000-0005-0000-0000-0000DA1C0000}"/>
    <cellStyle name="Normal 13 10 4" xfId="7390" xr:uid="{00000000-0005-0000-0000-0000DB1C0000}"/>
    <cellStyle name="Normal 13 11" xfId="7391" xr:uid="{00000000-0005-0000-0000-0000DC1C0000}"/>
    <cellStyle name="Normal 13 11 2" xfId="7392" xr:uid="{00000000-0005-0000-0000-0000DD1C0000}"/>
    <cellStyle name="Normal 13 11 2 2" xfId="7393" xr:uid="{00000000-0005-0000-0000-0000DE1C0000}"/>
    <cellStyle name="Normal 13 11 2 3" xfId="7394" xr:uid="{00000000-0005-0000-0000-0000DF1C0000}"/>
    <cellStyle name="Normal 13 11 3" xfId="7395" xr:uid="{00000000-0005-0000-0000-0000E01C0000}"/>
    <cellStyle name="Normal 13 11 4" xfId="7396" xr:uid="{00000000-0005-0000-0000-0000E11C0000}"/>
    <cellStyle name="Normal 13 12" xfId="7397" xr:uid="{00000000-0005-0000-0000-0000E21C0000}"/>
    <cellStyle name="Normal 13 12 2" xfId="7398" xr:uid="{00000000-0005-0000-0000-0000E31C0000}"/>
    <cellStyle name="Normal 13 12 2 2" xfId="7399" xr:uid="{00000000-0005-0000-0000-0000E41C0000}"/>
    <cellStyle name="Normal 13 12 2 3" xfId="7400" xr:uid="{00000000-0005-0000-0000-0000E51C0000}"/>
    <cellStyle name="Normal 13 12 3" xfId="7401" xr:uid="{00000000-0005-0000-0000-0000E61C0000}"/>
    <cellStyle name="Normal 13 12 4" xfId="7402" xr:uid="{00000000-0005-0000-0000-0000E71C0000}"/>
    <cellStyle name="Normal 13 13" xfId="7403" xr:uid="{00000000-0005-0000-0000-0000E81C0000}"/>
    <cellStyle name="Normal 13 13 2" xfId="7404" xr:uid="{00000000-0005-0000-0000-0000E91C0000}"/>
    <cellStyle name="Normal 13 13 2 2" xfId="7405" xr:uid="{00000000-0005-0000-0000-0000EA1C0000}"/>
    <cellStyle name="Normal 13 13 2 3" xfId="7406" xr:uid="{00000000-0005-0000-0000-0000EB1C0000}"/>
    <cellStyle name="Normal 13 13 3" xfId="7407" xr:uid="{00000000-0005-0000-0000-0000EC1C0000}"/>
    <cellStyle name="Normal 13 13 4" xfId="7408" xr:uid="{00000000-0005-0000-0000-0000ED1C0000}"/>
    <cellStyle name="Normal 13 14" xfId="7409" xr:uid="{00000000-0005-0000-0000-0000EE1C0000}"/>
    <cellStyle name="Normal 13 14 2" xfId="7410" xr:uid="{00000000-0005-0000-0000-0000EF1C0000}"/>
    <cellStyle name="Normal 13 14 2 2" xfId="7411" xr:uid="{00000000-0005-0000-0000-0000F01C0000}"/>
    <cellStyle name="Normal 13 14 2 3" xfId="7412" xr:uid="{00000000-0005-0000-0000-0000F11C0000}"/>
    <cellStyle name="Normal 13 14 3" xfId="7413" xr:uid="{00000000-0005-0000-0000-0000F21C0000}"/>
    <cellStyle name="Normal 13 14 4" xfId="7414" xr:uid="{00000000-0005-0000-0000-0000F31C0000}"/>
    <cellStyle name="Normal 13 15" xfId="7415" xr:uid="{00000000-0005-0000-0000-0000F41C0000}"/>
    <cellStyle name="Normal 13 15 2" xfId="7416" xr:uid="{00000000-0005-0000-0000-0000F51C0000}"/>
    <cellStyle name="Normal 13 15 2 2" xfId="7417" xr:uid="{00000000-0005-0000-0000-0000F61C0000}"/>
    <cellStyle name="Normal 13 15 2 3" xfId="7418" xr:uid="{00000000-0005-0000-0000-0000F71C0000}"/>
    <cellStyle name="Normal 13 15 3" xfId="7419" xr:uid="{00000000-0005-0000-0000-0000F81C0000}"/>
    <cellStyle name="Normal 13 15 4" xfId="7420" xr:uid="{00000000-0005-0000-0000-0000F91C0000}"/>
    <cellStyle name="Normal 13 16" xfId="7421" xr:uid="{00000000-0005-0000-0000-0000FA1C0000}"/>
    <cellStyle name="Normal 13 16 2" xfId="7422" xr:uid="{00000000-0005-0000-0000-0000FB1C0000}"/>
    <cellStyle name="Normal 13 16 2 2" xfId="7423" xr:uid="{00000000-0005-0000-0000-0000FC1C0000}"/>
    <cellStyle name="Normal 13 16 2 3" xfId="7424" xr:uid="{00000000-0005-0000-0000-0000FD1C0000}"/>
    <cellStyle name="Normal 13 16 3" xfId="7425" xr:uid="{00000000-0005-0000-0000-0000FE1C0000}"/>
    <cellStyle name="Normal 13 16 4" xfId="7426" xr:uid="{00000000-0005-0000-0000-0000FF1C0000}"/>
    <cellStyle name="Normal 13 17" xfId="7427" xr:uid="{00000000-0005-0000-0000-0000001D0000}"/>
    <cellStyle name="Normal 13 17 2" xfId="7428" xr:uid="{00000000-0005-0000-0000-0000011D0000}"/>
    <cellStyle name="Normal 13 17 2 2" xfId="7429" xr:uid="{00000000-0005-0000-0000-0000021D0000}"/>
    <cellStyle name="Normal 13 17 2 3" xfId="7430" xr:uid="{00000000-0005-0000-0000-0000031D0000}"/>
    <cellStyle name="Normal 13 17 3" xfId="7431" xr:uid="{00000000-0005-0000-0000-0000041D0000}"/>
    <cellStyle name="Normal 13 17 4" xfId="7432" xr:uid="{00000000-0005-0000-0000-0000051D0000}"/>
    <cellStyle name="Normal 13 18" xfId="7433" xr:uid="{00000000-0005-0000-0000-0000061D0000}"/>
    <cellStyle name="Normal 13 18 2" xfId="7434" xr:uid="{00000000-0005-0000-0000-0000071D0000}"/>
    <cellStyle name="Normal 13 18 2 2" xfId="7435" xr:uid="{00000000-0005-0000-0000-0000081D0000}"/>
    <cellStyle name="Normal 13 18 2 3" xfId="7436" xr:uid="{00000000-0005-0000-0000-0000091D0000}"/>
    <cellStyle name="Normal 13 18 3" xfId="7437" xr:uid="{00000000-0005-0000-0000-00000A1D0000}"/>
    <cellStyle name="Normal 13 18 4" xfId="7438" xr:uid="{00000000-0005-0000-0000-00000B1D0000}"/>
    <cellStyle name="Normal 13 19" xfId="7439" xr:uid="{00000000-0005-0000-0000-00000C1D0000}"/>
    <cellStyle name="Normal 13 19 2" xfId="7440" xr:uid="{00000000-0005-0000-0000-00000D1D0000}"/>
    <cellStyle name="Normal 13 19 2 2" xfId="7441" xr:uid="{00000000-0005-0000-0000-00000E1D0000}"/>
    <cellStyle name="Normal 13 19 2 3" xfId="7442" xr:uid="{00000000-0005-0000-0000-00000F1D0000}"/>
    <cellStyle name="Normal 13 19 3" xfId="7443" xr:uid="{00000000-0005-0000-0000-0000101D0000}"/>
    <cellStyle name="Normal 13 19 4" xfId="7444" xr:uid="{00000000-0005-0000-0000-0000111D0000}"/>
    <cellStyle name="Normal 13 2" xfId="7445" xr:uid="{00000000-0005-0000-0000-0000121D0000}"/>
    <cellStyle name="Normal 13 2 2" xfId="7446" xr:uid="{00000000-0005-0000-0000-0000131D0000}"/>
    <cellStyle name="Normal 13 20" xfId="7447" xr:uid="{00000000-0005-0000-0000-0000141D0000}"/>
    <cellStyle name="Normal 13 20 2" xfId="7448" xr:uid="{00000000-0005-0000-0000-0000151D0000}"/>
    <cellStyle name="Normal 13 20 2 2" xfId="7449" xr:uid="{00000000-0005-0000-0000-0000161D0000}"/>
    <cellStyle name="Normal 13 20 2 3" xfId="7450" xr:uid="{00000000-0005-0000-0000-0000171D0000}"/>
    <cellStyle name="Normal 13 20 3" xfId="7451" xr:uid="{00000000-0005-0000-0000-0000181D0000}"/>
    <cellStyle name="Normal 13 20 4" xfId="7452" xr:uid="{00000000-0005-0000-0000-0000191D0000}"/>
    <cellStyle name="Normal 13 21" xfId="7453" xr:uid="{00000000-0005-0000-0000-00001A1D0000}"/>
    <cellStyle name="Normal 13 21 2" xfId="7454" xr:uid="{00000000-0005-0000-0000-00001B1D0000}"/>
    <cellStyle name="Normal 13 21 2 2" xfId="7455" xr:uid="{00000000-0005-0000-0000-00001C1D0000}"/>
    <cellStyle name="Normal 13 21 2 3" xfId="7456" xr:uid="{00000000-0005-0000-0000-00001D1D0000}"/>
    <cellStyle name="Normal 13 21 3" xfId="7457" xr:uid="{00000000-0005-0000-0000-00001E1D0000}"/>
    <cellStyle name="Normal 13 21 4" xfId="7458" xr:uid="{00000000-0005-0000-0000-00001F1D0000}"/>
    <cellStyle name="Normal 13 22" xfId="7459" xr:uid="{00000000-0005-0000-0000-0000201D0000}"/>
    <cellStyle name="Normal 13 22 2" xfId="7460" xr:uid="{00000000-0005-0000-0000-0000211D0000}"/>
    <cellStyle name="Normal 13 22 2 2" xfId="7461" xr:uid="{00000000-0005-0000-0000-0000221D0000}"/>
    <cellStyle name="Normal 13 22 2 3" xfId="7462" xr:uid="{00000000-0005-0000-0000-0000231D0000}"/>
    <cellStyle name="Normal 13 22 3" xfId="7463" xr:uid="{00000000-0005-0000-0000-0000241D0000}"/>
    <cellStyle name="Normal 13 22 4" xfId="7464" xr:uid="{00000000-0005-0000-0000-0000251D0000}"/>
    <cellStyle name="Normal 13 23" xfId="7465" xr:uid="{00000000-0005-0000-0000-0000261D0000}"/>
    <cellStyle name="Normal 13 23 2" xfId="7466" xr:uid="{00000000-0005-0000-0000-0000271D0000}"/>
    <cellStyle name="Normal 13 23 2 2" xfId="7467" xr:uid="{00000000-0005-0000-0000-0000281D0000}"/>
    <cellStyle name="Normal 13 23 2 3" xfId="7468" xr:uid="{00000000-0005-0000-0000-0000291D0000}"/>
    <cellStyle name="Normal 13 23 3" xfId="7469" xr:uid="{00000000-0005-0000-0000-00002A1D0000}"/>
    <cellStyle name="Normal 13 23 4" xfId="7470" xr:uid="{00000000-0005-0000-0000-00002B1D0000}"/>
    <cellStyle name="Normal 13 24" xfId="7471" xr:uid="{00000000-0005-0000-0000-00002C1D0000}"/>
    <cellStyle name="Normal 13 24 2" xfId="7472" xr:uid="{00000000-0005-0000-0000-00002D1D0000}"/>
    <cellStyle name="Normal 13 24 2 2" xfId="7473" xr:uid="{00000000-0005-0000-0000-00002E1D0000}"/>
    <cellStyle name="Normal 13 24 2 3" xfId="7474" xr:uid="{00000000-0005-0000-0000-00002F1D0000}"/>
    <cellStyle name="Normal 13 24 3" xfId="7475" xr:uid="{00000000-0005-0000-0000-0000301D0000}"/>
    <cellStyle name="Normal 13 24 4" xfId="7476" xr:uid="{00000000-0005-0000-0000-0000311D0000}"/>
    <cellStyle name="Normal 13 25" xfId="7477" xr:uid="{00000000-0005-0000-0000-0000321D0000}"/>
    <cellStyle name="Normal 13 25 2" xfId="7478" xr:uid="{00000000-0005-0000-0000-0000331D0000}"/>
    <cellStyle name="Normal 13 25 2 2" xfId="7479" xr:uid="{00000000-0005-0000-0000-0000341D0000}"/>
    <cellStyle name="Normal 13 25 2 3" xfId="7480" xr:uid="{00000000-0005-0000-0000-0000351D0000}"/>
    <cellStyle name="Normal 13 25 3" xfId="7481" xr:uid="{00000000-0005-0000-0000-0000361D0000}"/>
    <cellStyle name="Normal 13 25 4" xfId="7482" xr:uid="{00000000-0005-0000-0000-0000371D0000}"/>
    <cellStyle name="Normal 13 26" xfId="7483" xr:uid="{00000000-0005-0000-0000-0000381D0000}"/>
    <cellStyle name="Normal 13 26 2" xfId="7484" xr:uid="{00000000-0005-0000-0000-0000391D0000}"/>
    <cellStyle name="Normal 13 26 2 2" xfId="7485" xr:uid="{00000000-0005-0000-0000-00003A1D0000}"/>
    <cellStyle name="Normal 13 26 2 3" xfId="7486" xr:uid="{00000000-0005-0000-0000-00003B1D0000}"/>
    <cellStyle name="Normal 13 26 3" xfId="7487" xr:uid="{00000000-0005-0000-0000-00003C1D0000}"/>
    <cellStyle name="Normal 13 26 4" xfId="7488" xr:uid="{00000000-0005-0000-0000-00003D1D0000}"/>
    <cellStyle name="Normal 13 3" xfId="7489" xr:uid="{00000000-0005-0000-0000-00003E1D0000}"/>
    <cellStyle name="Normal 13 3 2" xfId="7490" xr:uid="{00000000-0005-0000-0000-00003F1D0000}"/>
    <cellStyle name="Normal 13 4" xfId="7491" xr:uid="{00000000-0005-0000-0000-0000401D0000}"/>
    <cellStyle name="Normal 13 4 2" xfId="7492" xr:uid="{00000000-0005-0000-0000-0000411D0000}"/>
    <cellStyle name="Normal 13 4 2 2" xfId="7493" xr:uid="{00000000-0005-0000-0000-0000421D0000}"/>
    <cellStyle name="Normal 13 4 2 3" xfId="7494" xr:uid="{00000000-0005-0000-0000-0000431D0000}"/>
    <cellStyle name="Normal 13 4 3" xfId="7495" xr:uid="{00000000-0005-0000-0000-0000441D0000}"/>
    <cellStyle name="Normal 13 4 4" xfId="7496" xr:uid="{00000000-0005-0000-0000-0000451D0000}"/>
    <cellStyle name="Normal 13 5" xfId="7497" xr:uid="{00000000-0005-0000-0000-0000461D0000}"/>
    <cellStyle name="Normal 13 5 2" xfId="7498" xr:uid="{00000000-0005-0000-0000-0000471D0000}"/>
    <cellStyle name="Normal 13 5 2 2" xfId="7499" xr:uid="{00000000-0005-0000-0000-0000481D0000}"/>
    <cellStyle name="Normal 13 5 2 3" xfId="7500" xr:uid="{00000000-0005-0000-0000-0000491D0000}"/>
    <cellStyle name="Normal 13 5 3" xfId="7501" xr:uid="{00000000-0005-0000-0000-00004A1D0000}"/>
    <cellStyle name="Normal 13 5 4" xfId="7502" xr:uid="{00000000-0005-0000-0000-00004B1D0000}"/>
    <cellStyle name="Normal 13 6" xfId="7503" xr:uid="{00000000-0005-0000-0000-00004C1D0000}"/>
    <cellStyle name="Normal 13 6 2" xfId="7504" xr:uid="{00000000-0005-0000-0000-00004D1D0000}"/>
    <cellStyle name="Normal 13 6 2 2" xfId="7505" xr:uid="{00000000-0005-0000-0000-00004E1D0000}"/>
    <cellStyle name="Normal 13 6 2 3" xfId="7506" xr:uid="{00000000-0005-0000-0000-00004F1D0000}"/>
    <cellStyle name="Normal 13 6 3" xfId="7507" xr:uid="{00000000-0005-0000-0000-0000501D0000}"/>
    <cellStyle name="Normal 13 6 4" xfId="7508" xr:uid="{00000000-0005-0000-0000-0000511D0000}"/>
    <cellStyle name="Normal 13 7" xfId="7509" xr:uid="{00000000-0005-0000-0000-0000521D0000}"/>
    <cellStyle name="Normal 13 7 2" xfId="7510" xr:uid="{00000000-0005-0000-0000-0000531D0000}"/>
    <cellStyle name="Normal 13 7 2 2" xfId="7511" xr:uid="{00000000-0005-0000-0000-0000541D0000}"/>
    <cellStyle name="Normal 13 7 2 3" xfId="7512" xr:uid="{00000000-0005-0000-0000-0000551D0000}"/>
    <cellStyle name="Normal 13 7 3" xfId="7513" xr:uid="{00000000-0005-0000-0000-0000561D0000}"/>
    <cellStyle name="Normal 13 7 4" xfId="7514" xr:uid="{00000000-0005-0000-0000-0000571D0000}"/>
    <cellStyle name="Normal 13 8" xfId="7515" xr:uid="{00000000-0005-0000-0000-0000581D0000}"/>
    <cellStyle name="Normal 13 8 2" xfId="7516" xr:uid="{00000000-0005-0000-0000-0000591D0000}"/>
    <cellStyle name="Normal 13 8 2 2" xfId="7517" xr:uid="{00000000-0005-0000-0000-00005A1D0000}"/>
    <cellStyle name="Normal 13 8 2 3" xfId="7518" xr:uid="{00000000-0005-0000-0000-00005B1D0000}"/>
    <cellStyle name="Normal 13 8 3" xfId="7519" xr:uid="{00000000-0005-0000-0000-00005C1D0000}"/>
    <cellStyle name="Normal 13 8 4" xfId="7520" xr:uid="{00000000-0005-0000-0000-00005D1D0000}"/>
    <cellStyle name="Normal 13 9" xfId="7521" xr:uid="{00000000-0005-0000-0000-00005E1D0000}"/>
    <cellStyle name="Normal 13 9 2" xfId="7522" xr:uid="{00000000-0005-0000-0000-00005F1D0000}"/>
    <cellStyle name="Normal 13 9 2 2" xfId="7523" xr:uid="{00000000-0005-0000-0000-0000601D0000}"/>
    <cellStyle name="Normal 13 9 2 3" xfId="7524" xr:uid="{00000000-0005-0000-0000-0000611D0000}"/>
    <cellStyle name="Normal 13 9 3" xfId="7525" xr:uid="{00000000-0005-0000-0000-0000621D0000}"/>
    <cellStyle name="Normal 13 9 4" xfId="7526" xr:uid="{00000000-0005-0000-0000-0000631D0000}"/>
    <cellStyle name="Normal 130" xfId="7527" xr:uid="{00000000-0005-0000-0000-0000641D0000}"/>
    <cellStyle name="Normal 131" xfId="7528" xr:uid="{00000000-0005-0000-0000-0000651D0000}"/>
    <cellStyle name="Normal 132" xfId="7529" xr:uid="{00000000-0005-0000-0000-0000661D0000}"/>
    <cellStyle name="Normal 133" xfId="7530" xr:uid="{00000000-0005-0000-0000-0000671D0000}"/>
    <cellStyle name="Normal 134" xfId="7531" xr:uid="{00000000-0005-0000-0000-0000681D0000}"/>
    <cellStyle name="Normal 135" xfId="7532" xr:uid="{00000000-0005-0000-0000-0000691D0000}"/>
    <cellStyle name="Normal 136" xfId="7533" xr:uid="{00000000-0005-0000-0000-00006A1D0000}"/>
    <cellStyle name="Normal 137" xfId="7534" xr:uid="{00000000-0005-0000-0000-00006B1D0000}"/>
    <cellStyle name="Normal 138" xfId="7535" xr:uid="{00000000-0005-0000-0000-00006C1D0000}"/>
    <cellStyle name="Normal 139" xfId="7536" xr:uid="{00000000-0005-0000-0000-00006D1D0000}"/>
    <cellStyle name="Normal 14" xfId="7537" xr:uid="{00000000-0005-0000-0000-00006E1D0000}"/>
    <cellStyle name="Normal 14 10" xfId="7538" xr:uid="{00000000-0005-0000-0000-00006F1D0000}"/>
    <cellStyle name="Normal 14 10 2" xfId="7539" xr:uid="{00000000-0005-0000-0000-0000701D0000}"/>
    <cellStyle name="Normal 14 10 2 2" xfId="7540" xr:uid="{00000000-0005-0000-0000-0000711D0000}"/>
    <cellStyle name="Normal 14 10 2 3" xfId="7541" xr:uid="{00000000-0005-0000-0000-0000721D0000}"/>
    <cellStyle name="Normal 14 10 3" xfId="7542" xr:uid="{00000000-0005-0000-0000-0000731D0000}"/>
    <cellStyle name="Normal 14 10 4" xfId="7543" xr:uid="{00000000-0005-0000-0000-0000741D0000}"/>
    <cellStyle name="Normal 14 11" xfId="7544" xr:uid="{00000000-0005-0000-0000-0000751D0000}"/>
    <cellStyle name="Normal 14 11 2" xfId="7545" xr:uid="{00000000-0005-0000-0000-0000761D0000}"/>
    <cellStyle name="Normal 14 11 2 2" xfId="7546" xr:uid="{00000000-0005-0000-0000-0000771D0000}"/>
    <cellStyle name="Normal 14 11 2 3" xfId="7547" xr:uid="{00000000-0005-0000-0000-0000781D0000}"/>
    <cellStyle name="Normal 14 11 3" xfId="7548" xr:uid="{00000000-0005-0000-0000-0000791D0000}"/>
    <cellStyle name="Normal 14 11 4" xfId="7549" xr:uid="{00000000-0005-0000-0000-00007A1D0000}"/>
    <cellStyle name="Normal 14 12" xfId="7550" xr:uid="{00000000-0005-0000-0000-00007B1D0000}"/>
    <cellStyle name="Normal 14 12 2" xfId="7551" xr:uid="{00000000-0005-0000-0000-00007C1D0000}"/>
    <cellStyle name="Normal 14 12 2 2" xfId="7552" xr:uid="{00000000-0005-0000-0000-00007D1D0000}"/>
    <cellStyle name="Normal 14 12 2 3" xfId="7553" xr:uid="{00000000-0005-0000-0000-00007E1D0000}"/>
    <cellStyle name="Normal 14 12 3" xfId="7554" xr:uid="{00000000-0005-0000-0000-00007F1D0000}"/>
    <cellStyle name="Normal 14 12 4" xfId="7555" xr:uid="{00000000-0005-0000-0000-0000801D0000}"/>
    <cellStyle name="Normal 14 13" xfId="7556" xr:uid="{00000000-0005-0000-0000-0000811D0000}"/>
    <cellStyle name="Normal 14 13 2" xfId="7557" xr:uid="{00000000-0005-0000-0000-0000821D0000}"/>
    <cellStyle name="Normal 14 13 2 2" xfId="7558" xr:uid="{00000000-0005-0000-0000-0000831D0000}"/>
    <cellStyle name="Normal 14 13 2 3" xfId="7559" xr:uid="{00000000-0005-0000-0000-0000841D0000}"/>
    <cellStyle name="Normal 14 13 3" xfId="7560" xr:uid="{00000000-0005-0000-0000-0000851D0000}"/>
    <cellStyle name="Normal 14 13 4" xfId="7561" xr:uid="{00000000-0005-0000-0000-0000861D0000}"/>
    <cellStyle name="Normal 14 14" xfId="7562" xr:uid="{00000000-0005-0000-0000-0000871D0000}"/>
    <cellStyle name="Normal 14 14 2" xfId="7563" xr:uid="{00000000-0005-0000-0000-0000881D0000}"/>
    <cellStyle name="Normal 14 14 2 2" xfId="7564" xr:uid="{00000000-0005-0000-0000-0000891D0000}"/>
    <cellStyle name="Normal 14 14 2 3" xfId="7565" xr:uid="{00000000-0005-0000-0000-00008A1D0000}"/>
    <cellStyle name="Normal 14 14 3" xfId="7566" xr:uid="{00000000-0005-0000-0000-00008B1D0000}"/>
    <cellStyle name="Normal 14 14 4" xfId="7567" xr:uid="{00000000-0005-0000-0000-00008C1D0000}"/>
    <cellStyle name="Normal 14 15" xfId="7568" xr:uid="{00000000-0005-0000-0000-00008D1D0000}"/>
    <cellStyle name="Normal 14 15 2" xfId="7569" xr:uid="{00000000-0005-0000-0000-00008E1D0000}"/>
    <cellStyle name="Normal 14 15 2 2" xfId="7570" xr:uid="{00000000-0005-0000-0000-00008F1D0000}"/>
    <cellStyle name="Normal 14 15 2 3" xfId="7571" xr:uid="{00000000-0005-0000-0000-0000901D0000}"/>
    <cellStyle name="Normal 14 15 3" xfId="7572" xr:uid="{00000000-0005-0000-0000-0000911D0000}"/>
    <cellStyle name="Normal 14 15 4" xfId="7573" xr:uid="{00000000-0005-0000-0000-0000921D0000}"/>
    <cellStyle name="Normal 14 16" xfId="7574" xr:uid="{00000000-0005-0000-0000-0000931D0000}"/>
    <cellStyle name="Normal 14 16 2" xfId="7575" xr:uid="{00000000-0005-0000-0000-0000941D0000}"/>
    <cellStyle name="Normal 14 16 2 2" xfId="7576" xr:uid="{00000000-0005-0000-0000-0000951D0000}"/>
    <cellStyle name="Normal 14 16 2 3" xfId="7577" xr:uid="{00000000-0005-0000-0000-0000961D0000}"/>
    <cellStyle name="Normal 14 16 3" xfId="7578" xr:uid="{00000000-0005-0000-0000-0000971D0000}"/>
    <cellStyle name="Normal 14 16 4" xfId="7579" xr:uid="{00000000-0005-0000-0000-0000981D0000}"/>
    <cellStyle name="Normal 14 17" xfId="7580" xr:uid="{00000000-0005-0000-0000-0000991D0000}"/>
    <cellStyle name="Normal 14 17 2" xfId="7581" xr:uid="{00000000-0005-0000-0000-00009A1D0000}"/>
    <cellStyle name="Normal 14 17 2 2" xfId="7582" xr:uid="{00000000-0005-0000-0000-00009B1D0000}"/>
    <cellStyle name="Normal 14 17 2 3" xfId="7583" xr:uid="{00000000-0005-0000-0000-00009C1D0000}"/>
    <cellStyle name="Normal 14 17 3" xfId="7584" xr:uid="{00000000-0005-0000-0000-00009D1D0000}"/>
    <cellStyle name="Normal 14 17 4" xfId="7585" xr:uid="{00000000-0005-0000-0000-00009E1D0000}"/>
    <cellStyle name="Normal 14 18" xfId="7586" xr:uid="{00000000-0005-0000-0000-00009F1D0000}"/>
    <cellStyle name="Normal 14 18 2" xfId="7587" xr:uid="{00000000-0005-0000-0000-0000A01D0000}"/>
    <cellStyle name="Normal 14 18 2 2" xfId="7588" xr:uid="{00000000-0005-0000-0000-0000A11D0000}"/>
    <cellStyle name="Normal 14 18 2 3" xfId="7589" xr:uid="{00000000-0005-0000-0000-0000A21D0000}"/>
    <cellStyle name="Normal 14 18 3" xfId="7590" xr:uid="{00000000-0005-0000-0000-0000A31D0000}"/>
    <cellStyle name="Normal 14 18 4" xfId="7591" xr:uid="{00000000-0005-0000-0000-0000A41D0000}"/>
    <cellStyle name="Normal 14 19" xfId="7592" xr:uid="{00000000-0005-0000-0000-0000A51D0000}"/>
    <cellStyle name="Normal 14 19 2" xfId="7593" xr:uid="{00000000-0005-0000-0000-0000A61D0000}"/>
    <cellStyle name="Normal 14 19 2 2" xfId="7594" xr:uid="{00000000-0005-0000-0000-0000A71D0000}"/>
    <cellStyle name="Normal 14 19 2 3" xfId="7595" xr:uid="{00000000-0005-0000-0000-0000A81D0000}"/>
    <cellStyle name="Normal 14 19 3" xfId="7596" xr:uid="{00000000-0005-0000-0000-0000A91D0000}"/>
    <cellStyle name="Normal 14 19 4" xfId="7597" xr:uid="{00000000-0005-0000-0000-0000AA1D0000}"/>
    <cellStyle name="Normal 14 2" xfId="7598" xr:uid="{00000000-0005-0000-0000-0000AB1D0000}"/>
    <cellStyle name="Normal 14 2 2" xfId="7599" xr:uid="{00000000-0005-0000-0000-0000AC1D0000}"/>
    <cellStyle name="Normal 14 20" xfId="7600" xr:uid="{00000000-0005-0000-0000-0000AD1D0000}"/>
    <cellStyle name="Normal 14 20 2" xfId="7601" xr:uid="{00000000-0005-0000-0000-0000AE1D0000}"/>
    <cellStyle name="Normal 14 20 2 2" xfId="7602" xr:uid="{00000000-0005-0000-0000-0000AF1D0000}"/>
    <cellStyle name="Normal 14 20 2 3" xfId="7603" xr:uid="{00000000-0005-0000-0000-0000B01D0000}"/>
    <cellStyle name="Normal 14 20 3" xfId="7604" xr:uid="{00000000-0005-0000-0000-0000B11D0000}"/>
    <cellStyle name="Normal 14 20 4" xfId="7605" xr:uid="{00000000-0005-0000-0000-0000B21D0000}"/>
    <cellStyle name="Normal 14 21" xfId="7606" xr:uid="{00000000-0005-0000-0000-0000B31D0000}"/>
    <cellStyle name="Normal 14 21 2" xfId="7607" xr:uid="{00000000-0005-0000-0000-0000B41D0000}"/>
    <cellStyle name="Normal 14 21 2 2" xfId="7608" xr:uid="{00000000-0005-0000-0000-0000B51D0000}"/>
    <cellStyle name="Normal 14 21 2 3" xfId="7609" xr:uid="{00000000-0005-0000-0000-0000B61D0000}"/>
    <cellStyle name="Normal 14 21 3" xfId="7610" xr:uid="{00000000-0005-0000-0000-0000B71D0000}"/>
    <cellStyle name="Normal 14 21 4" xfId="7611" xr:uid="{00000000-0005-0000-0000-0000B81D0000}"/>
    <cellStyle name="Normal 14 22" xfId="7612" xr:uid="{00000000-0005-0000-0000-0000B91D0000}"/>
    <cellStyle name="Normal 14 22 2" xfId="7613" xr:uid="{00000000-0005-0000-0000-0000BA1D0000}"/>
    <cellStyle name="Normal 14 22 2 2" xfId="7614" xr:uid="{00000000-0005-0000-0000-0000BB1D0000}"/>
    <cellStyle name="Normal 14 22 2 3" xfId="7615" xr:uid="{00000000-0005-0000-0000-0000BC1D0000}"/>
    <cellStyle name="Normal 14 22 3" xfId="7616" xr:uid="{00000000-0005-0000-0000-0000BD1D0000}"/>
    <cellStyle name="Normal 14 22 4" xfId="7617" xr:uid="{00000000-0005-0000-0000-0000BE1D0000}"/>
    <cellStyle name="Normal 14 23" xfId="7618" xr:uid="{00000000-0005-0000-0000-0000BF1D0000}"/>
    <cellStyle name="Normal 14 23 2" xfId="7619" xr:uid="{00000000-0005-0000-0000-0000C01D0000}"/>
    <cellStyle name="Normal 14 23 2 2" xfId="7620" xr:uid="{00000000-0005-0000-0000-0000C11D0000}"/>
    <cellStyle name="Normal 14 23 2 3" xfId="7621" xr:uid="{00000000-0005-0000-0000-0000C21D0000}"/>
    <cellStyle name="Normal 14 23 3" xfId="7622" xr:uid="{00000000-0005-0000-0000-0000C31D0000}"/>
    <cellStyle name="Normal 14 23 4" xfId="7623" xr:uid="{00000000-0005-0000-0000-0000C41D0000}"/>
    <cellStyle name="Normal 14 24" xfId="7624" xr:uid="{00000000-0005-0000-0000-0000C51D0000}"/>
    <cellStyle name="Normal 14 24 2" xfId="7625" xr:uid="{00000000-0005-0000-0000-0000C61D0000}"/>
    <cellStyle name="Normal 14 24 2 2" xfId="7626" xr:uid="{00000000-0005-0000-0000-0000C71D0000}"/>
    <cellStyle name="Normal 14 24 2 3" xfId="7627" xr:uid="{00000000-0005-0000-0000-0000C81D0000}"/>
    <cellStyle name="Normal 14 24 3" xfId="7628" xr:uid="{00000000-0005-0000-0000-0000C91D0000}"/>
    <cellStyle name="Normal 14 24 4" xfId="7629" xr:uid="{00000000-0005-0000-0000-0000CA1D0000}"/>
    <cellStyle name="Normal 14 25" xfId="7630" xr:uid="{00000000-0005-0000-0000-0000CB1D0000}"/>
    <cellStyle name="Normal 14 25 2" xfId="7631" xr:uid="{00000000-0005-0000-0000-0000CC1D0000}"/>
    <cellStyle name="Normal 14 25 2 2" xfId="7632" xr:uid="{00000000-0005-0000-0000-0000CD1D0000}"/>
    <cellStyle name="Normal 14 25 2 3" xfId="7633" xr:uid="{00000000-0005-0000-0000-0000CE1D0000}"/>
    <cellStyle name="Normal 14 25 3" xfId="7634" xr:uid="{00000000-0005-0000-0000-0000CF1D0000}"/>
    <cellStyle name="Normal 14 25 4" xfId="7635" xr:uid="{00000000-0005-0000-0000-0000D01D0000}"/>
    <cellStyle name="Normal 14 26" xfId="7636" xr:uid="{00000000-0005-0000-0000-0000D11D0000}"/>
    <cellStyle name="Normal 14 26 2" xfId="7637" xr:uid="{00000000-0005-0000-0000-0000D21D0000}"/>
    <cellStyle name="Normal 14 26 2 2" xfId="7638" xr:uid="{00000000-0005-0000-0000-0000D31D0000}"/>
    <cellStyle name="Normal 14 26 2 3" xfId="7639" xr:uid="{00000000-0005-0000-0000-0000D41D0000}"/>
    <cellStyle name="Normal 14 26 3" xfId="7640" xr:uid="{00000000-0005-0000-0000-0000D51D0000}"/>
    <cellStyle name="Normal 14 26 4" xfId="7641" xr:uid="{00000000-0005-0000-0000-0000D61D0000}"/>
    <cellStyle name="Normal 14 27" xfId="7642" xr:uid="{00000000-0005-0000-0000-0000D71D0000}"/>
    <cellStyle name="Normal 14 27 2" xfId="7643" xr:uid="{00000000-0005-0000-0000-0000D81D0000}"/>
    <cellStyle name="Normal 14 27 3" xfId="7644" xr:uid="{00000000-0005-0000-0000-0000D91D0000}"/>
    <cellStyle name="Normal 14 28" xfId="7645" xr:uid="{00000000-0005-0000-0000-0000DA1D0000}"/>
    <cellStyle name="Normal 14 29" xfId="7646" xr:uid="{00000000-0005-0000-0000-0000DB1D0000}"/>
    <cellStyle name="Normal 14 3" xfId="7647" xr:uid="{00000000-0005-0000-0000-0000DC1D0000}"/>
    <cellStyle name="Normal 14 3 2" xfId="7648" xr:uid="{00000000-0005-0000-0000-0000DD1D0000}"/>
    <cellStyle name="Normal 14 4" xfId="7649" xr:uid="{00000000-0005-0000-0000-0000DE1D0000}"/>
    <cellStyle name="Normal 14 4 2" xfId="7650" xr:uid="{00000000-0005-0000-0000-0000DF1D0000}"/>
    <cellStyle name="Normal 14 4 2 2" xfId="7651" xr:uid="{00000000-0005-0000-0000-0000E01D0000}"/>
    <cellStyle name="Normal 14 4 2 3" xfId="7652" xr:uid="{00000000-0005-0000-0000-0000E11D0000}"/>
    <cellStyle name="Normal 14 4 3" xfId="7653" xr:uid="{00000000-0005-0000-0000-0000E21D0000}"/>
    <cellStyle name="Normal 14 4 4" xfId="7654" xr:uid="{00000000-0005-0000-0000-0000E31D0000}"/>
    <cellStyle name="Normal 14 5" xfId="7655" xr:uid="{00000000-0005-0000-0000-0000E41D0000}"/>
    <cellStyle name="Normal 14 5 2" xfId="7656" xr:uid="{00000000-0005-0000-0000-0000E51D0000}"/>
    <cellStyle name="Normal 14 5 2 2" xfId="7657" xr:uid="{00000000-0005-0000-0000-0000E61D0000}"/>
    <cellStyle name="Normal 14 5 2 3" xfId="7658" xr:uid="{00000000-0005-0000-0000-0000E71D0000}"/>
    <cellStyle name="Normal 14 5 3" xfId="7659" xr:uid="{00000000-0005-0000-0000-0000E81D0000}"/>
    <cellStyle name="Normal 14 5 4" xfId="7660" xr:uid="{00000000-0005-0000-0000-0000E91D0000}"/>
    <cellStyle name="Normal 14 6" xfId="7661" xr:uid="{00000000-0005-0000-0000-0000EA1D0000}"/>
    <cellStyle name="Normal 14 6 2" xfId="7662" xr:uid="{00000000-0005-0000-0000-0000EB1D0000}"/>
    <cellStyle name="Normal 14 6 2 2" xfId="7663" xr:uid="{00000000-0005-0000-0000-0000EC1D0000}"/>
    <cellStyle name="Normal 14 6 2 3" xfId="7664" xr:uid="{00000000-0005-0000-0000-0000ED1D0000}"/>
    <cellStyle name="Normal 14 6 3" xfId="7665" xr:uid="{00000000-0005-0000-0000-0000EE1D0000}"/>
    <cellStyle name="Normal 14 6 4" xfId="7666" xr:uid="{00000000-0005-0000-0000-0000EF1D0000}"/>
    <cellStyle name="Normal 14 7" xfId="7667" xr:uid="{00000000-0005-0000-0000-0000F01D0000}"/>
    <cellStyle name="Normal 14 7 2" xfId="7668" xr:uid="{00000000-0005-0000-0000-0000F11D0000}"/>
    <cellStyle name="Normal 14 7 2 2" xfId="7669" xr:uid="{00000000-0005-0000-0000-0000F21D0000}"/>
    <cellStyle name="Normal 14 7 2 3" xfId="7670" xr:uid="{00000000-0005-0000-0000-0000F31D0000}"/>
    <cellStyle name="Normal 14 7 3" xfId="7671" xr:uid="{00000000-0005-0000-0000-0000F41D0000}"/>
    <cellStyle name="Normal 14 7 4" xfId="7672" xr:uid="{00000000-0005-0000-0000-0000F51D0000}"/>
    <cellStyle name="Normal 14 8" xfId="7673" xr:uid="{00000000-0005-0000-0000-0000F61D0000}"/>
    <cellStyle name="Normal 14 8 2" xfId="7674" xr:uid="{00000000-0005-0000-0000-0000F71D0000}"/>
    <cellStyle name="Normal 14 8 2 2" xfId="7675" xr:uid="{00000000-0005-0000-0000-0000F81D0000}"/>
    <cellStyle name="Normal 14 8 2 3" xfId="7676" xr:uid="{00000000-0005-0000-0000-0000F91D0000}"/>
    <cellStyle name="Normal 14 8 3" xfId="7677" xr:uid="{00000000-0005-0000-0000-0000FA1D0000}"/>
    <cellStyle name="Normal 14 8 4" xfId="7678" xr:uid="{00000000-0005-0000-0000-0000FB1D0000}"/>
    <cellStyle name="Normal 14 9" xfId="7679" xr:uid="{00000000-0005-0000-0000-0000FC1D0000}"/>
    <cellStyle name="Normal 14 9 2" xfId="7680" xr:uid="{00000000-0005-0000-0000-0000FD1D0000}"/>
    <cellStyle name="Normal 14 9 2 2" xfId="7681" xr:uid="{00000000-0005-0000-0000-0000FE1D0000}"/>
    <cellStyle name="Normal 14 9 2 3" xfId="7682" xr:uid="{00000000-0005-0000-0000-0000FF1D0000}"/>
    <cellStyle name="Normal 14 9 3" xfId="7683" xr:uid="{00000000-0005-0000-0000-0000001E0000}"/>
    <cellStyle name="Normal 14 9 4" xfId="7684" xr:uid="{00000000-0005-0000-0000-0000011E0000}"/>
    <cellStyle name="Normal 140" xfId="7685" xr:uid="{00000000-0005-0000-0000-0000021E0000}"/>
    <cellStyle name="Normal 141" xfId="7686" xr:uid="{00000000-0005-0000-0000-0000031E0000}"/>
    <cellStyle name="Normal 142" xfId="7687" xr:uid="{00000000-0005-0000-0000-0000041E0000}"/>
    <cellStyle name="Normal 143" xfId="7688" xr:uid="{00000000-0005-0000-0000-0000051E0000}"/>
    <cellStyle name="Normal 144" xfId="7689" xr:uid="{00000000-0005-0000-0000-0000061E0000}"/>
    <cellStyle name="Normal 145" xfId="7690" xr:uid="{00000000-0005-0000-0000-0000071E0000}"/>
    <cellStyle name="Normal 145 2" xfId="7691" xr:uid="{00000000-0005-0000-0000-0000081E0000}"/>
    <cellStyle name="Normal 145 2 2" xfId="7692" xr:uid="{00000000-0005-0000-0000-0000091E0000}"/>
    <cellStyle name="Normal 145 2 2 2" xfId="7693" xr:uid="{00000000-0005-0000-0000-00000A1E0000}"/>
    <cellStyle name="Normal 145 2 2 3" xfId="7694" xr:uid="{00000000-0005-0000-0000-00000B1E0000}"/>
    <cellStyle name="Normal 145 2 3" xfId="7695" xr:uid="{00000000-0005-0000-0000-00000C1E0000}"/>
    <cellStyle name="Normal 145 2 4" xfId="7696" xr:uid="{00000000-0005-0000-0000-00000D1E0000}"/>
    <cellStyle name="Normal 145 3" xfId="7697" xr:uid="{00000000-0005-0000-0000-00000E1E0000}"/>
    <cellStyle name="Normal 145 3 2" xfId="7698" xr:uid="{00000000-0005-0000-0000-00000F1E0000}"/>
    <cellStyle name="Normal 145 3 3" xfId="7699" xr:uid="{00000000-0005-0000-0000-0000101E0000}"/>
    <cellStyle name="Normal 145 4" xfId="7700" xr:uid="{00000000-0005-0000-0000-0000111E0000}"/>
    <cellStyle name="Normal 145 5" xfId="7701" xr:uid="{00000000-0005-0000-0000-0000121E0000}"/>
    <cellStyle name="Normal 146" xfId="7702" xr:uid="{00000000-0005-0000-0000-0000131E0000}"/>
    <cellStyle name="Normal 146 2" xfId="7703" xr:uid="{00000000-0005-0000-0000-0000141E0000}"/>
    <cellStyle name="Normal 146 2 2" xfId="7704" xr:uid="{00000000-0005-0000-0000-0000151E0000}"/>
    <cellStyle name="Normal 146 2 2 2" xfId="7705" xr:uid="{00000000-0005-0000-0000-0000161E0000}"/>
    <cellStyle name="Normal 146 2 2 3" xfId="7706" xr:uid="{00000000-0005-0000-0000-0000171E0000}"/>
    <cellStyle name="Normal 146 2 3" xfId="7707" xr:uid="{00000000-0005-0000-0000-0000181E0000}"/>
    <cellStyle name="Normal 146 2 4" xfId="7708" xr:uid="{00000000-0005-0000-0000-0000191E0000}"/>
    <cellStyle name="Normal 146 3" xfId="7709" xr:uid="{00000000-0005-0000-0000-00001A1E0000}"/>
    <cellStyle name="Normal 146 3 2" xfId="7710" xr:uid="{00000000-0005-0000-0000-00001B1E0000}"/>
    <cellStyle name="Normal 146 3 3" xfId="7711" xr:uid="{00000000-0005-0000-0000-00001C1E0000}"/>
    <cellStyle name="Normal 146 4" xfId="7712" xr:uid="{00000000-0005-0000-0000-00001D1E0000}"/>
    <cellStyle name="Normal 146 5" xfId="7713" xr:uid="{00000000-0005-0000-0000-00001E1E0000}"/>
    <cellStyle name="Normal 147" xfId="7714" xr:uid="{00000000-0005-0000-0000-00001F1E0000}"/>
    <cellStyle name="Normal 148" xfId="7715" xr:uid="{00000000-0005-0000-0000-0000201E0000}"/>
    <cellStyle name="Normal 149" xfId="7716" xr:uid="{00000000-0005-0000-0000-0000211E0000}"/>
    <cellStyle name="Normal 15" xfId="7717" xr:uid="{00000000-0005-0000-0000-0000221E0000}"/>
    <cellStyle name="Normal 15 10" xfId="7718" xr:uid="{00000000-0005-0000-0000-0000231E0000}"/>
    <cellStyle name="Normal 15 10 2" xfId="7719" xr:uid="{00000000-0005-0000-0000-0000241E0000}"/>
    <cellStyle name="Normal 15 10 2 2" xfId="7720" xr:uid="{00000000-0005-0000-0000-0000251E0000}"/>
    <cellStyle name="Normal 15 10 2 3" xfId="7721" xr:uid="{00000000-0005-0000-0000-0000261E0000}"/>
    <cellStyle name="Normal 15 10 3" xfId="7722" xr:uid="{00000000-0005-0000-0000-0000271E0000}"/>
    <cellStyle name="Normal 15 10 4" xfId="7723" xr:uid="{00000000-0005-0000-0000-0000281E0000}"/>
    <cellStyle name="Normal 15 11" xfId="7724" xr:uid="{00000000-0005-0000-0000-0000291E0000}"/>
    <cellStyle name="Normal 15 11 2" xfId="7725" xr:uid="{00000000-0005-0000-0000-00002A1E0000}"/>
    <cellStyle name="Normal 15 11 2 2" xfId="7726" xr:uid="{00000000-0005-0000-0000-00002B1E0000}"/>
    <cellStyle name="Normal 15 11 2 3" xfId="7727" xr:uid="{00000000-0005-0000-0000-00002C1E0000}"/>
    <cellStyle name="Normal 15 11 3" xfId="7728" xr:uid="{00000000-0005-0000-0000-00002D1E0000}"/>
    <cellStyle name="Normal 15 11 4" xfId="7729" xr:uid="{00000000-0005-0000-0000-00002E1E0000}"/>
    <cellStyle name="Normal 15 12" xfId="7730" xr:uid="{00000000-0005-0000-0000-00002F1E0000}"/>
    <cellStyle name="Normal 15 12 2" xfId="7731" xr:uid="{00000000-0005-0000-0000-0000301E0000}"/>
    <cellStyle name="Normal 15 12 2 2" xfId="7732" xr:uid="{00000000-0005-0000-0000-0000311E0000}"/>
    <cellStyle name="Normal 15 12 2 3" xfId="7733" xr:uid="{00000000-0005-0000-0000-0000321E0000}"/>
    <cellStyle name="Normal 15 12 3" xfId="7734" xr:uid="{00000000-0005-0000-0000-0000331E0000}"/>
    <cellStyle name="Normal 15 12 4" xfId="7735" xr:uid="{00000000-0005-0000-0000-0000341E0000}"/>
    <cellStyle name="Normal 15 13" xfId="7736" xr:uid="{00000000-0005-0000-0000-0000351E0000}"/>
    <cellStyle name="Normal 15 13 2" xfId="7737" xr:uid="{00000000-0005-0000-0000-0000361E0000}"/>
    <cellStyle name="Normal 15 13 2 2" xfId="7738" xr:uid="{00000000-0005-0000-0000-0000371E0000}"/>
    <cellStyle name="Normal 15 13 2 3" xfId="7739" xr:uid="{00000000-0005-0000-0000-0000381E0000}"/>
    <cellStyle name="Normal 15 13 3" xfId="7740" xr:uid="{00000000-0005-0000-0000-0000391E0000}"/>
    <cellStyle name="Normal 15 13 4" xfId="7741" xr:uid="{00000000-0005-0000-0000-00003A1E0000}"/>
    <cellStyle name="Normal 15 14" xfId="7742" xr:uid="{00000000-0005-0000-0000-00003B1E0000}"/>
    <cellStyle name="Normal 15 14 2" xfId="7743" xr:uid="{00000000-0005-0000-0000-00003C1E0000}"/>
    <cellStyle name="Normal 15 14 2 2" xfId="7744" xr:uid="{00000000-0005-0000-0000-00003D1E0000}"/>
    <cellStyle name="Normal 15 14 2 3" xfId="7745" xr:uid="{00000000-0005-0000-0000-00003E1E0000}"/>
    <cellStyle name="Normal 15 14 3" xfId="7746" xr:uid="{00000000-0005-0000-0000-00003F1E0000}"/>
    <cellStyle name="Normal 15 14 4" xfId="7747" xr:uid="{00000000-0005-0000-0000-0000401E0000}"/>
    <cellStyle name="Normal 15 15" xfId="7748" xr:uid="{00000000-0005-0000-0000-0000411E0000}"/>
    <cellStyle name="Normal 15 15 2" xfId="7749" xr:uid="{00000000-0005-0000-0000-0000421E0000}"/>
    <cellStyle name="Normal 15 15 2 2" xfId="7750" xr:uid="{00000000-0005-0000-0000-0000431E0000}"/>
    <cellStyle name="Normal 15 15 2 3" xfId="7751" xr:uid="{00000000-0005-0000-0000-0000441E0000}"/>
    <cellStyle name="Normal 15 15 3" xfId="7752" xr:uid="{00000000-0005-0000-0000-0000451E0000}"/>
    <cellStyle name="Normal 15 15 4" xfId="7753" xr:uid="{00000000-0005-0000-0000-0000461E0000}"/>
    <cellStyle name="Normal 15 16" xfId="7754" xr:uid="{00000000-0005-0000-0000-0000471E0000}"/>
    <cellStyle name="Normal 15 16 2" xfId="7755" xr:uid="{00000000-0005-0000-0000-0000481E0000}"/>
    <cellStyle name="Normal 15 16 2 2" xfId="7756" xr:uid="{00000000-0005-0000-0000-0000491E0000}"/>
    <cellStyle name="Normal 15 16 2 3" xfId="7757" xr:uid="{00000000-0005-0000-0000-00004A1E0000}"/>
    <cellStyle name="Normal 15 16 3" xfId="7758" xr:uid="{00000000-0005-0000-0000-00004B1E0000}"/>
    <cellStyle name="Normal 15 16 4" xfId="7759" xr:uid="{00000000-0005-0000-0000-00004C1E0000}"/>
    <cellStyle name="Normal 15 17" xfId="7760" xr:uid="{00000000-0005-0000-0000-00004D1E0000}"/>
    <cellStyle name="Normal 15 17 2" xfId="7761" xr:uid="{00000000-0005-0000-0000-00004E1E0000}"/>
    <cellStyle name="Normal 15 17 2 2" xfId="7762" xr:uid="{00000000-0005-0000-0000-00004F1E0000}"/>
    <cellStyle name="Normal 15 17 2 3" xfId="7763" xr:uid="{00000000-0005-0000-0000-0000501E0000}"/>
    <cellStyle name="Normal 15 17 3" xfId="7764" xr:uid="{00000000-0005-0000-0000-0000511E0000}"/>
    <cellStyle name="Normal 15 17 4" xfId="7765" xr:uid="{00000000-0005-0000-0000-0000521E0000}"/>
    <cellStyle name="Normal 15 18" xfId="7766" xr:uid="{00000000-0005-0000-0000-0000531E0000}"/>
    <cellStyle name="Normal 15 18 2" xfId="7767" xr:uid="{00000000-0005-0000-0000-0000541E0000}"/>
    <cellStyle name="Normal 15 18 2 2" xfId="7768" xr:uid="{00000000-0005-0000-0000-0000551E0000}"/>
    <cellStyle name="Normal 15 18 2 3" xfId="7769" xr:uid="{00000000-0005-0000-0000-0000561E0000}"/>
    <cellStyle name="Normal 15 18 3" xfId="7770" xr:uid="{00000000-0005-0000-0000-0000571E0000}"/>
    <cellStyle name="Normal 15 18 4" xfId="7771" xr:uid="{00000000-0005-0000-0000-0000581E0000}"/>
    <cellStyle name="Normal 15 19" xfId="7772" xr:uid="{00000000-0005-0000-0000-0000591E0000}"/>
    <cellStyle name="Normal 15 19 2" xfId="7773" xr:uid="{00000000-0005-0000-0000-00005A1E0000}"/>
    <cellStyle name="Normal 15 19 2 2" xfId="7774" xr:uid="{00000000-0005-0000-0000-00005B1E0000}"/>
    <cellStyle name="Normal 15 19 2 3" xfId="7775" xr:uid="{00000000-0005-0000-0000-00005C1E0000}"/>
    <cellStyle name="Normal 15 19 3" xfId="7776" xr:uid="{00000000-0005-0000-0000-00005D1E0000}"/>
    <cellStyle name="Normal 15 19 4" xfId="7777" xr:uid="{00000000-0005-0000-0000-00005E1E0000}"/>
    <cellStyle name="Normal 15 2" xfId="7778" xr:uid="{00000000-0005-0000-0000-00005F1E0000}"/>
    <cellStyle name="Normal 15 2 2" xfId="7779" xr:uid="{00000000-0005-0000-0000-0000601E0000}"/>
    <cellStyle name="Normal 15 20" xfId="7780" xr:uid="{00000000-0005-0000-0000-0000611E0000}"/>
    <cellStyle name="Normal 15 20 2" xfId="7781" xr:uid="{00000000-0005-0000-0000-0000621E0000}"/>
    <cellStyle name="Normal 15 20 2 2" xfId="7782" xr:uid="{00000000-0005-0000-0000-0000631E0000}"/>
    <cellStyle name="Normal 15 20 2 3" xfId="7783" xr:uid="{00000000-0005-0000-0000-0000641E0000}"/>
    <cellStyle name="Normal 15 20 3" xfId="7784" xr:uid="{00000000-0005-0000-0000-0000651E0000}"/>
    <cellStyle name="Normal 15 20 4" xfId="7785" xr:uid="{00000000-0005-0000-0000-0000661E0000}"/>
    <cellStyle name="Normal 15 21" xfId="7786" xr:uid="{00000000-0005-0000-0000-0000671E0000}"/>
    <cellStyle name="Normal 15 21 2" xfId="7787" xr:uid="{00000000-0005-0000-0000-0000681E0000}"/>
    <cellStyle name="Normal 15 21 2 2" xfId="7788" xr:uid="{00000000-0005-0000-0000-0000691E0000}"/>
    <cellStyle name="Normal 15 21 2 3" xfId="7789" xr:uid="{00000000-0005-0000-0000-00006A1E0000}"/>
    <cellStyle name="Normal 15 21 3" xfId="7790" xr:uid="{00000000-0005-0000-0000-00006B1E0000}"/>
    <cellStyle name="Normal 15 21 4" xfId="7791" xr:uid="{00000000-0005-0000-0000-00006C1E0000}"/>
    <cellStyle name="Normal 15 22" xfId="7792" xr:uid="{00000000-0005-0000-0000-00006D1E0000}"/>
    <cellStyle name="Normal 15 22 2" xfId="7793" xr:uid="{00000000-0005-0000-0000-00006E1E0000}"/>
    <cellStyle name="Normal 15 22 2 2" xfId="7794" xr:uid="{00000000-0005-0000-0000-00006F1E0000}"/>
    <cellStyle name="Normal 15 22 2 3" xfId="7795" xr:uid="{00000000-0005-0000-0000-0000701E0000}"/>
    <cellStyle name="Normal 15 22 3" xfId="7796" xr:uid="{00000000-0005-0000-0000-0000711E0000}"/>
    <cellStyle name="Normal 15 22 4" xfId="7797" xr:uid="{00000000-0005-0000-0000-0000721E0000}"/>
    <cellStyle name="Normal 15 23" xfId="7798" xr:uid="{00000000-0005-0000-0000-0000731E0000}"/>
    <cellStyle name="Normal 15 23 2" xfId="7799" xr:uid="{00000000-0005-0000-0000-0000741E0000}"/>
    <cellStyle name="Normal 15 23 2 2" xfId="7800" xr:uid="{00000000-0005-0000-0000-0000751E0000}"/>
    <cellStyle name="Normal 15 23 2 3" xfId="7801" xr:uid="{00000000-0005-0000-0000-0000761E0000}"/>
    <cellStyle name="Normal 15 23 3" xfId="7802" xr:uid="{00000000-0005-0000-0000-0000771E0000}"/>
    <cellStyle name="Normal 15 23 4" xfId="7803" xr:uid="{00000000-0005-0000-0000-0000781E0000}"/>
    <cellStyle name="Normal 15 24" xfId="7804" xr:uid="{00000000-0005-0000-0000-0000791E0000}"/>
    <cellStyle name="Normal 15 24 2" xfId="7805" xr:uid="{00000000-0005-0000-0000-00007A1E0000}"/>
    <cellStyle name="Normal 15 24 2 2" xfId="7806" xr:uid="{00000000-0005-0000-0000-00007B1E0000}"/>
    <cellStyle name="Normal 15 24 2 3" xfId="7807" xr:uid="{00000000-0005-0000-0000-00007C1E0000}"/>
    <cellStyle name="Normal 15 24 3" xfId="7808" xr:uid="{00000000-0005-0000-0000-00007D1E0000}"/>
    <cellStyle name="Normal 15 24 4" xfId="7809" xr:uid="{00000000-0005-0000-0000-00007E1E0000}"/>
    <cellStyle name="Normal 15 25" xfId="7810" xr:uid="{00000000-0005-0000-0000-00007F1E0000}"/>
    <cellStyle name="Normal 15 25 2" xfId="7811" xr:uid="{00000000-0005-0000-0000-0000801E0000}"/>
    <cellStyle name="Normal 15 25 2 2" xfId="7812" xr:uid="{00000000-0005-0000-0000-0000811E0000}"/>
    <cellStyle name="Normal 15 25 2 3" xfId="7813" xr:uid="{00000000-0005-0000-0000-0000821E0000}"/>
    <cellStyle name="Normal 15 25 3" xfId="7814" xr:uid="{00000000-0005-0000-0000-0000831E0000}"/>
    <cellStyle name="Normal 15 25 4" xfId="7815" xr:uid="{00000000-0005-0000-0000-0000841E0000}"/>
    <cellStyle name="Normal 15 26" xfId="7816" xr:uid="{00000000-0005-0000-0000-0000851E0000}"/>
    <cellStyle name="Normal 15 26 2" xfId="7817" xr:uid="{00000000-0005-0000-0000-0000861E0000}"/>
    <cellStyle name="Normal 15 26 3" xfId="7818" xr:uid="{00000000-0005-0000-0000-0000871E0000}"/>
    <cellStyle name="Normal 15 27" xfId="7819" xr:uid="{00000000-0005-0000-0000-0000881E0000}"/>
    <cellStyle name="Normal 15 28" xfId="7820" xr:uid="{00000000-0005-0000-0000-0000891E0000}"/>
    <cellStyle name="Normal 15 3" xfId="7821" xr:uid="{00000000-0005-0000-0000-00008A1E0000}"/>
    <cellStyle name="Normal 15 3 2" xfId="7822" xr:uid="{00000000-0005-0000-0000-00008B1E0000}"/>
    <cellStyle name="Normal 15 4" xfId="7823" xr:uid="{00000000-0005-0000-0000-00008C1E0000}"/>
    <cellStyle name="Normal 15 4 2" xfId="7824" xr:uid="{00000000-0005-0000-0000-00008D1E0000}"/>
    <cellStyle name="Normal 15 4 2 2" xfId="7825" xr:uid="{00000000-0005-0000-0000-00008E1E0000}"/>
    <cellStyle name="Normal 15 4 2 3" xfId="7826" xr:uid="{00000000-0005-0000-0000-00008F1E0000}"/>
    <cellStyle name="Normal 15 4 3" xfId="7827" xr:uid="{00000000-0005-0000-0000-0000901E0000}"/>
    <cellStyle name="Normal 15 4 4" xfId="7828" xr:uid="{00000000-0005-0000-0000-0000911E0000}"/>
    <cellStyle name="Normal 15 5" xfId="7829" xr:uid="{00000000-0005-0000-0000-0000921E0000}"/>
    <cellStyle name="Normal 15 5 2" xfId="7830" xr:uid="{00000000-0005-0000-0000-0000931E0000}"/>
    <cellStyle name="Normal 15 5 2 2" xfId="7831" xr:uid="{00000000-0005-0000-0000-0000941E0000}"/>
    <cellStyle name="Normal 15 5 2 3" xfId="7832" xr:uid="{00000000-0005-0000-0000-0000951E0000}"/>
    <cellStyle name="Normal 15 5 3" xfId="7833" xr:uid="{00000000-0005-0000-0000-0000961E0000}"/>
    <cellStyle name="Normal 15 5 4" xfId="7834" xr:uid="{00000000-0005-0000-0000-0000971E0000}"/>
    <cellStyle name="Normal 15 6" xfId="7835" xr:uid="{00000000-0005-0000-0000-0000981E0000}"/>
    <cellStyle name="Normal 15 6 2" xfId="7836" xr:uid="{00000000-0005-0000-0000-0000991E0000}"/>
    <cellStyle name="Normal 15 6 2 2" xfId="7837" xr:uid="{00000000-0005-0000-0000-00009A1E0000}"/>
    <cellStyle name="Normal 15 6 2 3" xfId="7838" xr:uid="{00000000-0005-0000-0000-00009B1E0000}"/>
    <cellStyle name="Normal 15 6 3" xfId="7839" xr:uid="{00000000-0005-0000-0000-00009C1E0000}"/>
    <cellStyle name="Normal 15 6 4" xfId="7840" xr:uid="{00000000-0005-0000-0000-00009D1E0000}"/>
    <cellStyle name="Normal 15 7" xfId="7841" xr:uid="{00000000-0005-0000-0000-00009E1E0000}"/>
    <cellStyle name="Normal 15 7 2" xfId="7842" xr:uid="{00000000-0005-0000-0000-00009F1E0000}"/>
    <cellStyle name="Normal 15 7 2 2" xfId="7843" xr:uid="{00000000-0005-0000-0000-0000A01E0000}"/>
    <cellStyle name="Normal 15 7 2 3" xfId="7844" xr:uid="{00000000-0005-0000-0000-0000A11E0000}"/>
    <cellStyle name="Normal 15 7 3" xfId="7845" xr:uid="{00000000-0005-0000-0000-0000A21E0000}"/>
    <cellStyle name="Normal 15 7 4" xfId="7846" xr:uid="{00000000-0005-0000-0000-0000A31E0000}"/>
    <cellStyle name="Normal 15 8" xfId="7847" xr:uid="{00000000-0005-0000-0000-0000A41E0000}"/>
    <cellStyle name="Normal 15 8 2" xfId="7848" xr:uid="{00000000-0005-0000-0000-0000A51E0000}"/>
    <cellStyle name="Normal 15 8 2 2" xfId="7849" xr:uid="{00000000-0005-0000-0000-0000A61E0000}"/>
    <cellStyle name="Normal 15 8 2 3" xfId="7850" xr:uid="{00000000-0005-0000-0000-0000A71E0000}"/>
    <cellStyle name="Normal 15 8 3" xfId="7851" xr:uid="{00000000-0005-0000-0000-0000A81E0000}"/>
    <cellStyle name="Normal 15 8 4" xfId="7852" xr:uid="{00000000-0005-0000-0000-0000A91E0000}"/>
    <cellStyle name="Normal 15 9" xfId="7853" xr:uid="{00000000-0005-0000-0000-0000AA1E0000}"/>
    <cellStyle name="Normal 15 9 2" xfId="7854" xr:uid="{00000000-0005-0000-0000-0000AB1E0000}"/>
    <cellStyle name="Normal 15 9 2 2" xfId="7855" xr:uid="{00000000-0005-0000-0000-0000AC1E0000}"/>
    <cellStyle name="Normal 15 9 2 3" xfId="7856" xr:uid="{00000000-0005-0000-0000-0000AD1E0000}"/>
    <cellStyle name="Normal 15 9 3" xfId="7857" xr:uid="{00000000-0005-0000-0000-0000AE1E0000}"/>
    <cellStyle name="Normal 15 9 4" xfId="7858" xr:uid="{00000000-0005-0000-0000-0000AF1E0000}"/>
    <cellStyle name="Normal 150" xfId="7859" xr:uid="{00000000-0005-0000-0000-0000B01E0000}"/>
    <cellStyle name="Normal 151" xfId="7860" xr:uid="{00000000-0005-0000-0000-0000B11E0000}"/>
    <cellStyle name="Normal 152" xfId="7861" xr:uid="{00000000-0005-0000-0000-0000B21E0000}"/>
    <cellStyle name="Normal 153" xfId="7862" xr:uid="{00000000-0005-0000-0000-0000B31E0000}"/>
    <cellStyle name="Normal 154" xfId="7863" xr:uid="{00000000-0005-0000-0000-0000B41E0000}"/>
    <cellStyle name="Normal 155" xfId="7864" xr:uid="{00000000-0005-0000-0000-0000B51E0000}"/>
    <cellStyle name="Normal 156" xfId="7865" xr:uid="{00000000-0005-0000-0000-0000B61E0000}"/>
    <cellStyle name="Normal 157" xfId="7866" xr:uid="{00000000-0005-0000-0000-0000B71E0000}"/>
    <cellStyle name="Normal 158" xfId="7867" xr:uid="{00000000-0005-0000-0000-0000B81E0000}"/>
    <cellStyle name="Normal 159" xfId="7868" xr:uid="{00000000-0005-0000-0000-0000B91E0000}"/>
    <cellStyle name="Normal 16" xfId="7869" xr:uid="{00000000-0005-0000-0000-0000BA1E0000}"/>
    <cellStyle name="Normal 16 10" xfId="7870" xr:uid="{00000000-0005-0000-0000-0000BB1E0000}"/>
    <cellStyle name="Normal 16 10 2" xfId="7871" xr:uid="{00000000-0005-0000-0000-0000BC1E0000}"/>
    <cellStyle name="Normal 16 10 2 2" xfId="7872" xr:uid="{00000000-0005-0000-0000-0000BD1E0000}"/>
    <cellStyle name="Normal 16 10 2 3" xfId="7873" xr:uid="{00000000-0005-0000-0000-0000BE1E0000}"/>
    <cellStyle name="Normal 16 10 3" xfId="7874" xr:uid="{00000000-0005-0000-0000-0000BF1E0000}"/>
    <cellStyle name="Normal 16 10 4" xfId="7875" xr:uid="{00000000-0005-0000-0000-0000C01E0000}"/>
    <cellStyle name="Normal 16 11" xfId="7876" xr:uid="{00000000-0005-0000-0000-0000C11E0000}"/>
    <cellStyle name="Normal 16 11 2" xfId="7877" xr:uid="{00000000-0005-0000-0000-0000C21E0000}"/>
    <cellStyle name="Normal 16 11 2 2" xfId="7878" xr:uid="{00000000-0005-0000-0000-0000C31E0000}"/>
    <cellStyle name="Normal 16 11 2 3" xfId="7879" xr:uid="{00000000-0005-0000-0000-0000C41E0000}"/>
    <cellStyle name="Normal 16 11 3" xfId="7880" xr:uid="{00000000-0005-0000-0000-0000C51E0000}"/>
    <cellStyle name="Normal 16 11 4" xfId="7881" xr:uid="{00000000-0005-0000-0000-0000C61E0000}"/>
    <cellStyle name="Normal 16 12" xfId="7882" xr:uid="{00000000-0005-0000-0000-0000C71E0000}"/>
    <cellStyle name="Normal 16 12 2" xfId="7883" xr:uid="{00000000-0005-0000-0000-0000C81E0000}"/>
    <cellStyle name="Normal 16 12 2 2" xfId="7884" xr:uid="{00000000-0005-0000-0000-0000C91E0000}"/>
    <cellStyle name="Normal 16 12 2 3" xfId="7885" xr:uid="{00000000-0005-0000-0000-0000CA1E0000}"/>
    <cellStyle name="Normal 16 12 3" xfId="7886" xr:uid="{00000000-0005-0000-0000-0000CB1E0000}"/>
    <cellStyle name="Normal 16 12 4" xfId="7887" xr:uid="{00000000-0005-0000-0000-0000CC1E0000}"/>
    <cellStyle name="Normal 16 13" xfId="7888" xr:uid="{00000000-0005-0000-0000-0000CD1E0000}"/>
    <cellStyle name="Normal 16 13 2" xfId="7889" xr:uid="{00000000-0005-0000-0000-0000CE1E0000}"/>
    <cellStyle name="Normal 16 13 2 2" xfId="7890" xr:uid="{00000000-0005-0000-0000-0000CF1E0000}"/>
    <cellStyle name="Normal 16 13 2 3" xfId="7891" xr:uid="{00000000-0005-0000-0000-0000D01E0000}"/>
    <cellStyle name="Normal 16 13 3" xfId="7892" xr:uid="{00000000-0005-0000-0000-0000D11E0000}"/>
    <cellStyle name="Normal 16 13 4" xfId="7893" xr:uid="{00000000-0005-0000-0000-0000D21E0000}"/>
    <cellStyle name="Normal 16 14" xfId="7894" xr:uid="{00000000-0005-0000-0000-0000D31E0000}"/>
    <cellStyle name="Normal 16 14 2" xfId="7895" xr:uid="{00000000-0005-0000-0000-0000D41E0000}"/>
    <cellStyle name="Normal 16 14 2 2" xfId="7896" xr:uid="{00000000-0005-0000-0000-0000D51E0000}"/>
    <cellStyle name="Normal 16 14 2 3" xfId="7897" xr:uid="{00000000-0005-0000-0000-0000D61E0000}"/>
    <cellStyle name="Normal 16 14 3" xfId="7898" xr:uid="{00000000-0005-0000-0000-0000D71E0000}"/>
    <cellStyle name="Normal 16 14 4" xfId="7899" xr:uid="{00000000-0005-0000-0000-0000D81E0000}"/>
    <cellStyle name="Normal 16 15" xfId="7900" xr:uid="{00000000-0005-0000-0000-0000D91E0000}"/>
    <cellStyle name="Normal 16 15 2" xfId="7901" xr:uid="{00000000-0005-0000-0000-0000DA1E0000}"/>
    <cellStyle name="Normal 16 15 2 2" xfId="7902" xr:uid="{00000000-0005-0000-0000-0000DB1E0000}"/>
    <cellStyle name="Normal 16 15 2 3" xfId="7903" xr:uid="{00000000-0005-0000-0000-0000DC1E0000}"/>
    <cellStyle name="Normal 16 15 3" xfId="7904" xr:uid="{00000000-0005-0000-0000-0000DD1E0000}"/>
    <cellStyle name="Normal 16 15 4" xfId="7905" xr:uid="{00000000-0005-0000-0000-0000DE1E0000}"/>
    <cellStyle name="Normal 16 16" xfId="7906" xr:uid="{00000000-0005-0000-0000-0000DF1E0000}"/>
    <cellStyle name="Normal 16 16 2" xfId="7907" xr:uid="{00000000-0005-0000-0000-0000E01E0000}"/>
    <cellStyle name="Normal 16 16 2 2" xfId="7908" xr:uid="{00000000-0005-0000-0000-0000E11E0000}"/>
    <cellStyle name="Normal 16 16 2 3" xfId="7909" xr:uid="{00000000-0005-0000-0000-0000E21E0000}"/>
    <cellStyle name="Normal 16 16 3" xfId="7910" xr:uid="{00000000-0005-0000-0000-0000E31E0000}"/>
    <cellStyle name="Normal 16 16 4" xfId="7911" xr:uid="{00000000-0005-0000-0000-0000E41E0000}"/>
    <cellStyle name="Normal 16 17" xfId="7912" xr:uid="{00000000-0005-0000-0000-0000E51E0000}"/>
    <cellStyle name="Normal 16 17 2" xfId="7913" xr:uid="{00000000-0005-0000-0000-0000E61E0000}"/>
    <cellStyle name="Normal 16 17 2 2" xfId="7914" xr:uid="{00000000-0005-0000-0000-0000E71E0000}"/>
    <cellStyle name="Normal 16 17 2 3" xfId="7915" xr:uid="{00000000-0005-0000-0000-0000E81E0000}"/>
    <cellStyle name="Normal 16 17 3" xfId="7916" xr:uid="{00000000-0005-0000-0000-0000E91E0000}"/>
    <cellStyle name="Normal 16 17 4" xfId="7917" xr:uid="{00000000-0005-0000-0000-0000EA1E0000}"/>
    <cellStyle name="Normal 16 18" xfId="7918" xr:uid="{00000000-0005-0000-0000-0000EB1E0000}"/>
    <cellStyle name="Normal 16 18 2" xfId="7919" xr:uid="{00000000-0005-0000-0000-0000EC1E0000}"/>
    <cellStyle name="Normal 16 18 2 2" xfId="7920" xr:uid="{00000000-0005-0000-0000-0000ED1E0000}"/>
    <cellStyle name="Normal 16 18 2 3" xfId="7921" xr:uid="{00000000-0005-0000-0000-0000EE1E0000}"/>
    <cellStyle name="Normal 16 18 3" xfId="7922" xr:uid="{00000000-0005-0000-0000-0000EF1E0000}"/>
    <cellStyle name="Normal 16 18 4" xfId="7923" xr:uid="{00000000-0005-0000-0000-0000F01E0000}"/>
    <cellStyle name="Normal 16 19" xfId="7924" xr:uid="{00000000-0005-0000-0000-0000F11E0000}"/>
    <cellStyle name="Normal 16 19 2" xfId="7925" xr:uid="{00000000-0005-0000-0000-0000F21E0000}"/>
    <cellStyle name="Normal 16 19 2 2" xfId="7926" xr:uid="{00000000-0005-0000-0000-0000F31E0000}"/>
    <cellStyle name="Normal 16 19 2 3" xfId="7927" xr:uid="{00000000-0005-0000-0000-0000F41E0000}"/>
    <cellStyle name="Normal 16 19 3" xfId="7928" xr:uid="{00000000-0005-0000-0000-0000F51E0000}"/>
    <cellStyle name="Normal 16 19 4" xfId="7929" xr:uid="{00000000-0005-0000-0000-0000F61E0000}"/>
    <cellStyle name="Normal 16 2" xfId="7930" xr:uid="{00000000-0005-0000-0000-0000F71E0000}"/>
    <cellStyle name="Normal 16 2 2" xfId="7931" xr:uid="{00000000-0005-0000-0000-0000F81E0000}"/>
    <cellStyle name="Normal 16 20" xfId="7932" xr:uid="{00000000-0005-0000-0000-0000F91E0000}"/>
    <cellStyle name="Normal 16 20 2" xfId="7933" xr:uid="{00000000-0005-0000-0000-0000FA1E0000}"/>
    <cellStyle name="Normal 16 20 2 2" xfId="7934" xr:uid="{00000000-0005-0000-0000-0000FB1E0000}"/>
    <cellStyle name="Normal 16 20 2 3" xfId="7935" xr:uid="{00000000-0005-0000-0000-0000FC1E0000}"/>
    <cellStyle name="Normal 16 20 3" xfId="7936" xr:uid="{00000000-0005-0000-0000-0000FD1E0000}"/>
    <cellStyle name="Normal 16 20 4" xfId="7937" xr:uid="{00000000-0005-0000-0000-0000FE1E0000}"/>
    <cellStyle name="Normal 16 21" xfId="7938" xr:uid="{00000000-0005-0000-0000-0000FF1E0000}"/>
    <cellStyle name="Normal 16 21 2" xfId="7939" xr:uid="{00000000-0005-0000-0000-0000001F0000}"/>
    <cellStyle name="Normal 16 21 2 2" xfId="7940" xr:uid="{00000000-0005-0000-0000-0000011F0000}"/>
    <cellStyle name="Normal 16 21 2 3" xfId="7941" xr:uid="{00000000-0005-0000-0000-0000021F0000}"/>
    <cellStyle name="Normal 16 21 3" xfId="7942" xr:uid="{00000000-0005-0000-0000-0000031F0000}"/>
    <cellStyle name="Normal 16 21 4" xfId="7943" xr:uid="{00000000-0005-0000-0000-0000041F0000}"/>
    <cellStyle name="Normal 16 22" xfId="7944" xr:uid="{00000000-0005-0000-0000-0000051F0000}"/>
    <cellStyle name="Normal 16 22 2" xfId="7945" xr:uid="{00000000-0005-0000-0000-0000061F0000}"/>
    <cellStyle name="Normal 16 22 2 2" xfId="7946" xr:uid="{00000000-0005-0000-0000-0000071F0000}"/>
    <cellStyle name="Normal 16 22 2 3" xfId="7947" xr:uid="{00000000-0005-0000-0000-0000081F0000}"/>
    <cellStyle name="Normal 16 22 3" xfId="7948" xr:uid="{00000000-0005-0000-0000-0000091F0000}"/>
    <cellStyle name="Normal 16 22 4" xfId="7949" xr:uid="{00000000-0005-0000-0000-00000A1F0000}"/>
    <cellStyle name="Normal 16 23" xfId="7950" xr:uid="{00000000-0005-0000-0000-00000B1F0000}"/>
    <cellStyle name="Normal 16 23 2" xfId="7951" xr:uid="{00000000-0005-0000-0000-00000C1F0000}"/>
    <cellStyle name="Normal 16 23 2 2" xfId="7952" xr:uid="{00000000-0005-0000-0000-00000D1F0000}"/>
    <cellStyle name="Normal 16 23 2 3" xfId="7953" xr:uid="{00000000-0005-0000-0000-00000E1F0000}"/>
    <cellStyle name="Normal 16 23 3" xfId="7954" xr:uid="{00000000-0005-0000-0000-00000F1F0000}"/>
    <cellStyle name="Normal 16 23 4" xfId="7955" xr:uid="{00000000-0005-0000-0000-0000101F0000}"/>
    <cellStyle name="Normal 16 24" xfId="7956" xr:uid="{00000000-0005-0000-0000-0000111F0000}"/>
    <cellStyle name="Normal 16 24 2" xfId="7957" xr:uid="{00000000-0005-0000-0000-0000121F0000}"/>
    <cellStyle name="Normal 16 24 2 2" xfId="7958" xr:uid="{00000000-0005-0000-0000-0000131F0000}"/>
    <cellStyle name="Normal 16 24 2 3" xfId="7959" xr:uid="{00000000-0005-0000-0000-0000141F0000}"/>
    <cellStyle name="Normal 16 24 3" xfId="7960" xr:uid="{00000000-0005-0000-0000-0000151F0000}"/>
    <cellStyle name="Normal 16 24 4" xfId="7961" xr:uid="{00000000-0005-0000-0000-0000161F0000}"/>
    <cellStyle name="Normal 16 25" xfId="7962" xr:uid="{00000000-0005-0000-0000-0000171F0000}"/>
    <cellStyle name="Normal 16 25 2" xfId="7963" xr:uid="{00000000-0005-0000-0000-0000181F0000}"/>
    <cellStyle name="Normal 16 25 2 2" xfId="7964" xr:uid="{00000000-0005-0000-0000-0000191F0000}"/>
    <cellStyle name="Normal 16 25 2 3" xfId="7965" xr:uid="{00000000-0005-0000-0000-00001A1F0000}"/>
    <cellStyle name="Normal 16 25 3" xfId="7966" xr:uid="{00000000-0005-0000-0000-00001B1F0000}"/>
    <cellStyle name="Normal 16 25 4" xfId="7967" xr:uid="{00000000-0005-0000-0000-00001C1F0000}"/>
    <cellStyle name="Normal 16 26" xfId="7968" xr:uid="{00000000-0005-0000-0000-00001D1F0000}"/>
    <cellStyle name="Normal 16 26 2" xfId="7969" xr:uid="{00000000-0005-0000-0000-00001E1F0000}"/>
    <cellStyle name="Normal 16 26 3" xfId="7970" xr:uid="{00000000-0005-0000-0000-00001F1F0000}"/>
    <cellStyle name="Normal 16 27" xfId="7971" xr:uid="{00000000-0005-0000-0000-0000201F0000}"/>
    <cellStyle name="Normal 16 28" xfId="7972" xr:uid="{00000000-0005-0000-0000-0000211F0000}"/>
    <cellStyle name="Normal 16 3" xfId="7973" xr:uid="{00000000-0005-0000-0000-0000221F0000}"/>
    <cellStyle name="Normal 16 3 2" xfId="7974" xr:uid="{00000000-0005-0000-0000-0000231F0000}"/>
    <cellStyle name="Normal 16 4" xfId="7975" xr:uid="{00000000-0005-0000-0000-0000241F0000}"/>
    <cellStyle name="Normal 16 4 2" xfId="7976" xr:uid="{00000000-0005-0000-0000-0000251F0000}"/>
    <cellStyle name="Normal 16 4 2 2" xfId="7977" xr:uid="{00000000-0005-0000-0000-0000261F0000}"/>
    <cellStyle name="Normal 16 4 2 3" xfId="7978" xr:uid="{00000000-0005-0000-0000-0000271F0000}"/>
    <cellStyle name="Normal 16 4 3" xfId="7979" xr:uid="{00000000-0005-0000-0000-0000281F0000}"/>
    <cellStyle name="Normal 16 4 4" xfId="7980" xr:uid="{00000000-0005-0000-0000-0000291F0000}"/>
    <cellStyle name="Normal 16 5" xfId="7981" xr:uid="{00000000-0005-0000-0000-00002A1F0000}"/>
    <cellStyle name="Normal 16 5 2" xfId="7982" xr:uid="{00000000-0005-0000-0000-00002B1F0000}"/>
    <cellStyle name="Normal 16 5 2 2" xfId="7983" xr:uid="{00000000-0005-0000-0000-00002C1F0000}"/>
    <cellStyle name="Normal 16 5 2 3" xfId="7984" xr:uid="{00000000-0005-0000-0000-00002D1F0000}"/>
    <cellStyle name="Normal 16 5 3" xfId="7985" xr:uid="{00000000-0005-0000-0000-00002E1F0000}"/>
    <cellStyle name="Normal 16 5 4" xfId="7986" xr:uid="{00000000-0005-0000-0000-00002F1F0000}"/>
    <cellStyle name="Normal 16 6" xfId="7987" xr:uid="{00000000-0005-0000-0000-0000301F0000}"/>
    <cellStyle name="Normal 16 6 2" xfId="7988" xr:uid="{00000000-0005-0000-0000-0000311F0000}"/>
    <cellStyle name="Normal 16 6 2 2" xfId="7989" xr:uid="{00000000-0005-0000-0000-0000321F0000}"/>
    <cellStyle name="Normal 16 6 2 3" xfId="7990" xr:uid="{00000000-0005-0000-0000-0000331F0000}"/>
    <cellStyle name="Normal 16 6 3" xfId="7991" xr:uid="{00000000-0005-0000-0000-0000341F0000}"/>
    <cellStyle name="Normal 16 6 4" xfId="7992" xr:uid="{00000000-0005-0000-0000-0000351F0000}"/>
    <cellStyle name="Normal 16 7" xfId="7993" xr:uid="{00000000-0005-0000-0000-0000361F0000}"/>
    <cellStyle name="Normal 16 7 2" xfId="7994" xr:uid="{00000000-0005-0000-0000-0000371F0000}"/>
    <cellStyle name="Normal 16 7 2 2" xfId="7995" xr:uid="{00000000-0005-0000-0000-0000381F0000}"/>
    <cellStyle name="Normal 16 7 2 3" xfId="7996" xr:uid="{00000000-0005-0000-0000-0000391F0000}"/>
    <cellStyle name="Normal 16 7 3" xfId="7997" xr:uid="{00000000-0005-0000-0000-00003A1F0000}"/>
    <cellStyle name="Normal 16 7 4" xfId="7998" xr:uid="{00000000-0005-0000-0000-00003B1F0000}"/>
    <cellStyle name="Normal 16 8" xfId="7999" xr:uid="{00000000-0005-0000-0000-00003C1F0000}"/>
    <cellStyle name="Normal 16 8 2" xfId="8000" xr:uid="{00000000-0005-0000-0000-00003D1F0000}"/>
    <cellStyle name="Normal 16 8 2 2" xfId="8001" xr:uid="{00000000-0005-0000-0000-00003E1F0000}"/>
    <cellStyle name="Normal 16 8 2 3" xfId="8002" xr:uid="{00000000-0005-0000-0000-00003F1F0000}"/>
    <cellStyle name="Normal 16 8 3" xfId="8003" xr:uid="{00000000-0005-0000-0000-0000401F0000}"/>
    <cellStyle name="Normal 16 8 4" xfId="8004" xr:uid="{00000000-0005-0000-0000-0000411F0000}"/>
    <cellStyle name="Normal 16 9" xfId="8005" xr:uid="{00000000-0005-0000-0000-0000421F0000}"/>
    <cellStyle name="Normal 16 9 2" xfId="8006" xr:uid="{00000000-0005-0000-0000-0000431F0000}"/>
    <cellStyle name="Normal 16 9 2 2" xfId="8007" xr:uid="{00000000-0005-0000-0000-0000441F0000}"/>
    <cellStyle name="Normal 16 9 2 3" xfId="8008" xr:uid="{00000000-0005-0000-0000-0000451F0000}"/>
    <cellStyle name="Normal 16 9 3" xfId="8009" xr:uid="{00000000-0005-0000-0000-0000461F0000}"/>
    <cellStyle name="Normal 16 9 4" xfId="8010" xr:uid="{00000000-0005-0000-0000-0000471F0000}"/>
    <cellStyle name="Normal 160" xfId="8011" xr:uid="{00000000-0005-0000-0000-0000481F0000}"/>
    <cellStyle name="Normal 161" xfId="8012" xr:uid="{00000000-0005-0000-0000-0000491F0000}"/>
    <cellStyle name="Normal 162" xfId="8013" xr:uid="{00000000-0005-0000-0000-00004A1F0000}"/>
    <cellStyle name="Normal 163" xfId="8014" xr:uid="{00000000-0005-0000-0000-00004B1F0000}"/>
    <cellStyle name="Normal 164" xfId="8015" xr:uid="{00000000-0005-0000-0000-00004C1F0000}"/>
    <cellStyle name="Normal 165" xfId="8016" xr:uid="{00000000-0005-0000-0000-00004D1F0000}"/>
    <cellStyle name="Normal 166" xfId="8017" xr:uid="{00000000-0005-0000-0000-00004E1F0000}"/>
    <cellStyle name="Normal 167" xfId="8018" xr:uid="{00000000-0005-0000-0000-00004F1F0000}"/>
    <cellStyle name="Normal 168" xfId="8019" xr:uid="{00000000-0005-0000-0000-0000501F0000}"/>
    <cellStyle name="Normal 169" xfId="8020" xr:uid="{00000000-0005-0000-0000-0000511F0000}"/>
    <cellStyle name="Normal 17" xfId="8021" xr:uid="{00000000-0005-0000-0000-0000521F0000}"/>
    <cellStyle name="Normal 17 10" xfId="8022" xr:uid="{00000000-0005-0000-0000-0000531F0000}"/>
    <cellStyle name="Normal 17 10 2" xfId="8023" xr:uid="{00000000-0005-0000-0000-0000541F0000}"/>
    <cellStyle name="Normal 17 10 2 2" xfId="8024" xr:uid="{00000000-0005-0000-0000-0000551F0000}"/>
    <cellStyle name="Normal 17 10 2 3" xfId="8025" xr:uid="{00000000-0005-0000-0000-0000561F0000}"/>
    <cellStyle name="Normal 17 10 3" xfId="8026" xr:uid="{00000000-0005-0000-0000-0000571F0000}"/>
    <cellStyle name="Normal 17 10 4" xfId="8027" xr:uid="{00000000-0005-0000-0000-0000581F0000}"/>
    <cellStyle name="Normal 17 11" xfId="8028" xr:uid="{00000000-0005-0000-0000-0000591F0000}"/>
    <cellStyle name="Normal 17 11 2" xfId="8029" xr:uid="{00000000-0005-0000-0000-00005A1F0000}"/>
    <cellStyle name="Normal 17 11 2 2" xfId="8030" xr:uid="{00000000-0005-0000-0000-00005B1F0000}"/>
    <cellStyle name="Normal 17 11 2 3" xfId="8031" xr:uid="{00000000-0005-0000-0000-00005C1F0000}"/>
    <cellStyle name="Normal 17 11 3" xfId="8032" xr:uid="{00000000-0005-0000-0000-00005D1F0000}"/>
    <cellStyle name="Normal 17 11 4" xfId="8033" xr:uid="{00000000-0005-0000-0000-00005E1F0000}"/>
    <cellStyle name="Normal 17 12" xfId="8034" xr:uid="{00000000-0005-0000-0000-00005F1F0000}"/>
    <cellStyle name="Normal 17 12 2" xfId="8035" xr:uid="{00000000-0005-0000-0000-0000601F0000}"/>
    <cellStyle name="Normal 17 12 2 2" xfId="8036" xr:uid="{00000000-0005-0000-0000-0000611F0000}"/>
    <cellStyle name="Normal 17 12 2 3" xfId="8037" xr:uid="{00000000-0005-0000-0000-0000621F0000}"/>
    <cellStyle name="Normal 17 12 3" xfId="8038" xr:uid="{00000000-0005-0000-0000-0000631F0000}"/>
    <cellStyle name="Normal 17 12 4" xfId="8039" xr:uid="{00000000-0005-0000-0000-0000641F0000}"/>
    <cellStyle name="Normal 17 13" xfId="8040" xr:uid="{00000000-0005-0000-0000-0000651F0000}"/>
    <cellStyle name="Normal 17 13 2" xfId="8041" xr:uid="{00000000-0005-0000-0000-0000661F0000}"/>
    <cellStyle name="Normal 17 13 2 2" xfId="8042" xr:uid="{00000000-0005-0000-0000-0000671F0000}"/>
    <cellStyle name="Normal 17 13 2 3" xfId="8043" xr:uid="{00000000-0005-0000-0000-0000681F0000}"/>
    <cellStyle name="Normal 17 13 3" xfId="8044" xr:uid="{00000000-0005-0000-0000-0000691F0000}"/>
    <cellStyle name="Normal 17 13 4" xfId="8045" xr:uid="{00000000-0005-0000-0000-00006A1F0000}"/>
    <cellStyle name="Normal 17 14" xfId="8046" xr:uid="{00000000-0005-0000-0000-00006B1F0000}"/>
    <cellStyle name="Normal 17 14 2" xfId="8047" xr:uid="{00000000-0005-0000-0000-00006C1F0000}"/>
    <cellStyle name="Normal 17 14 2 2" xfId="8048" xr:uid="{00000000-0005-0000-0000-00006D1F0000}"/>
    <cellStyle name="Normal 17 14 2 3" xfId="8049" xr:uid="{00000000-0005-0000-0000-00006E1F0000}"/>
    <cellStyle name="Normal 17 14 3" xfId="8050" xr:uid="{00000000-0005-0000-0000-00006F1F0000}"/>
    <cellStyle name="Normal 17 14 4" xfId="8051" xr:uid="{00000000-0005-0000-0000-0000701F0000}"/>
    <cellStyle name="Normal 17 15" xfId="8052" xr:uid="{00000000-0005-0000-0000-0000711F0000}"/>
    <cellStyle name="Normal 17 15 2" xfId="8053" xr:uid="{00000000-0005-0000-0000-0000721F0000}"/>
    <cellStyle name="Normal 17 15 2 2" xfId="8054" xr:uid="{00000000-0005-0000-0000-0000731F0000}"/>
    <cellStyle name="Normal 17 15 2 3" xfId="8055" xr:uid="{00000000-0005-0000-0000-0000741F0000}"/>
    <cellStyle name="Normal 17 15 3" xfId="8056" xr:uid="{00000000-0005-0000-0000-0000751F0000}"/>
    <cellStyle name="Normal 17 15 4" xfId="8057" xr:uid="{00000000-0005-0000-0000-0000761F0000}"/>
    <cellStyle name="Normal 17 16" xfId="8058" xr:uid="{00000000-0005-0000-0000-0000771F0000}"/>
    <cellStyle name="Normal 17 16 2" xfId="8059" xr:uid="{00000000-0005-0000-0000-0000781F0000}"/>
    <cellStyle name="Normal 17 16 2 2" xfId="8060" xr:uid="{00000000-0005-0000-0000-0000791F0000}"/>
    <cellStyle name="Normal 17 16 2 3" xfId="8061" xr:uid="{00000000-0005-0000-0000-00007A1F0000}"/>
    <cellStyle name="Normal 17 16 3" xfId="8062" xr:uid="{00000000-0005-0000-0000-00007B1F0000}"/>
    <cellStyle name="Normal 17 16 4" xfId="8063" xr:uid="{00000000-0005-0000-0000-00007C1F0000}"/>
    <cellStyle name="Normal 17 17" xfId="8064" xr:uid="{00000000-0005-0000-0000-00007D1F0000}"/>
    <cellStyle name="Normal 17 17 2" xfId="8065" xr:uid="{00000000-0005-0000-0000-00007E1F0000}"/>
    <cellStyle name="Normal 17 17 2 2" xfId="8066" xr:uid="{00000000-0005-0000-0000-00007F1F0000}"/>
    <cellStyle name="Normal 17 17 2 3" xfId="8067" xr:uid="{00000000-0005-0000-0000-0000801F0000}"/>
    <cellStyle name="Normal 17 17 3" xfId="8068" xr:uid="{00000000-0005-0000-0000-0000811F0000}"/>
    <cellStyle name="Normal 17 17 4" xfId="8069" xr:uid="{00000000-0005-0000-0000-0000821F0000}"/>
    <cellStyle name="Normal 17 18" xfId="8070" xr:uid="{00000000-0005-0000-0000-0000831F0000}"/>
    <cellStyle name="Normal 17 18 2" xfId="8071" xr:uid="{00000000-0005-0000-0000-0000841F0000}"/>
    <cellStyle name="Normal 17 18 2 2" xfId="8072" xr:uid="{00000000-0005-0000-0000-0000851F0000}"/>
    <cellStyle name="Normal 17 18 2 3" xfId="8073" xr:uid="{00000000-0005-0000-0000-0000861F0000}"/>
    <cellStyle name="Normal 17 18 3" xfId="8074" xr:uid="{00000000-0005-0000-0000-0000871F0000}"/>
    <cellStyle name="Normal 17 18 4" xfId="8075" xr:uid="{00000000-0005-0000-0000-0000881F0000}"/>
    <cellStyle name="Normal 17 19" xfId="8076" xr:uid="{00000000-0005-0000-0000-0000891F0000}"/>
    <cellStyle name="Normal 17 19 2" xfId="8077" xr:uid="{00000000-0005-0000-0000-00008A1F0000}"/>
    <cellStyle name="Normal 17 19 2 2" xfId="8078" xr:uid="{00000000-0005-0000-0000-00008B1F0000}"/>
    <cellStyle name="Normal 17 19 2 3" xfId="8079" xr:uid="{00000000-0005-0000-0000-00008C1F0000}"/>
    <cellStyle name="Normal 17 19 3" xfId="8080" xr:uid="{00000000-0005-0000-0000-00008D1F0000}"/>
    <cellStyle name="Normal 17 19 4" xfId="8081" xr:uid="{00000000-0005-0000-0000-00008E1F0000}"/>
    <cellStyle name="Normal 17 2" xfId="8082" xr:uid="{00000000-0005-0000-0000-00008F1F0000}"/>
    <cellStyle name="Normal 17 2 2" xfId="8083" xr:uid="{00000000-0005-0000-0000-0000901F0000}"/>
    <cellStyle name="Normal 17 20" xfId="8084" xr:uid="{00000000-0005-0000-0000-0000911F0000}"/>
    <cellStyle name="Normal 17 20 2" xfId="8085" xr:uid="{00000000-0005-0000-0000-0000921F0000}"/>
    <cellStyle name="Normal 17 20 2 2" xfId="8086" xr:uid="{00000000-0005-0000-0000-0000931F0000}"/>
    <cellStyle name="Normal 17 20 2 3" xfId="8087" xr:uid="{00000000-0005-0000-0000-0000941F0000}"/>
    <cellStyle name="Normal 17 20 3" xfId="8088" xr:uid="{00000000-0005-0000-0000-0000951F0000}"/>
    <cellStyle name="Normal 17 20 4" xfId="8089" xr:uid="{00000000-0005-0000-0000-0000961F0000}"/>
    <cellStyle name="Normal 17 21" xfId="8090" xr:uid="{00000000-0005-0000-0000-0000971F0000}"/>
    <cellStyle name="Normal 17 21 2" xfId="8091" xr:uid="{00000000-0005-0000-0000-0000981F0000}"/>
    <cellStyle name="Normal 17 21 2 2" xfId="8092" xr:uid="{00000000-0005-0000-0000-0000991F0000}"/>
    <cellStyle name="Normal 17 21 2 3" xfId="8093" xr:uid="{00000000-0005-0000-0000-00009A1F0000}"/>
    <cellStyle name="Normal 17 21 3" xfId="8094" xr:uid="{00000000-0005-0000-0000-00009B1F0000}"/>
    <cellStyle name="Normal 17 21 4" xfId="8095" xr:uid="{00000000-0005-0000-0000-00009C1F0000}"/>
    <cellStyle name="Normal 17 22" xfId="8096" xr:uid="{00000000-0005-0000-0000-00009D1F0000}"/>
    <cellStyle name="Normal 17 22 2" xfId="8097" xr:uid="{00000000-0005-0000-0000-00009E1F0000}"/>
    <cellStyle name="Normal 17 22 2 2" xfId="8098" xr:uid="{00000000-0005-0000-0000-00009F1F0000}"/>
    <cellStyle name="Normal 17 22 2 3" xfId="8099" xr:uid="{00000000-0005-0000-0000-0000A01F0000}"/>
    <cellStyle name="Normal 17 22 3" xfId="8100" xr:uid="{00000000-0005-0000-0000-0000A11F0000}"/>
    <cellStyle name="Normal 17 22 4" xfId="8101" xr:uid="{00000000-0005-0000-0000-0000A21F0000}"/>
    <cellStyle name="Normal 17 23" xfId="8102" xr:uid="{00000000-0005-0000-0000-0000A31F0000}"/>
    <cellStyle name="Normal 17 23 2" xfId="8103" xr:uid="{00000000-0005-0000-0000-0000A41F0000}"/>
    <cellStyle name="Normal 17 23 2 2" xfId="8104" xr:uid="{00000000-0005-0000-0000-0000A51F0000}"/>
    <cellStyle name="Normal 17 23 2 3" xfId="8105" xr:uid="{00000000-0005-0000-0000-0000A61F0000}"/>
    <cellStyle name="Normal 17 23 3" xfId="8106" xr:uid="{00000000-0005-0000-0000-0000A71F0000}"/>
    <cellStyle name="Normal 17 23 4" xfId="8107" xr:uid="{00000000-0005-0000-0000-0000A81F0000}"/>
    <cellStyle name="Normal 17 24" xfId="8108" xr:uid="{00000000-0005-0000-0000-0000A91F0000}"/>
    <cellStyle name="Normal 17 24 2" xfId="8109" xr:uid="{00000000-0005-0000-0000-0000AA1F0000}"/>
    <cellStyle name="Normal 17 24 2 2" xfId="8110" xr:uid="{00000000-0005-0000-0000-0000AB1F0000}"/>
    <cellStyle name="Normal 17 24 2 3" xfId="8111" xr:uid="{00000000-0005-0000-0000-0000AC1F0000}"/>
    <cellStyle name="Normal 17 24 3" xfId="8112" xr:uid="{00000000-0005-0000-0000-0000AD1F0000}"/>
    <cellStyle name="Normal 17 24 4" xfId="8113" xr:uid="{00000000-0005-0000-0000-0000AE1F0000}"/>
    <cellStyle name="Normal 17 25" xfId="8114" xr:uid="{00000000-0005-0000-0000-0000AF1F0000}"/>
    <cellStyle name="Normal 17 25 2" xfId="8115" xr:uid="{00000000-0005-0000-0000-0000B01F0000}"/>
    <cellStyle name="Normal 17 25 2 2" xfId="8116" xr:uid="{00000000-0005-0000-0000-0000B11F0000}"/>
    <cellStyle name="Normal 17 25 2 3" xfId="8117" xr:uid="{00000000-0005-0000-0000-0000B21F0000}"/>
    <cellStyle name="Normal 17 25 3" xfId="8118" xr:uid="{00000000-0005-0000-0000-0000B31F0000}"/>
    <cellStyle name="Normal 17 25 4" xfId="8119" xr:uid="{00000000-0005-0000-0000-0000B41F0000}"/>
    <cellStyle name="Normal 17 26" xfId="8120" xr:uid="{00000000-0005-0000-0000-0000B51F0000}"/>
    <cellStyle name="Normal 17 26 2" xfId="8121" xr:uid="{00000000-0005-0000-0000-0000B61F0000}"/>
    <cellStyle name="Normal 17 26 3" xfId="8122" xr:uid="{00000000-0005-0000-0000-0000B71F0000}"/>
    <cellStyle name="Normal 17 27" xfId="8123" xr:uid="{00000000-0005-0000-0000-0000B81F0000}"/>
    <cellStyle name="Normal 17 28" xfId="8124" xr:uid="{00000000-0005-0000-0000-0000B91F0000}"/>
    <cellStyle name="Normal 17 3" xfId="8125" xr:uid="{00000000-0005-0000-0000-0000BA1F0000}"/>
    <cellStyle name="Normal 17 3 2" xfId="8126" xr:uid="{00000000-0005-0000-0000-0000BB1F0000}"/>
    <cellStyle name="Normal 17 4" xfId="8127" xr:uid="{00000000-0005-0000-0000-0000BC1F0000}"/>
    <cellStyle name="Normal 17 4 2" xfId="8128" xr:uid="{00000000-0005-0000-0000-0000BD1F0000}"/>
    <cellStyle name="Normal 17 4 2 2" xfId="8129" xr:uid="{00000000-0005-0000-0000-0000BE1F0000}"/>
    <cellStyle name="Normal 17 4 2 3" xfId="8130" xr:uid="{00000000-0005-0000-0000-0000BF1F0000}"/>
    <cellStyle name="Normal 17 4 3" xfId="8131" xr:uid="{00000000-0005-0000-0000-0000C01F0000}"/>
    <cellStyle name="Normal 17 4 4" xfId="8132" xr:uid="{00000000-0005-0000-0000-0000C11F0000}"/>
    <cellStyle name="Normal 17 5" xfId="8133" xr:uid="{00000000-0005-0000-0000-0000C21F0000}"/>
    <cellStyle name="Normal 17 5 2" xfId="8134" xr:uid="{00000000-0005-0000-0000-0000C31F0000}"/>
    <cellStyle name="Normal 17 5 2 2" xfId="8135" xr:uid="{00000000-0005-0000-0000-0000C41F0000}"/>
    <cellStyle name="Normal 17 5 2 3" xfId="8136" xr:uid="{00000000-0005-0000-0000-0000C51F0000}"/>
    <cellStyle name="Normal 17 5 3" xfId="8137" xr:uid="{00000000-0005-0000-0000-0000C61F0000}"/>
    <cellStyle name="Normal 17 5 4" xfId="8138" xr:uid="{00000000-0005-0000-0000-0000C71F0000}"/>
    <cellStyle name="Normal 17 6" xfId="8139" xr:uid="{00000000-0005-0000-0000-0000C81F0000}"/>
    <cellStyle name="Normal 17 6 2" xfId="8140" xr:uid="{00000000-0005-0000-0000-0000C91F0000}"/>
    <cellStyle name="Normal 17 6 2 2" xfId="8141" xr:uid="{00000000-0005-0000-0000-0000CA1F0000}"/>
    <cellStyle name="Normal 17 6 2 3" xfId="8142" xr:uid="{00000000-0005-0000-0000-0000CB1F0000}"/>
    <cellStyle name="Normal 17 6 3" xfId="8143" xr:uid="{00000000-0005-0000-0000-0000CC1F0000}"/>
    <cellStyle name="Normal 17 6 4" xfId="8144" xr:uid="{00000000-0005-0000-0000-0000CD1F0000}"/>
    <cellStyle name="Normal 17 7" xfId="8145" xr:uid="{00000000-0005-0000-0000-0000CE1F0000}"/>
    <cellStyle name="Normal 17 7 2" xfId="8146" xr:uid="{00000000-0005-0000-0000-0000CF1F0000}"/>
    <cellStyle name="Normal 17 7 2 2" xfId="8147" xr:uid="{00000000-0005-0000-0000-0000D01F0000}"/>
    <cellStyle name="Normal 17 7 2 3" xfId="8148" xr:uid="{00000000-0005-0000-0000-0000D11F0000}"/>
    <cellStyle name="Normal 17 7 3" xfId="8149" xr:uid="{00000000-0005-0000-0000-0000D21F0000}"/>
    <cellStyle name="Normal 17 7 4" xfId="8150" xr:uid="{00000000-0005-0000-0000-0000D31F0000}"/>
    <cellStyle name="Normal 17 8" xfId="8151" xr:uid="{00000000-0005-0000-0000-0000D41F0000}"/>
    <cellStyle name="Normal 17 8 2" xfId="8152" xr:uid="{00000000-0005-0000-0000-0000D51F0000}"/>
    <cellStyle name="Normal 17 8 2 2" xfId="8153" xr:uid="{00000000-0005-0000-0000-0000D61F0000}"/>
    <cellStyle name="Normal 17 8 2 3" xfId="8154" xr:uid="{00000000-0005-0000-0000-0000D71F0000}"/>
    <cellStyle name="Normal 17 8 3" xfId="8155" xr:uid="{00000000-0005-0000-0000-0000D81F0000}"/>
    <cellStyle name="Normal 17 8 4" xfId="8156" xr:uid="{00000000-0005-0000-0000-0000D91F0000}"/>
    <cellStyle name="Normal 17 9" xfId="8157" xr:uid="{00000000-0005-0000-0000-0000DA1F0000}"/>
    <cellStyle name="Normal 17 9 2" xfId="8158" xr:uid="{00000000-0005-0000-0000-0000DB1F0000}"/>
    <cellStyle name="Normal 17 9 2 2" xfId="8159" xr:uid="{00000000-0005-0000-0000-0000DC1F0000}"/>
    <cellStyle name="Normal 17 9 2 3" xfId="8160" xr:uid="{00000000-0005-0000-0000-0000DD1F0000}"/>
    <cellStyle name="Normal 17 9 3" xfId="8161" xr:uid="{00000000-0005-0000-0000-0000DE1F0000}"/>
    <cellStyle name="Normal 17 9 4" xfId="8162" xr:uid="{00000000-0005-0000-0000-0000DF1F0000}"/>
    <cellStyle name="Normal 170" xfId="8163" xr:uid="{00000000-0005-0000-0000-0000E01F0000}"/>
    <cellStyle name="Normal 171" xfId="8164" xr:uid="{00000000-0005-0000-0000-0000E11F0000}"/>
    <cellStyle name="Normal 172" xfId="8165" xr:uid="{00000000-0005-0000-0000-0000E21F0000}"/>
    <cellStyle name="Normal 172 2" xfId="8166" xr:uid="{00000000-0005-0000-0000-0000E31F0000}"/>
    <cellStyle name="Normal 172 2 2" xfId="8167" xr:uid="{00000000-0005-0000-0000-0000E41F0000}"/>
    <cellStyle name="Normal 172 2 3" xfId="8168" xr:uid="{00000000-0005-0000-0000-0000E51F0000}"/>
    <cellStyle name="Normal 172 3" xfId="8169" xr:uid="{00000000-0005-0000-0000-0000E61F0000}"/>
    <cellStyle name="Normal 172 4" xfId="8170" xr:uid="{00000000-0005-0000-0000-0000E71F0000}"/>
    <cellStyle name="Normal 173" xfId="8171" xr:uid="{00000000-0005-0000-0000-0000E81F0000}"/>
    <cellStyle name="Normal 173 2" xfId="8172" xr:uid="{00000000-0005-0000-0000-0000E91F0000}"/>
    <cellStyle name="Normal 174" xfId="8173" xr:uid="{00000000-0005-0000-0000-0000EA1F0000}"/>
    <cellStyle name="Normal 174 2" xfId="8174" xr:uid="{00000000-0005-0000-0000-0000EB1F0000}"/>
    <cellStyle name="Normal 174 2 2" xfId="8175" xr:uid="{00000000-0005-0000-0000-0000EC1F0000}"/>
    <cellStyle name="Normal 174 2 3" xfId="8176" xr:uid="{00000000-0005-0000-0000-0000ED1F0000}"/>
    <cellStyle name="Normal 174 3" xfId="8177" xr:uid="{00000000-0005-0000-0000-0000EE1F0000}"/>
    <cellStyle name="Normal 174 4" xfId="8178" xr:uid="{00000000-0005-0000-0000-0000EF1F0000}"/>
    <cellStyle name="Normal 175" xfId="8179" xr:uid="{00000000-0005-0000-0000-0000F01F0000}"/>
    <cellStyle name="Normal 175 2" xfId="8180" xr:uid="{00000000-0005-0000-0000-0000F11F0000}"/>
    <cellStyle name="Normal 175 2 2" xfId="8181" xr:uid="{00000000-0005-0000-0000-0000F21F0000}"/>
    <cellStyle name="Normal 175 2 3" xfId="8182" xr:uid="{00000000-0005-0000-0000-0000F31F0000}"/>
    <cellStyle name="Normal 175 3" xfId="8183" xr:uid="{00000000-0005-0000-0000-0000F41F0000}"/>
    <cellStyle name="Normal 175 4" xfId="8184" xr:uid="{00000000-0005-0000-0000-0000F51F0000}"/>
    <cellStyle name="Normal 176" xfId="8185" xr:uid="{00000000-0005-0000-0000-0000F61F0000}"/>
    <cellStyle name="Normal 176 2" xfId="8186" xr:uid="{00000000-0005-0000-0000-0000F71F0000}"/>
    <cellStyle name="Normal 176 2 2" xfId="8187" xr:uid="{00000000-0005-0000-0000-0000F81F0000}"/>
    <cellStyle name="Normal 176 2 3" xfId="8188" xr:uid="{00000000-0005-0000-0000-0000F91F0000}"/>
    <cellStyle name="Normal 176 3" xfId="8189" xr:uid="{00000000-0005-0000-0000-0000FA1F0000}"/>
    <cellStyle name="Normal 176 4" xfId="8190" xr:uid="{00000000-0005-0000-0000-0000FB1F0000}"/>
    <cellStyle name="Normal 177" xfId="8191" xr:uid="{00000000-0005-0000-0000-0000FC1F0000}"/>
    <cellStyle name="Normal 177 2" xfId="8192" xr:uid="{00000000-0005-0000-0000-0000FD1F0000}"/>
    <cellStyle name="Normal 177 2 2" xfId="8193" xr:uid="{00000000-0005-0000-0000-0000FE1F0000}"/>
    <cellStyle name="Normal 177 2 3" xfId="8194" xr:uid="{00000000-0005-0000-0000-0000FF1F0000}"/>
    <cellStyle name="Normal 177 3" xfId="8195" xr:uid="{00000000-0005-0000-0000-000000200000}"/>
    <cellStyle name="Normal 177 4" xfId="8196" xr:uid="{00000000-0005-0000-0000-000001200000}"/>
    <cellStyle name="Normal 178" xfId="8197" xr:uid="{00000000-0005-0000-0000-000002200000}"/>
    <cellStyle name="Normal 178 2" xfId="8198" xr:uid="{00000000-0005-0000-0000-000003200000}"/>
    <cellStyle name="Normal 178 2 2" xfId="8199" xr:uid="{00000000-0005-0000-0000-000004200000}"/>
    <cellStyle name="Normal 178 2 3" xfId="8200" xr:uid="{00000000-0005-0000-0000-000005200000}"/>
    <cellStyle name="Normal 178 3" xfId="8201" xr:uid="{00000000-0005-0000-0000-000006200000}"/>
    <cellStyle name="Normal 178 4" xfId="8202" xr:uid="{00000000-0005-0000-0000-000007200000}"/>
    <cellStyle name="Normal 179" xfId="8203" xr:uid="{00000000-0005-0000-0000-000008200000}"/>
    <cellStyle name="Normal 179 2" xfId="8204" xr:uid="{00000000-0005-0000-0000-000009200000}"/>
    <cellStyle name="Normal 179 3" xfId="8205" xr:uid="{00000000-0005-0000-0000-00000A200000}"/>
    <cellStyle name="Normal 179 3 2" xfId="8206" xr:uid="{00000000-0005-0000-0000-00000B200000}"/>
    <cellStyle name="Normal 179 3 3" xfId="8207" xr:uid="{00000000-0005-0000-0000-00000C200000}"/>
    <cellStyle name="Normal 179 4" xfId="8208" xr:uid="{00000000-0005-0000-0000-00000D200000}"/>
    <cellStyle name="Normal 179 5" xfId="8209" xr:uid="{00000000-0005-0000-0000-00000E200000}"/>
    <cellStyle name="Normal 18" xfId="8210" xr:uid="{00000000-0005-0000-0000-00000F200000}"/>
    <cellStyle name="Normal 18 10" xfId="8211" xr:uid="{00000000-0005-0000-0000-000010200000}"/>
    <cellStyle name="Normal 18 10 2" xfId="8212" xr:uid="{00000000-0005-0000-0000-000011200000}"/>
    <cellStyle name="Normal 18 10 2 2" xfId="8213" xr:uid="{00000000-0005-0000-0000-000012200000}"/>
    <cellStyle name="Normal 18 10 2 3" xfId="8214" xr:uid="{00000000-0005-0000-0000-000013200000}"/>
    <cellStyle name="Normal 18 10 3" xfId="8215" xr:uid="{00000000-0005-0000-0000-000014200000}"/>
    <cellStyle name="Normal 18 10 4" xfId="8216" xr:uid="{00000000-0005-0000-0000-000015200000}"/>
    <cellStyle name="Normal 18 11" xfId="8217" xr:uid="{00000000-0005-0000-0000-000016200000}"/>
    <cellStyle name="Normal 18 11 2" xfId="8218" xr:uid="{00000000-0005-0000-0000-000017200000}"/>
    <cellStyle name="Normal 18 11 2 2" xfId="8219" xr:uid="{00000000-0005-0000-0000-000018200000}"/>
    <cellStyle name="Normal 18 11 2 3" xfId="8220" xr:uid="{00000000-0005-0000-0000-000019200000}"/>
    <cellStyle name="Normal 18 11 3" xfId="8221" xr:uid="{00000000-0005-0000-0000-00001A200000}"/>
    <cellStyle name="Normal 18 11 4" xfId="8222" xr:uid="{00000000-0005-0000-0000-00001B200000}"/>
    <cellStyle name="Normal 18 12" xfId="8223" xr:uid="{00000000-0005-0000-0000-00001C200000}"/>
    <cellStyle name="Normal 18 12 2" xfId="8224" xr:uid="{00000000-0005-0000-0000-00001D200000}"/>
    <cellStyle name="Normal 18 12 2 2" xfId="8225" xr:uid="{00000000-0005-0000-0000-00001E200000}"/>
    <cellStyle name="Normal 18 12 2 3" xfId="8226" xr:uid="{00000000-0005-0000-0000-00001F200000}"/>
    <cellStyle name="Normal 18 12 3" xfId="8227" xr:uid="{00000000-0005-0000-0000-000020200000}"/>
    <cellStyle name="Normal 18 12 4" xfId="8228" xr:uid="{00000000-0005-0000-0000-000021200000}"/>
    <cellStyle name="Normal 18 13" xfId="8229" xr:uid="{00000000-0005-0000-0000-000022200000}"/>
    <cellStyle name="Normal 18 13 2" xfId="8230" xr:uid="{00000000-0005-0000-0000-000023200000}"/>
    <cellStyle name="Normal 18 13 2 2" xfId="8231" xr:uid="{00000000-0005-0000-0000-000024200000}"/>
    <cellStyle name="Normal 18 13 2 3" xfId="8232" xr:uid="{00000000-0005-0000-0000-000025200000}"/>
    <cellStyle name="Normal 18 13 3" xfId="8233" xr:uid="{00000000-0005-0000-0000-000026200000}"/>
    <cellStyle name="Normal 18 13 4" xfId="8234" xr:uid="{00000000-0005-0000-0000-000027200000}"/>
    <cellStyle name="Normal 18 14" xfId="8235" xr:uid="{00000000-0005-0000-0000-000028200000}"/>
    <cellStyle name="Normal 18 14 2" xfId="8236" xr:uid="{00000000-0005-0000-0000-000029200000}"/>
    <cellStyle name="Normal 18 14 2 2" xfId="8237" xr:uid="{00000000-0005-0000-0000-00002A200000}"/>
    <cellStyle name="Normal 18 14 2 3" xfId="8238" xr:uid="{00000000-0005-0000-0000-00002B200000}"/>
    <cellStyle name="Normal 18 14 3" xfId="8239" xr:uid="{00000000-0005-0000-0000-00002C200000}"/>
    <cellStyle name="Normal 18 14 4" xfId="8240" xr:uid="{00000000-0005-0000-0000-00002D200000}"/>
    <cellStyle name="Normal 18 15" xfId="8241" xr:uid="{00000000-0005-0000-0000-00002E200000}"/>
    <cellStyle name="Normal 18 15 2" xfId="8242" xr:uid="{00000000-0005-0000-0000-00002F200000}"/>
    <cellStyle name="Normal 18 15 2 2" xfId="8243" xr:uid="{00000000-0005-0000-0000-000030200000}"/>
    <cellStyle name="Normal 18 15 2 3" xfId="8244" xr:uid="{00000000-0005-0000-0000-000031200000}"/>
    <cellStyle name="Normal 18 15 3" xfId="8245" xr:uid="{00000000-0005-0000-0000-000032200000}"/>
    <cellStyle name="Normal 18 15 4" xfId="8246" xr:uid="{00000000-0005-0000-0000-000033200000}"/>
    <cellStyle name="Normal 18 16" xfId="8247" xr:uid="{00000000-0005-0000-0000-000034200000}"/>
    <cellStyle name="Normal 18 16 2" xfId="8248" xr:uid="{00000000-0005-0000-0000-000035200000}"/>
    <cellStyle name="Normal 18 16 2 2" xfId="8249" xr:uid="{00000000-0005-0000-0000-000036200000}"/>
    <cellStyle name="Normal 18 16 2 3" xfId="8250" xr:uid="{00000000-0005-0000-0000-000037200000}"/>
    <cellStyle name="Normal 18 16 3" xfId="8251" xr:uid="{00000000-0005-0000-0000-000038200000}"/>
    <cellStyle name="Normal 18 16 4" xfId="8252" xr:uid="{00000000-0005-0000-0000-000039200000}"/>
    <cellStyle name="Normal 18 17" xfId="8253" xr:uid="{00000000-0005-0000-0000-00003A200000}"/>
    <cellStyle name="Normal 18 17 2" xfId="8254" xr:uid="{00000000-0005-0000-0000-00003B200000}"/>
    <cellStyle name="Normal 18 17 2 2" xfId="8255" xr:uid="{00000000-0005-0000-0000-00003C200000}"/>
    <cellStyle name="Normal 18 17 2 3" xfId="8256" xr:uid="{00000000-0005-0000-0000-00003D200000}"/>
    <cellStyle name="Normal 18 17 3" xfId="8257" xr:uid="{00000000-0005-0000-0000-00003E200000}"/>
    <cellStyle name="Normal 18 17 4" xfId="8258" xr:uid="{00000000-0005-0000-0000-00003F200000}"/>
    <cellStyle name="Normal 18 18" xfId="8259" xr:uid="{00000000-0005-0000-0000-000040200000}"/>
    <cellStyle name="Normal 18 18 2" xfId="8260" xr:uid="{00000000-0005-0000-0000-000041200000}"/>
    <cellStyle name="Normal 18 18 2 2" xfId="8261" xr:uid="{00000000-0005-0000-0000-000042200000}"/>
    <cellStyle name="Normal 18 18 2 3" xfId="8262" xr:uid="{00000000-0005-0000-0000-000043200000}"/>
    <cellStyle name="Normal 18 18 3" xfId="8263" xr:uid="{00000000-0005-0000-0000-000044200000}"/>
    <cellStyle name="Normal 18 18 4" xfId="8264" xr:uid="{00000000-0005-0000-0000-000045200000}"/>
    <cellStyle name="Normal 18 19" xfId="8265" xr:uid="{00000000-0005-0000-0000-000046200000}"/>
    <cellStyle name="Normal 18 19 2" xfId="8266" xr:uid="{00000000-0005-0000-0000-000047200000}"/>
    <cellStyle name="Normal 18 19 2 2" xfId="8267" xr:uid="{00000000-0005-0000-0000-000048200000}"/>
    <cellStyle name="Normal 18 19 2 3" xfId="8268" xr:uid="{00000000-0005-0000-0000-000049200000}"/>
    <cellStyle name="Normal 18 19 3" xfId="8269" xr:uid="{00000000-0005-0000-0000-00004A200000}"/>
    <cellStyle name="Normal 18 19 4" xfId="8270" xr:uid="{00000000-0005-0000-0000-00004B200000}"/>
    <cellStyle name="Normal 18 2" xfId="8271" xr:uid="{00000000-0005-0000-0000-00004C200000}"/>
    <cellStyle name="Normal 18 2 2" xfId="8272" xr:uid="{00000000-0005-0000-0000-00004D200000}"/>
    <cellStyle name="Normal 18 20" xfId="8273" xr:uid="{00000000-0005-0000-0000-00004E200000}"/>
    <cellStyle name="Normal 18 20 2" xfId="8274" xr:uid="{00000000-0005-0000-0000-00004F200000}"/>
    <cellStyle name="Normal 18 20 2 2" xfId="8275" xr:uid="{00000000-0005-0000-0000-000050200000}"/>
    <cellStyle name="Normal 18 20 2 3" xfId="8276" xr:uid="{00000000-0005-0000-0000-000051200000}"/>
    <cellStyle name="Normal 18 20 3" xfId="8277" xr:uid="{00000000-0005-0000-0000-000052200000}"/>
    <cellStyle name="Normal 18 20 4" xfId="8278" xr:uid="{00000000-0005-0000-0000-000053200000}"/>
    <cellStyle name="Normal 18 21" xfId="8279" xr:uid="{00000000-0005-0000-0000-000054200000}"/>
    <cellStyle name="Normal 18 21 2" xfId="8280" xr:uid="{00000000-0005-0000-0000-000055200000}"/>
    <cellStyle name="Normal 18 21 2 2" xfId="8281" xr:uid="{00000000-0005-0000-0000-000056200000}"/>
    <cellStyle name="Normal 18 21 2 3" xfId="8282" xr:uid="{00000000-0005-0000-0000-000057200000}"/>
    <cellStyle name="Normal 18 21 3" xfId="8283" xr:uid="{00000000-0005-0000-0000-000058200000}"/>
    <cellStyle name="Normal 18 21 4" xfId="8284" xr:uid="{00000000-0005-0000-0000-000059200000}"/>
    <cellStyle name="Normal 18 22" xfId="8285" xr:uid="{00000000-0005-0000-0000-00005A200000}"/>
    <cellStyle name="Normal 18 22 2" xfId="8286" xr:uid="{00000000-0005-0000-0000-00005B200000}"/>
    <cellStyle name="Normal 18 22 2 2" xfId="8287" xr:uid="{00000000-0005-0000-0000-00005C200000}"/>
    <cellStyle name="Normal 18 22 2 3" xfId="8288" xr:uid="{00000000-0005-0000-0000-00005D200000}"/>
    <cellStyle name="Normal 18 22 3" xfId="8289" xr:uid="{00000000-0005-0000-0000-00005E200000}"/>
    <cellStyle name="Normal 18 22 4" xfId="8290" xr:uid="{00000000-0005-0000-0000-00005F200000}"/>
    <cellStyle name="Normal 18 23" xfId="8291" xr:uid="{00000000-0005-0000-0000-000060200000}"/>
    <cellStyle name="Normal 18 23 2" xfId="8292" xr:uid="{00000000-0005-0000-0000-000061200000}"/>
    <cellStyle name="Normal 18 23 2 2" xfId="8293" xr:uid="{00000000-0005-0000-0000-000062200000}"/>
    <cellStyle name="Normal 18 23 2 3" xfId="8294" xr:uid="{00000000-0005-0000-0000-000063200000}"/>
    <cellStyle name="Normal 18 23 3" xfId="8295" xr:uid="{00000000-0005-0000-0000-000064200000}"/>
    <cellStyle name="Normal 18 23 4" xfId="8296" xr:uid="{00000000-0005-0000-0000-000065200000}"/>
    <cellStyle name="Normal 18 24" xfId="8297" xr:uid="{00000000-0005-0000-0000-000066200000}"/>
    <cellStyle name="Normal 18 24 2" xfId="8298" xr:uid="{00000000-0005-0000-0000-000067200000}"/>
    <cellStyle name="Normal 18 24 2 2" xfId="8299" xr:uid="{00000000-0005-0000-0000-000068200000}"/>
    <cellStyle name="Normal 18 24 2 3" xfId="8300" xr:uid="{00000000-0005-0000-0000-000069200000}"/>
    <cellStyle name="Normal 18 24 3" xfId="8301" xr:uid="{00000000-0005-0000-0000-00006A200000}"/>
    <cellStyle name="Normal 18 24 4" xfId="8302" xr:uid="{00000000-0005-0000-0000-00006B200000}"/>
    <cellStyle name="Normal 18 25" xfId="8303" xr:uid="{00000000-0005-0000-0000-00006C200000}"/>
    <cellStyle name="Normal 18 25 2" xfId="8304" xr:uid="{00000000-0005-0000-0000-00006D200000}"/>
    <cellStyle name="Normal 18 25 2 2" xfId="8305" xr:uid="{00000000-0005-0000-0000-00006E200000}"/>
    <cellStyle name="Normal 18 25 2 3" xfId="8306" xr:uid="{00000000-0005-0000-0000-00006F200000}"/>
    <cellStyle name="Normal 18 25 3" xfId="8307" xr:uid="{00000000-0005-0000-0000-000070200000}"/>
    <cellStyle name="Normal 18 25 4" xfId="8308" xr:uid="{00000000-0005-0000-0000-000071200000}"/>
    <cellStyle name="Normal 18 26" xfId="8309" xr:uid="{00000000-0005-0000-0000-000072200000}"/>
    <cellStyle name="Normal 18 26 2" xfId="8310" xr:uid="{00000000-0005-0000-0000-000073200000}"/>
    <cellStyle name="Normal 18 26 3" xfId="8311" xr:uid="{00000000-0005-0000-0000-000074200000}"/>
    <cellStyle name="Normal 18 27" xfId="8312" xr:uid="{00000000-0005-0000-0000-000075200000}"/>
    <cellStyle name="Normal 18 28" xfId="8313" xr:uid="{00000000-0005-0000-0000-000076200000}"/>
    <cellStyle name="Normal 18 3" xfId="8314" xr:uid="{00000000-0005-0000-0000-000077200000}"/>
    <cellStyle name="Normal 18 3 2" xfId="8315" xr:uid="{00000000-0005-0000-0000-000078200000}"/>
    <cellStyle name="Normal 18 4" xfId="8316" xr:uid="{00000000-0005-0000-0000-000079200000}"/>
    <cellStyle name="Normal 18 4 2" xfId="8317" xr:uid="{00000000-0005-0000-0000-00007A200000}"/>
    <cellStyle name="Normal 18 4 2 2" xfId="8318" xr:uid="{00000000-0005-0000-0000-00007B200000}"/>
    <cellStyle name="Normal 18 4 2 3" xfId="8319" xr:uid="{00000000-0005-0000-0000-00007C200000}"/>
    <cellStyle name="Normal 18 4 3" xfId="8320" xr:uid="{00000000-0005-0000-0000-00007D200000}"/>
    <cellStyle name="Normal 18 4 4" xfId="8321" xr:uid="{00000000-0005-0000-0000-00007E200000}"/>
    <cellStyle name="Normal 18 5" xfId="8322" xr:uid="{00000000-0005-0000-0000-00007F200000}"/>
    <cellStyle name="Normal 18 5 2" xfId="8323" xr:uid="{00000000-0005-0000-0000-000080200000}"/>
    <cellStyle name="Normal 18 5 2 2" xfId="8324" xr:uid="{00000000-0005-0000-0000-000081200000}"/>
    <cellStyle name="Normal 18 5 2 3" xfId="8325" xr:uid="{00000000-0005-0000-0000-000082200000}"/>
    <cellStyle name="Normal 18 5 3" xfId="8326" xr:uid="{00000000-0005-0000-0000-000083200000}"/>
    <cellStyle name="Normal 18 5 4" xfId="8327" xr:uid="{00000000-0005-0000-0000-000084200000}"/>
    <cellStyle name="Normal 18 6" xfId="8328" xr:uid="{00000000-0005-0000-0000-000085200000}"/>
    <cellStyle name="Normal 18 6 2" xfId="8329" xr:uid="{00000000-0005-0000-0000-000086200000}"/>
    <cellStyle name="Normal 18 6 2 2" xfId="8330" xr:uid="{00000000-0005-0000-0000-000087200000}"/>
    <cellStyle name="Normal 18 6 2 3" xfId="8331" xr:uid="{00000000-0005-0000-0000-000088200000}"/>
    <cellStyle name="Normal 18 6 3" xfId="8332" xr:uid="{00000000-0005-0000-0000-000089200000}"/>
    <cellStyle name="Normal 18 6 4" xfId="8333" xr:uid="{00000000-0005-0000-0000-00008A200000}"/>
    <cellStyle name="Normal 18 7" xfId="8334" xr:uid="{00000000-0005-0000-0000-00008B200000}"/>
    <cellStyle name="Normal 18 7 2" xfId="8335" xr:uid="{00000000-0005-0000-0000-00008C200000}"/>
    <cellStyle name="Normal 18 7 2 2" xfId="8336" xr:uid="{00000000-0005-0000-0000-00008D200000}"/>
    <cellStyle name="Normal 18 7 2 3" xfId="8337" xr:uid="{00000000-0005-0000-0000-00008E200000}"/>
    <cellStyle name="Normal 18 7 3" xfId="8338" xr:uid="{00000000-0005-0000-0000-00008F200000}"/>
    <cellStyle name="Normal 18 7 4" xfId="8339" xr:uid="{00000000-0005-0000-0000-000090200000}"/>
    <cellStyle name="Normal 18 8" xfId="8340" xr:uid="{00000000-0005-0000-0000-000091200000}"/>
    <cellStyle name="Normal 18 8 2" xfId="8341" xr:uid="{00000000-0005-0000-0000-000092200000}"/>
    <cellStyle name="Normal 18 8 2 2" xfId="8342" xr:uid="{00000000-0005-0000-0000-000093200000}"/>
    <cellStyle name="Normal 18 8 2 3" xfId="8343" xr:uid="{00000000-0005-0000-0000-000094200000}"/>
    <cellStyle name="Normal 18 8 3" xfId="8344" xr:uid="{00000000-0005-0000-0000-000095200000}"/>
    <cellStyle name="Normal 18 8 4" xfId="8345" xr:uid="{00000000-0005-0000-0000-000096200000}"/>
    <cellStyle name="Normal 18 9" xfId="8346" xr:uid="{00000000-0005-0000-0000-000097200000}"/>
    <cellStyle name="Normal 18 9 2" xfId="8347" xr:uid="{00000000-0005-0000-0000-000098200000}"/>
    <cellStyle name="Normal 18 9 2 2" xfId="8348" xr:uid="{00000000-0005-0000-0000-000099200000}"/>
    <cellStyle name="Normal 18 9 2 3" xfId="8349" xr:uid="{00000000-0005-0000-0000-00009A200000}"/>
    <cellStyle name="Normal 18 9 3" xfId="8350" xr:uid="{00000000-0005-0000-0000-00009B200000}"/>
    <cellStyle name="Normal 18 9 4" xfId="8351" xr:uid="{00000000-0005-0000-0000-00009C200000}"/>
    <cellStyle name="Normal 180" xfId="8352" xr:uid="{00000000-0005-0000-0000-00009D200000}"/>
    <cellStyle name="Normal 181" xfId="8353" xr:uid="{00000000-0005-0000-0000-00009E200000}"/>
    <cellStyle name="Normal 182" xfId="8354" xr:uid="{00000000-0005-0000-0000-00009F200000}"/>
    <cellStyle name="Normal 183" xfId="8355" xr:uid="{00000000-0005-0000-0000-0000A0200000}"/>
    <cellStyle name="Normal 184" xfId="8356" xr:uid="{00000000-0005-0000-0000-0000A1200000}"/>
    <cellStyle name="Normal 185" xfId="8357" xr:uid="{00000000-0005-0000-0000-0000A2200000}"/>
    <cellStyle name="Normal 186" xfId="8358" xr:uid="{00000000-0005-0000-0000-0000A3200000}"/>
    <cellStyle name="Normal 187" xfId="8359" xr:uid="{00000000-0005-0000-0000-0000A4200000}"/>
    <cellStyle name="Normal 188" xfId="8360" xr:uid="{00000000-0005-0000-0000-0000A5200000}"/>
    <cellStyle name="Normal 189" xfId="8361" xr:uid="{00000000-0005-0000-0000-0000A6200000}"/>
    <cellStyle name="Normal 19" xfId="8362" xr:uid="{00000000-0005-0000-0000-0000A7200000}"/>
    <cellStyle name="Normal 19 10" xfId="8363" xr:uid="{00000000-0005-0000-0000-0000A8200000}"/>
    <cellStyle name="Normal 19 10 2" xfId="8364" xr:uid="{00000000-0005-0000-0000-0000A9200000}"/>
    <cellStyle name="Normal 19 10 2 2" xfId="8365" xr:uid="{00000000-0005-0000-0000-0000AA200000}"/>
    <cellStyle name="Normal 19 10 2 3" xfId="8366" xr:uid="{00000000-0005-0000-0000-0000AB200000}"/>
    <cellStyle name="Normal 19 10 3" xfId="8367" xr:uid="{00000000-0005-0000-0000-0000AC200000}"/>
    <cellStyle name="Normal 19 10 4" xfId="8368" xr:uid="{00000000-0005-0000-0000-0000AD200000}"/>
    <cellStyle name="Normal 19 11" xfId="8369" xr:uid="{00000000-0005-0000-0000-0000AE200000}"/>
    <cellStyle name="Normal 19 11 2" xfId="8370" xr:uid="{00000000-0005-0000-0000-0000AF200000}"/>
    <cellStyle name="Normal 19 11 2 2" xfId="8371" xr:uid="{00000000-0005-0000-0000-0000B0200000}"/>
    <cellStyle name="Normal 19 11 2 3" xfId="8372" xr:uid="{00000000-0005-0000-0000-0000B1200000}"/>
    <cellStyle name="Normal 19 11 3" xfId="8373" xr:uid="{00000000-0005-0000-0000-0000B2200000}"/>
    <cellStyle name="Normal 19 11 4" xfId="8374" xr:uid="{00000000-0005-0000-0000-0000B3200000}"/>
    <cellStyle name="Normal 19 12" xfId="8375" xr:uid="{00000000-0005-0000-0000-0000B4200000}"/>
    <cellStyle name="Normal 19 12 2" xfId="8376" xr:uid="{00000000-0005-0000-0000-0000B5200000}"/>
    <cellStyle name="Normal 19 12 2 2" xfId="8377" xr:uid="{00000000-0005-0000-0000-0000B6200000}"/>
    <cellStyle name="Normal 19 12 2 3" xfId="8378" xr:uid="{00000000-0005-0000-0000-0000B7200000}"/>
    <cellStyle name="Normal 19 12 3" xfId="8379" xr:uid="{00000000-0005-0000-0000-0000B8200000}"/>
    <cellStyle name="Normal 19 12 4" xfId="8380" xr:uid="{00000000-0005-0000-0000-0000B9200000}"/>
    <cellStyle name="Normal 19 13" xfId="8381" xr:uid="{00000000-0005-0000-0000-0000BA200000}"/>
    <cellStyle name="Normal 19 13 2" xfId="8382" xr:uid="{00000000-0005-0000-0000-0000BB200000}"/>
    <cellStyle name="Normal 19 13 2 2" xfId="8383" xr:uid="{00000000-0005-0000-0000-0000BC200000}"/>
    <cellStyle name="Normal 19 13 2 3" xfId="8384" xr:uid="{00000000-0005-0000-0000-0000BD200000}"/>
    <cellStyle name="Normal 19 13 3" xfId="8385" xr:uid="{00000000-0005-0000-0000-0000BE200000}"/>
    <cellStyle name="Normal 19 13 4" xfId="8386" xr:uid="{00000000-0005-0000-0000-0000BF200000}"/>
    <cellStyle name="Normal 19 14" xfId="8387" xr:uid="{00000000-0005-0000-0000-0000C0200000}"/>
    <cellStyle name="Normal 19 14 2" xfId="8388" xr:uid="{00000000-0005-0000-0000-0000C1200000}"/>
    <cellStyle name="Normal 19 14 2 2" xfId="8389" xr:uid="{00000000-0005-0000-0000-0000C2200000}"/>
    <cellStyle name="Normal 19 14 2 3" xfId="8390" xr:uid="{00000000-0005-0000-0000-0000C3200000}"/>
    <cellStyle name="Normal 19 14 3" xfId="8391" xr:uid="{00000000-0005-0000-0000-0000C4200000}"/>
    <cellStyle name="Normal 19 14 4" xfId="8392" xr:uid="{00000000-0005-0000-0000-0000C5200000}"/>
    <cellStyle name="Normal 19 15" xfId="8393" xr:uid="{00000000-0005-0000-0000-0000C6200000}"/>
    <cellStyle name="Normal 19 15 2" xfId="8394" xr:uid="{00000000-0005-0000-0000-0000C7200000}"/>
    <cellStyle name="Normal 19 15 2 2" xfId="8395" xr:uid="{00000000-0005-0000-0000-0000C8200000}"/>
    <cellStyle name="Normal 19 15 2 3" xfId="8396" xr:uid="{00000000-0005-0000-0000-0000C9200000}"/>
    <cellStyle name="Normal 19 15 3" xfId="8397" xr:uid="{00000000-0005-0000-0000-0000CA200000}"/>
    <cellStyle name="Normal 19 15 4" xfId="8398" xr:uid="{00000000-0005-0000-0000-0000CB200000}"/>
    <cellStyle name="Normal 19 16" xfId="8399" xr:uid="{00000000-0005-0000-0000-0000CC200000}"/>
    <cellStyle name="Normal 19 16 2" xfId="8400" xr:uid="{00000000-0005-0000-0000-0000CD200000}"/>
    <cellStyle name="Normal 19 16 2 2" xfId="8401" xr:uid="{00000000-0005-0000-0000-0000CE200000}"/>
    <cellStyle name="Normal 19 16 2 3" xfId="8402" xr:uid="{00000000-0005-0000-0000-0000CF200000}"/>
    <cellStyle name="Normal 19 16 3" xfId="8403" xr:uid="{00000000-0005-0000-0000-0000D0200000}"/>
    <cellStyle name="Normal 19 16 4" xfId="8404" xr:uid="{00000000-0005-0000-0000-0000D1200000}"/>
    <cellStyle name="Normal 19 17" xfId="8405" xr:uid="{00000000-0005-0000-0000-0000D2200000}"/>
    <cellStyle name="Normal 19 17 2" xfId="8406" xr:uid="{00000000-0005-0000-0000-0000D3200000}"/>
    <cellStyle name="Normal 19 17 2 2" xfId="8407" xr:uid="{00000000-0005-0000-0000-0000D4200000}"/>
    <cellStyle name="Normal 19 17 2 3" xfId="8408" xr:uid="{00000000-0005-0000-0000-0000D5200000}"/>
    <cellStyle name="Normal 19 17 3" xfId="8409" xr:uid="{00000000-0005-0000-0000-0000D6200000}"/>
    <cellStyle name="Normal 19 17 4" xfId="8410" xr:uid="{00000000-0005-0000-0000-0000D7200000}"/>
    <cellStyle name="Normal 19 18" xfId="8411" xr:uid="{00000000-0005-0000-0000-0000D8200000}"/>
    <cellStyle name="Normal 19 18 2" xfId="8412" xr:uid="{00000000-0005-0000-0000-0000D9200000}"/>
    <cellStyle name="Normal 19 18 2 2" xfId="8413" xr:uid="{00000000-0005-0000-0000-0000DA200000}"/>
    <cellStyle name="Normal 19 18 2 3" xfId="8414" xr:uid="{00000000-0005-0000-0000-0000DB200000}"/>
    <cellStyle name="Normal 19 18 3" xfId="8415" xr:uid="{00000000-0005-0000-0000-0000DC200000}"/>
    <cellStyle name="Normal 19 18 4" xfId="8416" xr:uid="{00000000-0005-0000-0000-0000DD200000}"/>
    <cellStyle name="Normal 19 19" xfId="8417" xr:uid="{00000000-0005-0000-0000-0000DE200000}"/>
    <cellStyle name="Normal 19 19 2" xfId="8418" xr:uid="{00000000-0005-0000-0000-0000DF200000}"/>
    <cellStyle name="Normal 19 19 2 2" xfId="8419" xr:uid="{00000000-0005-0000-0000-0000E0200000}"/>
    <cellStyle name="Normal 19 19 2 3" xfId="8420" xr:uid="{00000000-0005-0000-0000-0000E1200000}"/>
    <cellStyle name="Normal 19 19 3" xfId="8421" xr:uid="{00000000-0005-0000-0000-0000E2200000}"/>
    <cellStyle name="Normal 19 19 4" xfId="8422" xr:uid="{00000000-0005-0000-0000-0000E3200000}"/>
    <cellStyle name="Normal 19 2" xfId="8423" xr:uid="{00000000-0005-0000-0000-0000E4200000}"/>
    <cellStyle name="Normal 19 2 2" xfId="8424" xr:uid="{00000000-0005-0000-0000-0000E5200000}"/>
    <cellStyle name="Normal 19 20" xfId="8425" xr:uid="{00000000-0005-0000-0000-0000E6200000}"/>
    <cellStyle name="Normal 19 20 2" xfId="8426" xr:uid="{00000000-0005-0000-0000-0000E7200000}"/>
    <cellStyle name="Normal 19 20 2 2" xfId="8427" xr:uid="{00000000-0005-0000-0000-0000E8200000}"/>
    <cellStyle name="Normal 19 20 2 3" xfId="8428" xr:uid="{00000000-0005-0000-0000-0000E9200000}"/>
    <cellStyle name="Normal 19 20 3" xfId="8429" xr:uid="{00000000-0005-0000-0000-0000EA200000}"/>
    <cellStyle name="Normal 19 20 4" xfId="8430" xr:uid="{00000000-0005-0000-0000-0000EB200000}"/>
    <cellStyle name="Normal 19 21" xfId="8431" xr:uid="{00000000-0005-0000-0000-0000EC200000}"/>
    <cellStyle name="Normal 19 21 2" xfId="8432" xr:uid="{00000000-0005-0000-0000-0000ED200000}"/>
    <cellStyle name="Normal 19 21 2 2" xfId="8433" xr:uid="{00000000-0005-0000-0000-0000EE200000}"/>
    <cellStyle name="Normal 19 21 2 3" xfId="8434" xr:uid="{00000000-0005-0000-0000-0000EF200000}"/>
    <cellStyle name="Normal 19 21 3" xfId="8435" xr:uid="{00000000-0005-0000-0000-0000F0200000}"/>
    <cellStyle name="Normal 19 21 4" xfId="8436" xr:uid="{00000000-0005-0000-0000-0000F1200000}"/>
    <cellStyle name="Normal 19 22" xfId="8437" xr:uid="{00000000-0005-0000-0000-0000F2200000}"/>
    <cellStyle name="Normal 19 22 2" xfId="8438" xr:uid="{00000000-0005-0000-0000-0000F3200000}"/>
    <cellStyle name="Normal 19 22 2 2" xfId="8439" xr:uid="{00000000-0005-0000-0000-0000F4200000}"/>
    <cellStyle name="Normal 19 22 2 3" xfId="8440" xr:uid="{00000000-0005-0000-0000-0000F5200000}"/>
    <cellStyle name="Normal 19 22 3" xfId="8441" xr:uid="{00000000-0005-0000-0000-0000F6200000}"/>
    <cellStyle name="Normal 19 22 4" xfId="8442" xr:uid="{00000000-0005-0000-0000-0000F7200000}"/>
    <cellStyle name="Normal 19 23" xfId="8443" xr:uid="{00000000-0005-0000-0000-0000F8200000}"/>
    <cellStyle name="Normal 19 23 2" xfId="8444" xr:uid="{00000000-0005-0000-0000-0000F9200000}"/>
    <cellStyle name="Normal 19 23 2 2" xfId="8445" xr:uid="{00000000-0005-0000-0000-0000FA200000}"/>
    <cellStyle name="Normal 19 23 2 3" xfId="8446" xr:uid="{00000000-0005-0000-0000-0000FB200000}"/>
    <cellStyle name="Normal 19 23 3" xfId="8447" xr:uid="{00000000-0005-0000-0000-0000FC200000}"/>
    <cellStyle name="Normal 19 23 4" xfId="8448" xr:uid="{00000000-0005-0000-0000-0000FD200000}"/>
    <cellStyle name="Normal 19 24" xfId="8449" xr:uid="{00000000-0005-0000-0000-0000FE200000}"/>
    <cellStyle name="Normal 19 24 2" xfId="8450" xr:uid="{00000000-0005-0000-0000-0000FF200000}"/>
    <cellStyle name="Normal 19 24 2 2" xfId="8451" xr:uid="{00000000-0005-0000-0000-000000210000}"/>
    <cellStyle name="Normal 19 24 2 3" xfId="8452" xr:uid="{00000000-0005-0000-0000-000001210000}"/>
    <cellStyle name="Normal 19 24 3" xfId="8453" xr:uid="{00000000-0005-0000-0000-000002210000}"/>
    <cellStyle name="Normal 19 24 4" xfId="8454" xr:uid="{00000000-0005-0000-0000-000003210000}"/>
    <cellStyle name="Normal 19 25" xfId="8455" xr:uid="{00000000-0005-0000-0000-000004210000}"/>
    <cellStyle name="Normal 19 25 2" xfId="8456" xr:uid="{00000000-0005-0000-0000-000005210000}"/>
    <cellStyle name="Normal 19 25 2 2" xfId="8457" xr:uid="{00000000-0005-0000-0000-000006210000}"/>
    <cellStyle name="Normal 19 25 2 3" xfId="8458" xr:uid="{00000000-0005-0000-0000-000007210000}"/>
    <cellStyle name="Normal 19 25 3" xfId="8459" xr:uid="{00000000-0005-0000-0000-000008210000}"/>
    <cellStyle name="Normal 19 25 4" xfId="8460" xr:uid="{00000000-0005-0000-0000-000009210000}"/>
    <cellStyle name="Normal 19 26" xfId="8461" xr:uid="{00000000-0005-0000-0000-00000A210000}"/>
    <cellStyle name="Normal 19 26 2" xfId="8462" xr:uid="{00000000-0005-0000-0000-00000B210000}"/>
    <cellStyle name="Normal 19 26 3" xfId="8463" xr:uid="{00000000-0005-0000-0000-00000C210000}"/>
    <cellStyle name="Normal 19 27" xfId="8464" xr:uid="{00000000-0005-0000-0000-00000D210000}"/>
    <cellStyle name="Normal 19 28" xfId="8465" xr:uid="{00000000-0005-0000-0000-00000E210000}"/>
    <cellStyle name="Normal 19 3" xfId="8466" xr:uid="{00000000-0005-0000-0000-00000F210000}"/>
    <cellStyle name="Normal 19 3 2" xfId="8467" xr:uid="{00000000-0005-0000-0000-000010210000}"/>
    <cellStyle name="Normal 19 4" xfId="8468" xr:uid="{00000000-0005-0000-0000-000011210000}"/>
    <cellStyle name="Normal 19 4 2" xfId="8469" xr:uid="{00000000-0005-0000-0000-000012210000}"/>
    <cellStyle name="Normal 19 4 2 2" xfId="8470" xr:uid="{00000000-0005-0000-0000-000013210000}"/>
    <cellStyle name="Normal 19 4 2 3" xfId="8471" xr:uid="{00000000-0005-0000-0000-000014210000}"/>
    <cellStyle name="Normal 19 4 3" xfId="8472" xr:uid="{00000000-0005-0000-0000-000015210000}"/>
    <cellStyle name="Normal 19 4 4" xfId="8473" xr:uid="{00000000-0005-0000-0000-000016210000}"/>
    <cellStyle name="Normal 19 5" xfId="8474" xr:uid="{00000000-0005-0000-0000-000017210000}"/>
    <cellStyle name="Normal 19 5 2" xfId="8475" xr:uid="{00000000-0005-0000-0000-000018210000}"/>
    <cellStyle name="Normal 19 5 2 2" xfId="8476" xr:uid="{00000000-0005-0000-0000-000019210000}"/>
    <cellStyle name="Normal 19 5 2 3" xfId="8477" xr:uid="{00000000-0005-0000-0000-00001A210000}"/>
    <cellStyle name="Normal 19 5 3" xfId="8478" xr:uid="{00000000-0005-0000-0000-00001B210000}"/>
    <cellStyle name="Normal 19 5 4" xfId="8479" xr:uid="{00000000-0005-0000-0000-00001C210000}"/>
    <cellStyle name="Normal 19 6" xfId="8480" xr:uid="{00000000-0005-0000-0000-00001D210000}"/>
    <cellStyle name="Normal 19 6 2" xfId="8481" xr:uid="{00000000-0005-0000-0000-00001E210000}"/>
    <cellStyle name="Normal 19 6 2 2" xfId="8482" xr:uid="{00000000-0005-0000-0000-00001F210000}"/>
    <cellStyle name="Normal 19 6 2 3" xfId="8483" xr:uid="{00000000-0005-0000-0000-000020210000}"/>
    <cellStyle name="Normal 19 6 3" xfId="8484" xr:uid="{00000000-0005-0000-0000-000021210000}"/>
    <cellStyle name="Normal 19 6 4" xfId="8485" xr:uid="{00000000-0005-0000-0000-000022210000}"/>
    <cellStyle name="Normal 19 7" xfId="8486" xr:uid="{00000000-0005-0000-0000-000023210000}"/>
    <cellStyle name="Normal 19 7 2" xfId="8487" xr:uid="{00000000-0005-0000-0000-000024210000}"/>
    <cellStyle name="Normal 19 7 2 2" xfId="8488" xr:uid="{00000000-0005-0000-0000-000025210000}"/>
    <cellStyle name="Normal 19 7 2 3" xfId="8489" xr:uid="{00000000-0005-0000-0000-000026210000}"/>
    <cellStyle name="Normal 19 7 3" xfId="8490" xr:uid="{00000000-0005-0000-0000-000027210000}"/>
    <cellStyle name="Normal 19 7 4" xfId="8491" xr:uid="{00000000-0005-0000-0000-000028210000}"/>
    <cellStyle name="Normal 19 8" xfId="8492" xr:uid="{00000000-0005-0000-0000-000029210000}"/>
    <cellStyle name="Normal 19 8 2" xfId="8493" xr:uid="{00000000-0005-0000-0000-00002A210000}"/>
    <cellStyle name="Normal 19 8 2 2" xfId="8494" xr:uid="{00000000-0005-0000-0000-00002B210000}"/>
    <cellStyle name="Normal 19 8 2 3" xfId="8495" xr:uid="{00000000-0005-0000-0000-00002C210000}"/>
    <cellStyle name="Normal 19 8 3" xfId="8496" xr:uid="{00000000-0005-0000-0000-00002D210000}"/>
    <cellStyle name="Normal 19 8 4" xfId="8497" xr:uid="{00000000-0005-0000-0000-00002E210000}"/>
    <cellStyle name="Normal 19 9" xfId="8498" xr:uid="{00000000-0005-0000-0000-00002F210000}"/>
    <cellStyle name="Normal 19 9 2" xfId="8499" xr:uid="{00000000-0005-0000-0000-000030210000}"/>
    <cellStyle name="Normal 19 9 2 2" xfId="8500" xr:uid="{00000000-0005-0000-0000-000031210000}"/>
    <cellStyle name="Normal 19 9 2 3" xfId="8501" xr:uid="{00000000-0005-0000-0000-000032210000}"/>
    <cellStyle name="Normal 19 9 3" xfId="8502" xr:uid="{00000000-0005-0000-0000-000033210000}"/>
    <cellStyle name="Normal 19 9 4" xfId="8503" xr:uid="{00000000-0005-0000-0000-000034210000}"/>
    <cellStyle name="Normal 190" xfId="8504" xr:uid="{00000000-0005-0000-0000-000035210000}"/>
    <cellStyle name="Normal 191" xfId="8505" xr:uid="{00000000-0005-0000-0000-000036210000}"/>
    <cellStyle name="Normal 192" xfId="8506" xr:uid="{00000000-0005-0000-0000-000037210000}"/>
    <cellStyle name="Normal 193" xfId="8507" xr:uid="{00000000-0005-0000-0000-000038210000}"/>
    <cellStyle name="Normal 194" xfId="8508" xr:uid="{00000000-0005-0000-0000-000039210000}"/>
    <cellStyle name="Normal 195" xfId="8509" xr:uid="{00000000-0005-0000-0000-00003A210000}"/>
    <cellStyle name="Normal 196" xfId="8510" xr:uid="{00000000-0005-0000-0000-00003B210000}"/>
    <cellStyle name="Normal 197" xfId="8511" xr:uid="{00000000-0005-0000-0000-00003C210000}"/>
    <cellStyle name="Normal 198" xfId="8512" xr:uid="{00000000-0005-0000-0000-00003D210000}"/>
    <cellStyle name="Normal 199" xfId="8513" xr:uid="{00000000-0005-0000-0000-00003E210000}"/>
    <cellStyle name="Normal 2" xfId="8514" xr:uid="{00000000-0005-0000-0000-00003F210000}"/>
    <cellStyle name="Normal 2 10" xfId="8515" xr:uid="{00000000-0005-0000-0000-000040210000}"/>
    <cellStyle name="Normal 2 10 2" xfId="8516" xr:uid="{00000000-0005-0000-0000-000041210000}"/>
    <cellStyle name="Normal 2 100" xfId="8517" xr:uid="{00000000-0005-0000-0000-000042210000}"/>
    <cellStyle name="Normal 2 100 2" xfId="8518" xr:uid="{00000000-0005-0000-0000-000043210000}"/>
    <cellStyle name="Normal 2 100 3" xfId="8519" xr:uid="{00000000-0005-0000-0000-000044210000}"/>
    <cellStyle name="Normal 2 101" xfId="8520" xr:uid="{00000000-0005-0000-0000-000045210000}"/>
    <cellStyle name="Normal 2 102" xfId="8521" xr:uid="{00000000-0005-0000-0000-000046210000}"/>
    <cellStyle name="Normal 2 103" xfId="8522" xr:uid="{00000000-0005-0000-0000-000047210000}"/>
    <cellStyle name="Normal 2 104" xfId="8523" xr:uid="{00000000-0005-0000-0000-000048210000}"/>
    <cellStyle name="Normal 2 105" xfId="15616" xr:uid="{524F5EF5-00B7-49F1-99D7-E4976AD82E78}"/>
    <cellStyle name="Normal 2 107" xfId="8524" xr:uid="{00000000-0005-0000-0000-000049210000}"/>
    <cellStyle name="Normal 2 11" xfId="8525" xr:uid="{00000000-0005-0000-0000-00004A210000}"/>
    <cellStyle name="Normal 2 11 2" xfId="8526" xr:uid="{00000000-0005-0000-0000-00004B210000}"/>
    <cellStyle name="Normal 2 12" xfId="8527" xr:uid="{00000000-0005-0000-0000-00004C210000}"/>
    <cellStyle name="Normal 2 12 2" xfId="8528" xr:uid="{00000000-0005-0000-0000-00004D210000}"/>
    <cellStyle name="Normal 2 13" xfId="8529" xr:uid="{00000000-0005-0000-0000-00004E210000}"/>
    <cellStyle name="Normal 2 13 2" xfId="8530" xr:uid="{00000000-0005-0000-0000-00004F210000}"/>
    <cellStyle name="Normal 2 14" xfId="8531" xr:uid="{00000000-0005-0000-0000-000050210000}"/>
    <cellStyle name="Normal 2 14 2" xfId="8532" xr:uid="{00000000-0005-0000-0000-000051210000}"/>
    <cellStyle name="Normal 2 15" xfId="8533" xr:uid="{00000000-0005-0000-0000-000052210000}"/>
    <cellStyle name="Normal 2 15 2" xfId="8534" xr:uid="{00000000-0005-0000-0000-000053210000}"/>
    <cellStyle name="Normal 2 16" xfId="8535" xr:uid="{00000000-0005-0000-0000-000054210000}"/>
    <cellStyle name="Normal 2 16 2" xfId="8536" xr:uid="{00000000-0005-0000-0000-000055210000}"/>
    <cellStyle name="Normal 2 17" xfId="8537" xr:uid="{00000000-0005-0000-0000-000056210000}"/>
    <cellStyle name="Normal 2 17 2" xfId="8538" xr:uid="{00000000-0005-0000-0000-000057210000}"/>
    <cellStyle name="Normal 2 18" xfId="8539" xr:uid="{00000000-0005-0000-0000-000058210000}"/>
    <cellStyle name="Normal 2 18 2" xfId="8540" xr:uid="{00000000-0005-0000-0000-000059210000}"/>
    <cellStyle name="Normal 2 19" xfId="8541" xr:uid="{00000000-0005-0000-0000-00005A210000}"/>
    <cellStyle name="Normal 2 19 2" xfId="8542" xr:uid="{00000000-0005-0000-0000-00005B210000}"/>
    <cellStyle name="Normal 2 2" xfId="8543" xr:uid="{00000000-0005-0000-0000-00005C210000}"/>
    <cellStyle name="Normal 2 2 2" xfId="8544" xr:uid="{00000000-0005-0000-0000-00005D210000}"/>
    <cellStyle name="Normal 2 2 2 2" xfId="8545" xr:uid="{00000000-0005-0000-0000-00005E210000}"/>
    <cellStyle name="Normal 2 2 2 2 2" xfId="8546" xr:uid="{00000000-0005-0000-0000-00005F210000}"/>
    <cellStyle name="Normal 2 2 2 2 2 2" xfId="8547" xr:uid="{00000000-0005-0000-0000-000060210000}"/>
    <cellStyle name="Normal 2 2 2 2 2 2 2" xfId="8548" xr:uid="{00000000-0005-0000-0000-000061210000}"/>
    <cellStyle name="Normal 2 2 2 2 2 2 2 2" xfId="8549" xr:uid="{00000000-0005-0000-0000-000062210000}"/>
    <cellStyle name="Normal 2 2 2 2 2 2 2 2 2" xfId="8550" xr:uid="{00000000-0005-0000-0000-000063210000}"/>
    <cellStyle name="Normal 2 2 2 2 2 2 2 2 2 2" xfId="8551" xr:uid="{00000000-0005-0000-0000-000064210000}"/>
    <cellStyle name="Normal 2 2 2 2 2 2 2 3" xfId="8552" xr:uid="{00000000-0005-0000-0000-000065210000}"/>
    <cellStyle name="Normal 2 2 2 2 2 2 2 3 2" xfId="8553" xr:uid="{00000000-0005-0000-0000-000066210000}"/>
    <cellStyle name="Normal 2 2 2 2 2 2 2 4" xfId="8554" xr:uid="{00000000-0005-0000-0000-000067210000}"/>
    <cellStyle name="Normal 2 2 2 2 2 2 2 5" xfId="8555" xr:uid="{00000000-0005-0000-0000-000068210000}"/>
    <cellStyle name="Normal 2 2 2 2 2 2 2 5 2" xfId="8556" xr:uid="{00000000-0005-0000-0000-000069210000}"/>
    <cellStyle name="Normal 2 2 2 2 2 2 2 5 3" xfId="8557" xr:uid="{00000000-0005-0000-0000-00006A210000}"/>
    <cellStyle name="Normal 2 2 2 2 2 2 2 6" xfId="8558" xr:uid="{00000000-0005-0000-0000-00006B210000}"/>
    <cellStyle name="Normal 2 2 2 2 2 2 2 7" xfId="8559" xr:uid="{00000000-0005-0000-0000-00006C210000}"/>
    <cellStyle name="Normal 2 2 2 2 2 2 3" xfId="8560" xr:uid="{00000000-0005-0000-0000-00006D210000}"/>
    <cellStyle name="Normal 2 2 2 2 2 2 3 2" xfId="8561" xr:uid="{00000000-0005-0000-0000-00006E210000}"/>
    <cellStyle name="Normal 2 2 2 2 2 2 3 3" xfId="8562" xr:uid="{00000000-0005-0000-0000-00006F210000}"/>
    <cellStyle name="Normal 2 2 2 2 2 2 3 3 2" xfId="8563" xr:uid="{00000000-0005-0000-0000-000070210000}"/>
    <cellStyle name="Normal 2 2 2 2 2 2 3 3 3" xfId="8564" xr:uid="{00000000-0005-0000-0000-000071210000}"/>
    <cellStyle name="Normal 2 2 2 2 2 2 3 4" xfId="8565" xr:uid="{00000000-0005-0000-0000-000072210000}"/>
    <cellStyle name="Normal 2 2 2 2 2 2 3 5" xfId="8566" xr:uid="{00000000-0005-0000-0000-000073210000}"/>
    <cellStyle name="Normal 2 2 2 2 2 2 4" xfId="8567" xr:uid="{00000000-0005-0000-0000-000074210000}"/>
    <cellStyle name="Normal 2 2 2 2 2 3" xfId="8568" xr:uid="{00000000-0005-0000-0000-000075210000}"/>
    <cellStyle name="Normal 2 2 2 2 2 3 2" xfId="8569" xr:uid="{00000000-0005-0000-0000-000076210000}"/>
    <cellStyle name="Normal 2 2 2 2 2 4" xfId="8570" xr:uid="{00000000-0005-0000-0000-000077210000}"/>
    <cellStyle name="Normal 2 2 2 2 2 5" xfId="8571" xr:uid="{00000000-0005-0000-0000-000078210000}"/>
    <cellStyle name="Normal 2 2 2 2 2 6" xfId="8572" xr:uid="{00000000-0005-0000-0000-000079210000}"/>
    <cellStyle name="Normal 2 2 2 2 2 6 2" xfId="8573" xr:uid="{00000000-0005-0000-0000-00007A210000}"/>
    <cellStyle name="Normal 2 2 2 2 2 6 3" xfId="8574" xr:uid="{00000000-0005-0000-0000-00007B210000}"/>
    <cellStyle name="Normal 2 2 2 2 2 7" xfId="8575" xr:uid="{00000000-0005-0000-0000-00007C210000}"/>
    <cellStyle name="Normal 2 2 2 2 2 8" xfId="8576" xr:uid="{00000000-0005-0000-0000-00007D210000}"/>
    <cellStyle name="Normal 2 2 2 2 3" xfId="8577" xr:uid="{00000000-0005-0000-0000-00007E210000}"/>
    <cellStyle name="Normal 2 2 2 2 3 2" xfId="8578" xr:uid="{00000000-0005-0000-0000-00007F210000}"/>
    <cellStyle name="Normal 2 2 2 2 4" xfId="8579" xr:uid="{00000000-0005-0000-0000-000080210000}"/>
    <cellStyle name="Normal 2 2 2 2 4 2" xfId="8580" xr:uid="{00000000-0005-0000-0000-000081210000}"/>
    <cellStyle name="Normal 2 2 2 2 4 3" xfId="8581" xr:uid="{00000000-0005-0000-0000-000082210000}"/>
    <cellStyle name="Normal 2 2 2 2 4 4" xfId="8582" xr:uid="{00000000-0005-0000-0000-000083210000}"/>
    <cellStyle name="Normal 2 2 2 2 5" xfId="8583" xr:uid="{00000000-0005-0000-0000-000084210000}"/>
    <cellStyle name="Normal 2 2 2 2 5 2" xfId="8584" xr:uid="{00000000-0005-0000-0000-000085210000}"/>
    <cellStyle name="Normal 2 2 2 2 5 3" xfId="8585" xr:uid="{00000000-0005-0000-0000-000086210000}"/>
    <cellStyle name="Normal 2 2 2 2 5 3 2" xfId="8586" xr:uid="{00000000-0005-0000-0000-000087210000}"/>
    <cellStyle name="Normal 2 2 2 2 5 3 3" xfId="8587" xr:uid="{00000000-0005-0000-0000-000088210000}"/>
    <cellStyle name="Normal 2 2 2 2 5 4" xfId="8588" xr:uid="{00000000-0005-0000-0000-000089210000}"/>
    <cellStyle name="Normal 2 2 2 2 5 5" xfId="8589" xr:uid="{00000000-0005-0000-0000-00008A210000}"/>
    <cellStyle name="Normal 2 2 2 2 6" xfId="8590" xr:uid="{00000000-0005-0000-0000-00008B210000}"/>
    <cellStyle name="Normal 2 2 2 3" xfId="8591" xr:uid="{00000000-0005-0000-0000-00008C210000}"/>
    <cellStyle name="Normal 2 2 2 3 2" xfId="8592" xr:uid="{00000000-0005-0000-0000-00008D210000}"/>
    <cellStyle name="Normal 2 2 2 4" xfId="8593" xr:uid="{00000000-0005-0000-0000-00008E210000}"/>
    <cellStyle name="Normal 2 2 2 4 2" xfId="8594" xr:uid="{00000000-0005-0000-0000-00008F210000}"/>
    <cellStyle name="Normal 2 2 2 5" xfId="8595" xr:uid="{00000000-0005-0000-0000-000090210000}"/>
    <cellStyle name="Normal 2 2 2 5 2" xfId="8596" xr:uid="{00000000-0005-0000-0000-000091210000}"/>
    <cellStyle name="Normal 2 2 2 5 3" xfId="8597" xr:uid="{00000000-0005-0000-0000-000092210000}"/>
    <cellStyle name="Normal 2 2 2 5 3 2" xfId="8598" xr:uid="{00000000-0005-0000-0000-000093210000}"/>
    <cellStyle name="Normal 2 2 2 5 3 3" xfId="8599" xr:uid="{00000000-0005-0000-0000-000094210000}"/>
    <cellStyle name="Normal 2 2 2 5 4" xfId="8600" xr:uid="{00000000-0005-0000-0000-000095210000}"/>
    <cellStyle name="Normal 2 2 2 5 5" xfId="8601" xr:uid="{00000000-0005-0000-0000-000096210000}"/>
    <cellStyle name="Normal 2 2 2 6" xfId="8602" xr:uid="{00000000-0005-0000-0000-000097210000}"/>
    <cellStyle name="Normal 2 2 2 6 2" xfId="8603" xr:uid="{00000000-0005-0000-0000-000098210000}"/>
    <cellStyle name="Normal 2 2 2 6 3" xfId="8604" xr:uid="{00000000-0005-0000-0000-000099210000}"/>
    <cellStyle name="Normal 2 2 2 6 4" xfId="8605" xr:uid="{00000000-0005-0000-0000-00009A210000}"/>
    <cellStyle name="Normal 2 2 2 6 5" xfId="8606" xr:uid="{00000000-0005-0000-0000-00009B210000}"/>
    <cellStyle name="Normal 2 2 2 7" xfId="8607" xr:uid="{00000000-0005-0000-0000-00009C210000}"/>
    <cellStyle name="Normal 2 2 2 7 2" xfId="8608" xr:uid="{00000000-0005-0000-0000-00009D210000}"/>
    <cellStyle name="Normal 2 2 2 8" xfId="8609" xr:uid="{00000000-0005-0000-0000-00009E210000}"/>
    <cellStyle name="Normal 2 2 2 9" xfId="8610" xr:uid="{00000000-0005-0000-0000-00009F210000}"/>
    <cellStyle name="Normal 2 2 3" xfId="8611" xr:uid="{00000000-0005-0000-0000-0000A0210000}"/>
    <cellStyle name="Normal 2 2 3 2" xfId="8612" xr:uid="{00000000-0005-0000-0000-0000A1210000}"/>
    <cellStyle name="Normal 2 2 3 3" xfId="8613" xr:uid="{00000000-0005-0000-0000-0000A2210000}"/>
    <cellStyle name="Normal 2 2 3 3 2" xfId="8614" xr:uid="{00000000-0005-0000-0000-0000A3210000}"/>
    <cellStyle name="Normal 2 2 3 3 3" xfId="8615" xr:uid="{00000000-0005-0000-0000-0000A4210000}"/>
    <cellStyle name="Normal 2 2 3 4" xfId="8616" xr:uid="{00000000-0005-0000-0000-0000A5210000}"/>
    <cellStyle name="Normal 2 2 3 5" xfId="8617" xr:uid="{00000000-0005-0000-0000-0000A6210000}"/>
    <cellStyle name="Normal 2 2 4" xfId="8618" xr:uid="{00000000-0005-0000-0000-0000A7210000}"/>
    <cellStyle name="Normal 2 2 4 2" xfId="8619" xr:uid="{00000000-0005-0000-0000-0000A8210000}"/>
    <cellStyle name="Normal 2 2 4 3" xfId="8620" xr:uid="{00000000-0005-0000-0000-0000A9210000}"/>
    <cellStyle name="Normal 2 2 4 3 2" xfId="8621" xr:uid="{00000000-0005-0000-0000-0000AA210000}"/>
    <cellStyle name="Normal 2 2 4 3 3" xfId="8622" xr:uid="{00000000-0005-0000-0000-0000AB210000}"/>
    <cellStyle name="Normal 2 2 4 4" xfId="8623" xr:uid="{00000000-0005-0000-0000-0000AC210000}"/>
    <cellStyle name="Normal 2 2 4 5" xfId="8624" xr:uid="{00000000-0005-0000-0000-0000AD210000}"/>
    <cellStyle name="Normal 2 2 5" xfId="8625" xr:uid="{00000000-0005-0000-0000-0000AE210000}"/>
    <cellStyle name="Normal 2 2 5 2" xfId="8626" xr:uid="{00000000-0005-0000-0000-0000AF210000}"/>
    <cellStyle name="Normal 2 2 6" xfId="8627" xr:uid="{00000000-0005-0000-0000-0000B0210000}"/>
    <cellStyle name="Normal 2 2 6 2" xfId="8628" xr:uid="{00000000-0005-0000-0000-0000B1210000}"/>
    <cellStyle name="Normal 2 2 6 3" xfId="8629" xr:uid="{00000000-0005-0000-0000-0000B2210000}"/>
    <cellStyle name="Normal 2 2 6 4" xfId="8630" xr:uid="{00000000-0005-0000-0000-0000B3210000}"/>
    <cellStyle name="Normal 2 2 7" xfId="8631" xr:uid="{00000000-0005-0000-0000-0000B4210000}"/>
    <cellStyle name="Normal 2 2 7 2" xfId="8632" xr:uid="{00000000-0005-0000-0000-0000B5210000}"/>
    <cellStyle name="Normal 2 2 7 3" xfId="8633" xr:uid="{00000000-0005-0000-0000-0000B6210000}"/>
    <cellStyle name="Normal 2 2 8" xfId="8634" xr:uid="{00000000-0005-0000-0000-0000B7210000}"/>
    <cellStyle name="Normal 2 20" xfId="8635" xr:uid="{00000000-0005-0000-0000-0000B8210000}"/>
    <cellStyle name="Normal 2 20 2" xfId="8636" xr:uid="{00000000-0005-0000-0000-0000B9210000}"/>
    <cellStyle name="Normal 2 21" xfId="8637" xr:uid="{00000000-0005-0000-0000-0000BA210000}"/>
    <cellStyle name="Normal 2 21 2" xfId="8638" xr:uid="{00000000-0005-0000-0000-0000BB210000}"/>
    <cellStyle name="Normal 2 22" xfId="8639" xr:uid="{00000000-0005-0000-0000-0000BC210000}"/>
    <cellStyle name="Normal 2 22 2" xfId="8640" xr:uid="{00000000-0005-0000-0000-0000BD210000}"/>
    <cellStyle name="Normal 2 23" xfId="8641" xr:uid="{00000000-0005-0000-0000-0000BE210000}"/>
    <cellStyle name="Normal 2 23 2" xfId="8642" xr:uid="{00000000-0005-0000-0000-0000BF210000}"/>
    <cellStyle name="Normal 2 24" xfId="8643" xr:uid="{00000000-0005-0000-0000-0000C0210000}"/>
    <cellStyle name="Normal 2 24 2" xfId="8644" xr:uid="{00000000-0005-0000-0000-0000C1210000}"/>
    <cellStyle name="Normal 2 25" xfId="8645" xr:uid="{00000000-0005-0000-0000-0000C2210000}"/>
    <cellStyle name="Normal 2 25 2" xfId="8646" xr:uid="{00000000-0005-0000-0000-0000C3210000}"/>
    <cellStyle name="Normal 2 26" xfId="8647" xr:uid="{00000000-0005-0000-0000-0000C4210000}"/>
    <cellStyle name="Normal 2 26 2" xfId="8648" xr:uid="{00000000-0005-0000-0000-0000C5210000}"/>
    <cellStyle name="Normal 2 27" xfId="8649" xr:uid="{00000000-0005-0000-0000-0000C6210000}"/>
    <cellStyle name="Normal 2 27 2" xfId="8650" xr:uid="{00000000-0005-0000-0000-0000C7210000}"/>
    <cellStyle name="Normal 2 28" xfId="8651" xr:uid="{00000000-0005-0000-0000-0000C8210000}"/>
    <cellStyle name="Normal 2 28 2" xfId="8652" xr:uid="{00000000-0005-0000-0000-0000C9210000}"/>
    <cellStyle name="Normal 2 29" xfId="8653" xr:uid="{00000000-0005-0000-0000-0000CA210000}"/>
    <cellStyle name="Normal 2 29 2" xfId="8654" xr:uid="{00000000-0005-0000-0000-0000CB210000}"/>
    <cellStyle name="Normal 2 3" xfId="8655" xr:uid="{00000000-0005-0000-0000-0000CC210000}"/>
    <cellStyle name="Normal 2 3 2" xfId="8656" xr:uid="{00000000-0005-0000-0000-0000CD210000}"/>
    <cellStyle name="Normal 2 3 2 2" xfId="8657" xr:uid="{00000000-0005-0000-0000-0000CE210000}"/>
    <cellStyle name="Normal 2 3 3" xfId="8658" xr:uid="{00000000-0005-0000-0000-0000CF210000}"/>
    <cellStyle name="Normal 2 3 3 2" xfId="8659" xr:uid="{00000000-0005-0000-0000-0000D0210000}"/>
    <cellStyle name="Normal 2 3 4" xfId="8660" xr:uid="{00000000-0005-0000-0000-0000D1210000}"/>
    <cellStyle name="Normal 2 30" xfId="8661" xr:uid="{00000000-0005-0000-0000-0000D2210000}"/>
    <cellStyle name="Normal 2 30 2" xfId="8662" xr:uid="{00000000-0005-0000-0000-0000D3210000}"/>
    <cellStyle name="Normal 2 31" xfId="8663" xr:uid="{00000000-0005-0000-0000-0000D4210000}"/>
    <cellStyle name="Normal 2 31 2" xfId="8664" xr:uid="{00000000-0005-0000-0000-0000D5210000}"/>
    <cellStyle name="Normal 2 32" xfId="8665" xr:uid="{00000000-0005-0000-0000-0000D6210000}"/>
    <cellStyle name="Normal 2 32 2" xfId="8666" xr:uid="{00000000-0005-0000-0000-0000D7210000}"/>
    <cellStyle name="Normal 2 33" xfId="8667" xr:uid="{00000000-0005-0000-0000-0000D8210000}"/>
    <cellStyle name="Normal 2 33 2" xfId="8668" xr:uid="{00000000-0005-0000-0000-0000D9210000}"/>
    <cellStyle name="Normal 2 34" xfId="8669" xr:uid="{00000000-0005-0000-0000-0000DA210000}"/>
    <cellStyle name="Normal 2 34 2" xfId="8670" xr:uid="{00000000-0005-0000-0000-0000DB210000}"/>
    <cellStyle name="Normal 2 35" xfId="8671" xr:uid="{00000000-0005-0000-0000-0000DC210000}"/>
    <cellStyle name="Normal 2 35 2" xfId="8672" xr:uid="{00000000-0005-0000-0000-0000DD210000}"/>
    <cellStyle name="Normal 2 36" xfId="8673" xr:uid="{00000000-0005-0000-0000-0000DE210000}"/>
    <cellStyle name="Normal 2 36 2" xfId="8674" xr:uid="{00000000-0005-0000-0000-0000DF210000}"/>
    <cellStyle name="Normal 2 37" xfId="8675" xr:uid="{00000000-0005-0000-0000-0000E0210000}"/>
    <cellStyle name="Normal 2 37 2" xfId="8676" xr:uid="{00000000-0005-0000-0000-0000E1210000}"/>
    <cellStyle name="Normal 2 38" xfId="8677" xr:uid="{00000000-0005-0000-0000-0000E2210000}"/>
    <cellStyle name="Normal 2 38 2" xfId="8678" xr:uid="{00000000-0005-0000-0000-0000E3210000}"/>
    <cellStyle name="Normal 2 39" xfId="8679" xr:uid="{00000000-0005-0000-0000-0000E4210000}"/>
    <cellStyle name="Normal 2 39 2" xfId="8680" xr:uid="{00000000-0005-0000-0000-0000E5210000}"/>
    <cellStyle name="Normal 2 4" xfId="8681" xr:uid="{00000000-0005-0000-0000-0000E6210000}"/>
    <cellStyle name="Normal 2 4 2" xfId="8682" xr:uid="{00000000-0005-0000-0000-0000E7210000}"/>
    <cellStyle name="Normal 2 4 2 2" xfId="8683" xr:uid="{00000000-0005-0000-0000-0000E8210000}"/>
    <cellStyle name="Normal 2 4 2 3" xfId="8684" xr:uid="{00000000-0005-0000-0000-0000E9210000}"/>
    <cellStyle name="Normal 2 4 3" xfId="8685" xr:uid="{00000000-0005-0000-0000-0000EA210000}"/>
    <cellStyle name="Normal 2 4 3 2" xfId="8686" xr:uid="{00000000-0005-0000-0000-0000EB210000}"/>
    <cellStyle name="Normal 2 4 3 3" xfId="8687" xr:uid="{00000000-0005-0000-0000-0000EC210000}"/>
    <cellStyle name="Normal 2 4 4" xfId="8688" xr:uid="{00000000-0005-0000-0000-0000ED210000}"/>
    <cellStyle name="Normal 2 40" xfId="8689" xr:uid="{00000000-0005-0000-0000-0000EE210000}"/>
    <cellStyle name="Normal 2 40 2" xfId="8690" xr:uid="{00000000-0005-0000-0000-0000EF210000}"/>
    <cellStyle name="Normal 2 41" xfId="8691" xr:uid="{00000000-0005-0000-0000-0000F0210000}"/>
    <cellStyle name="Normal 2 41 2" xfId="8692" xr:uid="{00000000-0005-0000-0000-0000F1210000}"/>
    <cellStyle name="Normal 2 42" xfId="8693" xr:uid="{00000000-0005-0000-0000-0000F2210000}"/>
    <cellStyle name="Normal 2 42 2" xfId="8694" xr:uid="{00000000-0005-0000-0000-0000F3210000}"/>
    <cellStyle name="Normal 2 43" xfId="8695" xr:uid="{00000000-0005-0000-0000-0000F4210000}"/>
    <cellStyle name="Normal 2 43 2" xfId="8696" xr:uid="{00000000-0005-0000-0000-0000F5210000}"/>
    <cellStyle name="Normal 2 44" xfId="8697" xr:uid="{00000000-0005-0000-0000-0000F6210000}"/>
    <cellStyle name="Normal 2 44 2" xfId="8698" xr:uid="{00000000-0005-0000-0000-0000F7210000}"/>
    <cellStyle name="Normal 2 45" xfId="8699" xr:uid="{00000000-0005-0000-0000-0000F8210000}"/>
    <cellStyle name="Normal 2 45 2" xfId="8700" xr:uid="{00000000-0005-0000-0000-0000F9210000}"/>
    <cellStyle name="Normal 2 46" xfId="8701" xr:uid="{00000000-0005-0000-0000-0000FA210000}"/>
    <cellStyle name="Normal 2 46 2" xfId="8702" xr:uid="{00000000-0005-0000-0000-0000FB210000}"/>
    <cellStyle name="Normal 2 47" xfId="8703" xr:uid="{00000000-0005-0000-0000-0000FC210000}"/>
    <cellStyle name="Normal 2 47 2" xfId="8704" xr:uid="{00000000-0005-0000-0000-0000FD210000}"/>
    <cellStyle name="Normal 2 48" xfId="8705" xr:uid="{00000000-0005-0000-0000-0000FE210000}"/>
    <cellStyle name="Normal 2 48 2" xfId="8706" xr:uid="{00000000-0005-0000-0000-0000FF210000}"/>
    <cellStyle name="Normal 2 49" xfId="8707" xr:uid="{00000000-0005-0000-0000-000000220000}"/>
    <cellStyle name="Normal 2 49 2" xfId="8708" xr:uid="{00000000-0005-0000-0000-000001220000}"/>
    <cellStyle name="Normal 2 5" xfId="8709" xr:uid="{00000000-0005-0000-0000-000002220000}"/>
    <cellStyle name="Normal 2 5 2" xfId="8710" xr:uid="{00000000-0005-0000-0000-000003220000}"/>
    <cellStyle name="Normal 2 5 2 2" xfId="8711" xr:uid="{00000000-0005-0000-0000-000004220000}"/>
    <cellStyle name="Normal 2 5 3" xfId="8712" xr:uid="{00000000-0005-0000-0000-000005220000}"/>
    <cellStyle name="Normal 2 5 3 2" xfId="8713" xr:uid="{00000000-0005-0000-0000-000006220000}"/>
    <cellStyle name="Normal 2 5 4" xfId="8714" xr:uid="{00000000-0005-0000-0000-000007220000}"/>
    <cellStyle name="Normal 2 50" xfId="8715" xr:uid="{00000000-0005-0000-0000-000008220000}"/>
    <cellStyle name="Normal 2 50 2" xfId="8716" xr:uid="{00000000-0005-0000-0000-000009220000}"/>
    <cellStyle name="Normal 2 51" xfId="8717" xr:uid="{00000000-0005-0000-0000-00000A220000}"/>
    <cellStyle name="Normal 2 51 2" xfId="8718" xr:uid="{00000000-0005-0000-0000-00000B220000}"/>
    <cellStyle name="Normal 2 52" xfId="8719" xr:uid="{00000000-0005-0000-0000-00000C220000}"/>
    <cellStyle name="Normal 2 52 2" xfId="8720" xr:uid="{00000000-0005-0000-0000-00000D220000}"/>
    <cellStyle name="Normal 2 53" xfId="8721" xr:uid="{00000000-0005-0000-0000-00000E220000}"/>
    <cellStyle name="Normal 2 53 2" xfId="8722" xr:uid="{00000000-0005-0000-0000-00000F220000}"/>
    <cellStyle name="Normal 2 54" xfId="8723" xr:uid="{00000000-0005-0000-0000-000010220000}"/>
    <cellStyle name="Normal 2 54 2" xfId="8724" xr:uid="{00000000-0005-0000-0000-000011220000}"/>
    <cellStyle name="Normal 2 55" xfId="8725" xr:uid="{00000000-0005-0000-0000-000012220000}"/>
    <cellStyle name="Normal 2 55 2" xfId="8726" xr:uid="{00000000-0005-0000-0000-000013220000}"/>
    <cellStyle name="Normal 2 56" xfId="8727" xr:uid="{00000000-0005-0000-0000-000014220000}"/>
    <cellStyle name="Normal 2 56 2" xfId="8728" xr:uid="{00000000-0005-0000-0000-000015220000}"/>
    <cellStyle name="Normal 2 57" xfId="8729" xr:uid="{00000000-0005-0000-0000-000016220000}"/>
    <cellStyle name="Normal 2 57 2" xfId="8730" xr:uid="{00000000-0005-0000-0000-000017220000}"/>
    <cellStyle name="Normal 2 58" xfId="8731" xr:uid="{00000000-0005-0000-0000-000018220000}"/>
    <cellStyle name="Normal 2 58 2" xfId="8732" xr:uid="{00000000-0005-0000-0000-000019220000}"/>
    <cellStyle name="Normal 2 59" xfId="8733" xr:uid="{00000000-0005-0000-0000-00001A220000}"/>
    <cellStyle name="Normal 2 59 2" xfId="8734" xr:uid="{00000000-0005-0000-0000-00001B220000}"/>
    <cellStyle name="Normal 2 6" xfId="8735" xr:uid="{00000000-0005-0000-0000-00001C220000}"/>
    <cellStyle name="Normal 2 6 2" xfId="8736" xr:uid="{00000000-0005-0000-0000-00001D220000}"/>
    <cellStyle name="Normal 2 6 2 2" xfId="8737" xr:uid="{00000000-0005-0000-0000-00001E220000}"/>
    <cellStyle name="Normal 2 6 3" xfId="8738" xr:uid="{00000000-0005-0000-0000-00001F220000}"/>
    <cellStyle name="Normal 2 6 3 2" xfId="8739" xr:uid="{00000000-0005-0000-0000-000020220000}"/>
    <cellStyle name="Normal 2 6 4" xfId="8740" xr:uid="{00000000-0005-0000-0000-000021220000}"/>
    <cellStyle name="Normal 2 60" xfId="8741" xr:uid="{00000000-0005-0000-0000-000022220000}"/>
    <cellStyle name="Normal 2 60 2" xfId="8742" xr:uid="{00000000-0005-0000-0000-000023220000}"/>
    <cellStyle name="Normal 2 61" xfId="8743" xr:uid="{00000000-0005-0000-0000-000024220000}"/>
    <cellStyle name="Normal 2 61 2" xfId="8744" xr:uid="{00000000-0005-0000-0000-000025220000}"/>
    <cellStyle name="Normal 2 62" xfId="8745" xr:uid="{00000000-0005-0000-0000-000026220000}"/>
    <cellStyle name="Normal 2 62 2" xfId="8746" xr:uid="{00000000-0005-0000-0000-000027220000}"/>
    <cellStyle name="Normal 2 63" xfId="8747" xr:uid="{00000000-0005-0000-0000-000028220000}"/>
    <cellStyle name="Normal 2 63 2" xfId="8748" xr:uid="{00000000-0005-0000-0000-000029220000}"/>
    <cellStyle name="Normal 2 64" xfId="8749" xr:uid="{00000000-0005-0000-0000-00002A220000}"/>
    <cellStyle name="Normal 2 64 2" xfId="8750" xr:uid="{00000000-0005-0000-0000-00002B220000}"/>
    <cellStyle name="Normal 2 65" xfId="8751" xr:uid="{00000000-0005-0000-0000-00002C220000}"/>
    <cellStyle name="Normal 2 65 2" xfId="8752" xr:uid="{00000000-0005-0000-0000-00002D220000}"/>
    <cellStyle name="Normal 2 66" xfId="8753" xr:uid="{00000000-0005-0000-0000-00002E220000}"/>
    <cellStyle name="Normal 2 66 2" xfId="8754" xr:uid="{00000000-0005-0000-0000-00002F220000}"/>
    <cellStyle name="Normal 2 67" xfId="8755" xr:uid="{00000000-0005-0000-0000-000030220000}"/>
    <cellStyle name="Normal 2 67 2" xfId="8756" xr:uid="{00000000-0005-0000-0000-000031220000}"/>
    <cellStyle name="Normal 2 68" xfId="8757" xr:uid="{00000000-0005-0000-0000-000032220000}"/>
    <cellStyle name="Normal 2 68 2" xfId="8758" xr:uid="{00000000-0005-0000-0000-000033220000}"/>
    <cellStyle name="Normal 2 69" xfId="8759" xr:uid="{00000000-0005-0000-0000-000034220000}"/>
    <cellStyle name="Normal 2 69 2" xfId="8760" xr:uid="{00000000-0005-0000-0000-000035220000}"/>
    <cellStyle name="Normal 2 7" xfId="8761" xr:uid="{00000000-0005-0000-0000-000036220000}"/>
    <cellStyle name="Normal 2 7 2" xfId="8762" xr:uid="{00000000-0005-0000-0000-000037220000}"/>
    <cellStyle name="Normal 2 7 2 2" xfId="8763" xr:uid="{00000000-0005-0000-0000-000038220000}"/>
    <cellStyle name="Normal 2 7 2 3" xfId="8764" xr:uid="{00000000-0005-0000-0000-000039220000}"/>
    <cellStyle name="Normal 2 7 3" xfId="8765" xr:uid="{00000000-0005-0000-0000-00003A220000}"/>
    <cellStyle name="Normal 2 7 3 2" xfId="8766" xr:uid="{00000000-0005-0000-0000-00003B220000}"/>
    <cellStyle name="Normal 2 7 3 3" xfId="8767" xr:uid="{00000000-0005-0000-0000-00003C220000}"/>
    <cellStyle name="Normal 2 7 4" xfId="8768" xr:uid="{00000000-0005-0000-0000-00003D220000}"/>
    <cellStyle name="Normal 2 70" xfId="8769" xr:uid="{00000000-0005-0000-0000-00003E220000}"/>
    <cellStyle name="Normal 2 70 2" xfId="8770" xr:uid="{00000000-0005-0000-0000-00003F220000}"/>
    <cellStyle name="Normal 2 71" xfId="8771" xr:uid="{00000000-0005-0000-0000-000040220000}"/>
    <cellStyle name="Normal 2 71 2" xfId="8772" xr:uid="{00000000-0005-0000-0000-000041220000}"/>
    <cellStyle name="Normal 2 72" xfId="8773" xr:uid="{00000000-0005-0000-0000-000042220000}"/>
    <cellStyle name="Normal 2 72 2" xfId="8774" xr:uid="{00000000-0005-0000-0000-000043220000}"/>
    <cellStyle name="Normal 2 73" xfId="8775" xr:uid="{00000000-0005-0000-0000-000044220000}"/>
    <cellStyle name="Normal 2 73 2" xfId="8776" xr:uid="{00000000-0005-0000-0000-000045220000}"/>
    <cellStyle name="Normal 2 74" xfId="8777" xr:uid="{00000000-0005-0000-0000-000046220000}"/>
    <cellStyle name="Normal 2 74 2" xfId="8778" xr:uid="{00000000-0005-0000-0000-000047220000}"/>
    <cellStyle name="Normal 2 75" xfId="8779" xr:uid="{00000000-0005-0000-0000-000048220000}"/>
    <cellStyle name="Normal 2 75 2" xfId="8780" xr:uid="{00000000-0005-0000-0000-000049220000}"/>
    <cellStyle name="Normal 2 76" xfId="8781" xr:uid="{00000000-0005-0000-0000-00004A220000}"/>
    <cellStyle name="Normal 2 76 2" xfId="8782" xr:uid="{00000000-0005-0000-0000-00004B220000}"/>
    <cellStyle name="Normal 2 77" xfId="8783" xr:uid="{00000000-0005-0000-0000-00004C220000}"/>
    <cellStyle name="Normal 2 77 2" xfId="8784" xr:uid="{00000000-0005-0000-0000-00004D220000}"/>
    <cellStyle name="Normal 2 78" xfId="8785" xr:uid="{00000000-0005-0000-0000-00004E220000}"/>
    <cellStyle name="Normal 2 78 2" xfId="8786" xr:uid="{00000000-0005-0000-0000-00004F220000}"/>
    <cellStyle name="Normal 2 79" xfId="8787" xr:uid="{00000000-0005-0000-0000-000050220000}"/>
    <cellStyle name="Normal 2 79 2" xfId="8788" xr:uid="{00000000-0005-0000-0000-000051220000}"/>
    <cellStyle name="Normal 2 8" xfId="8789" xr:uid="{00000000-0005-0000-0000-000052220000}"/>
    <cellStyle name="Normal 2 8 2" xfId="8790" xr:uid="{00000000-0005-0000-0000-000053220000}"/>
    <cellStyle name="Normal 2 80" xfId="8791" xr:uid="{00000000-0005-0000-0000-000054220000}"/>
    <cellStyle name="Normal 2 80 2" xfId="8792" xr:uid="{00000000-0005-0000-0000-000055220000}"/>
    <cellStyle name="Normal 2 81" xfId="8793" xr:uid="{00000000-0005-0000-0000-000056220000}"/>
    <cellStyle name="Normal 2 81 2" xfId="8794" xr:uid="{00000000-0005-0000-0000-000057220000}"/>
    <cellStyle name="Normal 2 82" xfId="8795" xr:uid="{00000000-0005-0000-0000-000058220000}"/>
    <cellStyle name="Normal 2 82 2" xfId="8796" xr:uid="{00000000-0005-0000-0000-000059220000}"/>
    <cellStyle name="Normal 2 83" xfId="8797" xr:uid="{00000000-0005-0000-0000-00005A220000}"/>
    <cellStyle name="Normal 2 83 2" xfId="8798" xr:uid="{00000000-0005-0000-0000-00005B220000}"/>
    <cellStyle name="Normal 2 84" xfId="8799" xr:uid="{00000000-0005-0000-0000-00005C220000}"/>
    <cellStyle name="Normal 2 84 2" xfId="8800" xr:uid="{00000000-0005-0000-0000-00005D220000}"/>
    <cellStyle name="Normal 2 85" xfId="8801" xr:uid="{00000000-0005-0000-0000-00005E220000}"/>
    <cellStyle name="Normal 2 85 2" xfId="8802" xr:uid="{00000000-0005-0000-0000-00005F220000}"/>
    <cellStyle name="Normal 2 86" xfId="8803" xr:uid="{00000000-0005-0000-0000-000060220000}"/>
    <cellStyle name="Normal 2 86 2" xfId="8804" xr:uid="{00000000-0005-0000-0000-000061220000}"/>
    <cellStyle name="Normal 2 87" xfId="8805" xr:uid="{00000000-0005-0000-0000-000062220000}"/>
    <cellStyle name="Normal 2 87 2" xfId="8806" xr:uid="{00000000-0005-0000-0000-000063220000}"/>
    <cellStyle name="Normal 2 88" xfId="8807" xr:uid="{00000000-0005-0000-0000-000064220000}"/>
    <cellStyle name="Normal 2 88 2" xfId="8808" xr:uid="{00000000-0005-0000-0000-000065220000}"/>
    <cellStyle name="Normal 2 89" xfId="8809" xr:uid="{00000000-0005-0000-0000-000066220000}"/>
    <cellStyle name="Normal 2 89 2" xfId="8810" xr:uid="{00000000-0005-0000-0000-000067220000}"/>
    <cellStyle name="Normal 2 89 2 2" xfId="8811" xr:uid="{00000000-0005-0000-0000-000068220000}"/>
    <cellStyle name="Normal 2 89 3" xfId="8812" xr:uid="{00000000-0005-0000-0000-000069220000}"/>
    <cellStyle name="Normal 2 9" xfId="8813" xr:uid="{00000000-0005-0000-0000-00006A220000}"/>
    <cellStyle name="Normal 2 9 2" xfId="8814" xr:uid="{00000000-0005-0000-0000-00006B220000}"/>
    <cellStyle name="Normal 2 90" xfId="8815" xr:uid="{00000000-0005-0000-0000-00006C220000}"/>
    <cellStyle name="Normal 2 90 2" xfId="8816" xr:uid="{00000000-0005-0000-0000-00006D220000}"/>
    <cellStyle name="Normal 2 91" xfId="8817" xr:uid="{00000000-0005-0000-0000-00006E220000}"/>
    <cellStyle name="Normal 2 91 2" xfId="8818" xr:uid="{00000000-0005-0000-0000-00006F220000}"/>
    <cellStyle name="Normal 2 92" xfId="8819" xr:uid="{00000000-0005-0000-0000-000070220000}"/>
    <cellStyle name="Normal 2 92 2" xfId="8820" xr:uid="{00000000-0005-0000-0000-000071220000}"/>
    <cellStyle name="Normal 2 92 3" xfId="8821" xr:uid="{00000000-0005-0000-0000-000072220000}"/>
    <cellStyle name="Normal 2 92 4" xfId="8822" xr:uid="{00000000-0005-0000-0000-000073220000}"/>
    <cellStyle name="Normal 2 93" xfId="8823" xr:uid="{00000000-0005-0000-0000-000074220000}"/>
    <cellStyle name="Normal 2 93 2" xfId="8824" xr:uid="{00000000-0005-0000-0000-000075220000}"/>
    <cellStyle name="Normal 2 94" xfId="8825" xr:uid="{00000000-0005-0000-0000-000076220000}"/>
    <cellStyle name="Normal 2 94 2" xfId="8826" xr:uid="{00000000-0005-0000-0000-000077220000}"/>
    <cellStyle name="Normal 2 95" xfId="8827" xr:uid="{00000000-0005-0000-0000-000078220000}"/>
    <cellStyle name="Normal 2 96" xfId="8828" xr:uid="{00000000-0005-0000-0000-000079220000}"/>
    <cellStyle name="Normal 2 97" xfId="8829" xr:uid="{00000000-0005-0000-0000-00007A220000}"/>
    <cellStyle name="Normal 2 98" xfId="8830" xr:uid="{00000000-0005-0000-0000-00007B220000}"/>
    <cellStyle name="Normal 2 99" xfId="8831" xr:uid="{00000000-0005-0000-0000-00007C220000}"/>
    <cellStyle name="Normal 2_BP &amp; PPFAC Detail" xfId="8832" xr:uid="{00000000-0005-0000-0000-00007D220000}"/>
    <cellStyle name="Normal 20" xfId="8833" xr:uid="{00000000-0005-0000-0000-00007E220000}"/>
    <cellStyle name="Normal 20 10" xfId="8834" xr:uid="{00000000-0005-0000-0000-00007F220000}"/>
    <cellStyle name="Normal 20 10 2" xfId="8835" xr:uid="{00000000-0005-0000-0000-000080220000}"/>
    <cellStyle name="Normal 20 10 2 2" xfId="8836" xr:uid="{00000000-0005-0000-0000-000081220000}"/>
    <cellStyle name="Normal 20 10 2 3" xfId="8837" xr:uid="{00000000-0005-0000-0000-000082220000}"/>
    <cellStyle name="Normal 20 10 3" xfId="8838" xr:uid="{00000000-0005-0000-0000-000083220000}"/>
    <cellStyle name="Normal 20 10 4" xfId="8839" xr:uid="{00000000-0005-0000-0000-000084220000}"/>
    <cellStyle name="Normal 20 11" xfId="8840" xr:uid="{00000000-0005-0000-0000-000085220000}"/>
    <cellStyle name="Normal 20 11 2" xfId="8841" xr:uid="{00000000-0005-0000-0000-000086220000}"/>
    <cellStyle name="Normal 20 11 2 2" xfId="8842" xr:uid="{00000000-0005-0000-0000-000087220000}"/>
    <cellStyle name="Normal 20 11 2 3" xfId="8843" xr:uid="{00000000-0005-0000-0000-000088220000}"/>
    <cellStyle name="Normal 20 11 3" xfId="8844" xr:uid="{00000000-0005-0000-0000-000089220000}"/>
    <cellStyle name="Normal 20 11 4" xfId="8845" xr:uid="{00000000-0005-0000-0000-00008A220000}"/>
    <cellStyle name="Normal 20 12" xfId="8846" xr:uid="{00000000-0005-0000-0000-00008B220000}"/>
    <cellStyle name="Normal 20 12 2" xfId="8847" xr:uid="{00000000-0005-0000-0000-00008C220000}"/>
    <cellStyle name="Normal 20 12 2 2" xfId="8848" xr:uid="{00000000-0005-0000-0000-00008D220000}"/>
    <cellStyle name="Normal 20 12 2 3" xfId="8849" xr:uid="{00000000-0005-0000-0000-00008E220000}"/>
    <cellStyle name="Normal 20 12 3" xfId="8850" xr:uid="{00000000-0005-0000-0000-00008F220000}"/>
    <cellStyle name="Normal 20 12 4" xfId="8851" xr:uid="{00000000-0005-0000-0000-000090220000}"/>
    <cellStyle name="Normal 20 13" xfId="8852" xr:uid="{00000000-0005-0000-0000-000091220000}"/>
    <cellStyle name="Normal 20 13 2" xfId="8853" xr:uid="{00000000-0005-0000-0000-000092220000}"/>
    <cellStyle name="Normal 20 13 2 2" xfId="8854" xr:uid="{00000000-0005-0000-0000-000093220000}"/>
    <cellStyle name="Normal 20 13 2 3" xfId="8855" xr:uid="{00000000-0005-0000-0000-000094220000}"/>
    <cellStyle name="Normal 20 13 3" xfId="8856" xr:uid="{00000000-0005-0000-0000-000095220000}"/>
    <cellStyle name="Normal 20 13 4" xfId="8857" xr:uid="{00000000-0005-0000-0000-000096220000}"/>
    <cellStyle name="Normal 20 14" xfId="8858" xr:uid="{00000000-0005-0000-0000-000097220000}"/>
    <cellStyle name="Normal 20 14 2" xfId="8859" xr:uid="{00000000-0005-0000-0000-000098220000}"/>
    <cellStyle name="Normal 20 14 2 2" xfId="8860" xr:uid="{00000000-0005-0000-0000-000099220000}"/>
    <cellStyle name="Normal 20 14 2 3" xfId="8861" xr:uid="{00000000-0005-0000-0000-00009A220000}"/>
    <cellStyle name="Normal 20 14 3" xfId="8862" xr:uid="{00000000-0005-0000-0000-00009B220000}"/>
    <cellStyle name="Normal 20 14 4" xfId="8863" xr:uid="{00000000-0005-0000-0000-00009C220000}"/>
    <cellStyle name="Normal 20 15" xfId="8864" xr:uid="{00000000-0005-0000-0000-00009D220000}"/>
    <cellStyle name="Normal 20 15 2" xfId="8865" xr:uid="{00000000-0005-0000-0000-00009E220000}"/>
    <cellStyle name="Normal 20 15 2 2" xfId="8866" xr:uid="{00000000-0005-0000-0000-00009F220000}"/>
    <cellStyle name="Normal 20 15 2 3" xfId="8867" xr:uid="{00000000-0005-0000-0000-0000A0220000}"/>
    <cellStyle name="Normal 20 15 3" xfId="8868" xr:uid="{00000000-0005-0000-0000-0000A1220000}"/>
    <cellStyle name="Normal 20 15 4" xfId="8869" xr:uid="{00000000-0005-0000-0000-0000A2220000}"/>
    <cellStyle name="Normal 20 16" xfId="8870" xr:uid="{00000000-0005-0000-0000-0000A3220000}"/>
    <cellStyle name="Normal 20 16 2" xfId="8871" xr:uid="{00000000-0005-0000-0000-0000A4220000}"/>
    <cellStyle name="Normal 20 16 2 2" xfId="8872" xr:uid="{00000000-0005-0000-0000-0000A5220000}"/>
    <cellStyle name="Normal 20 16 2 3" xfId="8873" xr:uid="{00000000-0005-0000-0000-0000A6220000}"/>
    <cellStyle name="Normal 20 16 3" xfId="8874" xr:uid="{00000000-0005-0000-0000-0000A7220000}"/>
    <cellStyle name="Normal 20 16 4" xfId="8875" xr:uid="{00000000-0005-0000-0000-0000A8220000}"/>
    <cellStyle name="Normal 20 17" xfId="8876" xr:uid="{00000000-0005-0000-0000-0000A9220000}"/>
    <cellStyle name="Normal 20 17 2" xfId="8877" xr:uid="{00000000-0005-0000-0000-0000AA220000}"/>
    <cellStyle name="Normal 20 17 2 2" xfId="8878" xr:uid="{00000000-0005-0000-0000-0000AB220000}"/>
    <cellStyle name="Normal 20 17 2 3" xfId="8879" xr:uid="{00000000-0005-0000-0000-0000AC220000}"/>
    <cellStyle name="Normal 20 17 3" xfId="8880" xr:uid="{00000000-0005-0000-0000-0000AD220000}"/>
    <cellStyle name="Normal 20 17 4" xfId="8881" xr:uid="{00000000-0005-0000-0000-0000AE220000}"/>
    <cellStyle name="Normal 20 18" xfId="8882" xr:uid="{00000000-0005-0000-0000-0000AF220000}"/>
    <cellStyle name="Normal 20 18 2" xfId="8883" xr:uid="{00000000-0005-0000-0000-0000B0220000}"/>
    <cellStyle name="Normal 20 18 2 2" xfId="8884" xr:uid="{00000000-0005-0000-0000-0000B1220000}"/>
    <cellStyle name="Normal 20 18 2 3" xfId="8885" xr:uid="{00000000-0005-0000-0000-0000B2220000}"/>
    <cellStyle name="Normal 20 18 3" xfId="8886" xr:uid="{00000000-0005-0000-0000-0000B3220000}"/>
    <cellStyle name="Normal 20 18 4" xfId="8887" xr:uid="{00000000-0005-0000-0000-0000B4220000}"/>
    <cellStyle name="Normal 20 19" xfId="8888" xr:uid="{00000000-0005-0000-0000-0000B5220000}"/>
    <cellStyle name="Normal 20 19 2" xfId="8889" xr:uid="{00000000-0005-0000-0000-0000B6220000}"/>
    <cellStyle name="Normal 20 19 2 2" xfId="8890" xr:uid="{00000000-0005-0000-0000-0000B7220000}"/>
    <cellStyle name="Normal 20 19 2 3" xfId="8891" xr:uid="{00000000-0005-0000-0000-0000B8220000}"/>
    <cellStyle name="Normal 20 19 3" xfId="8892" xr:uid="{00000000-0005-0000-0000-0000B9220000}"/>
    <cellStyle name="Normal 20 19 4" xfId="8893" xr:uid="{00000000-0005-0000-0000-0000BA220000}"/>
    <cellStyle name="Normal 20 2" xfId="8894" xr:uid="{00000000-0005-0000-0000-0000BB220000}"/>
    <cellStyle name="Normal 20 2 2" xfId="8895" xr:uid="{00000000-0005-0000-0000-0000BC220000}"/>
    <cellStyle name="Normal 20 20" xfId="8896" xr:uid="{00000000-0005-0000-0000-0000BD220000}"/>
    <cellStyle name="Normal 20 20 2" xfId="8897" xr:uid="{00000000-0005-0000-0000-0000BE220000}"/>
    <cellStyle name="Normal 20 20 2 2" xfId="8898" xr:uid="{00000000-0005-0000-0000-0000BF220000}"/>
    <cellStyle name="Normal 20 20 2 3" xfId="8899" xr:uid="{00000000-0005-0000-0000-0000C0220000}"/>
    <cellStyle name="Normal 20 20 3" xfId="8900" xr:uid="{00000000-0005-0000-0000-0000C1220000}"/>
    <cellStyle name="Normal 20 20 4" xfId="8901" xr:uid="{00000000-0005-0000-0000-0000C2220000}"/>
    <cellStyle name="Normal 20 21" xfId="8902" xr:uid="{00000000-0005-0000-0000-0000C3220000}"/>
    <cellStyle name="Normal 20 21 2" xfId="8903" xr:uid="{00000000-0005-0000-0000-0000C4220000}"/>
    <cellStyle name="Normal 20 21 2 2" xfId="8904" xr:uid="{00000000-0005-0000-0000-0000C5220000}"/>
    <cellStyle name="Normal 20 21 2 3" xfId="8905" xr:uid="{00000000-0005-0000-0000-0000C6220000}"/>
    <cellStyle name="Normal 20 21 3" xfId="8906" xr:uid="{00000000-0005-0000-0000-0000C7220000}"/>
    <cellStyle name="Normal 20 21 4" xfId="8907" xr:uid="{00000000-0005-0000-0000-0000C8220000}"/>
    <cellStyle name="Normal 20 22" xfId="8908" xr:uid="{00000000-0005-0000-0000-0000C9220000}"/>
    <cellStyle name="Normal 20 22 2" xfId="8909" xr:uid="{00000000-0005-0000-0000-0000CA220000}"/>
    <cellStyle name="Normal 20 22 2 2" xfId="8910" xr:uid="{00000000-0005-0000-0000-0000CB220000}"/>
    <cellStyle name="Normal 20 22 2 3" xfId="8911" xr:uid="{00000000-0005-0000-0000-0000CC220000}"/>
    <cellStyle name="Normal 20 22 3" xfId="8912" xr:uid="{00000000-0005-0000-0000-0000CD220000}"/>
    <cellStyle name="Normal 20 22 4" xfId="8913" xr:uid="{00000000-0005-0000-0000-0000CE220000}"/>
    <cellStyle name="Normal 20 23" xfId="8914" xr:uid="{00000000-0005-0000-0000-0000CF220000}"/>
    <cellStyle name="Normal 20 23 2" xfId="8915" xr:uid="{00000000-0005-0000-0000-0000D0220000}"/>
    <cellStyle name="Normal 20 23 2 2" xfId="8916" xr:uid="{00000000-0005-0000-0000-0000D1220000}"/>
    <cellStyle name="Normal 20 23 2 3" xfId="8917" xr:uid="{00000000-0005-0000-0000-0000D2220000}"/>
    <cellStyle name="Normal 20 23 3" xfId="8918" xr:uid="{00000000-0005-0000-0000-0000D3220000}"/>
    <cellStyle name="Normal 20 23 4" xfId="8919" xr:uid="{00000000-0005-0000-0000-0000D4220000}"/>
    <cellStyle name="Normal 20 24" xfId="8920" xr:uid="{00000000-0005-0000-0000-0000D5220000}"/>
    <cellStyle name="Normal 20 24 2" xfId="8921" xr:uid="{00000000-0005-0000-0000-0000D6220000}"/>
    <cellStyle name="Normal 20 24 2 2" xfId="8922" xr:uid="{00000000-0005-0000-0000-0000D7220000}"/>
    <cellStyle name="Normal 20 24 2 3" xfId="8923" xr:uid="{00000000-0005-0000-0000-0000D8220000}"/>
    <cellStyle name="Normal 20 24 3" xfId="8924" xr:uid="{00000000-0005-0000-0000-0000D9220000}"/>
    <cellStyle name="Normal 20 24 4" xfId="8925" xr:uid="{00000000-0005-0000-0000-0000DA220000}"/>
    <cellStyle name="Normal 20 25" xfId="8926" xr:uid="{00000000-0005-0000-0000-0000DB220000}"/>
    <cellStyle name="Normal 20 25 2" xfId="8927" xr:uid="{00000000-0005-0000-0000-0000DC220000}"/>
    <cellStyle name="Normal 20 25 2 2" xfId="8928" xr:uid="{00000000-0005-0000-0000-0000DD220000}"/>
    <cellStyle name="Normal 20 25 2 3" xfId="8929" xr:uid="{00000000-0005-0000-0000-0000DE220000}"/>
    <cellStyle name="Normal 20 25 3" xfId="8930" xr:uid="{00000000-0005-0000-0000-0000DF220000}"/>
    <cellStyle name="Normal 20 25 4" xfId="8931" xr:uid="{00000000-0005-0000-0000-0000E0220000}"/>
    <cellStyle name="Normal 20 26" xfId="8932" xr:uid="{00000000-0005-0000-0000-0000E1220000}"/>
    <cellStyle name="Normal 20 26 2" xfId="8933" xr:uid="{00000000-0005-0000-0000-0000E2220000}"/>
    <cellStyle name="Normal 20 26 3" xfId="8934" xr:uid="{00000000-0005-0000-0000-0000E3220000}"/>
    <cellStyle name="Normal 20 27" xfId="8935" xr:uid="{00000000-0005-0000-0000-0000E4220000}"/>
    <cellStyle name="Normal 20 28" xfId="8936" xr:uid="{00000000-0005-0000-0000-0000E5220000}"/>
    <cellStyle name="Normal 20 3" xfId="8937" xr:uid="{00000000-0005-0000-0000-0000E6220000}"/>
    <cellStyle name="Normal 20 3 2" xfId="8938" xr:uid="{00000000-0005-0000-0000-0000E7220000}"/>
    <cellStyle name="Normal 20 4" xfId="8939" xr:uid="{00000000-0005-0000-0000-0000E8220000}"/>
    <cellStyle name="Normal 20 4 2" xfId="8940" xr:uid="{00000000-0005-0000-0000-0000E9220000}"/>
    <cellStyle name="Normal 20 4 2 2" xfId="8941" xr:uid="{00000000-0005-0000-0000-0000EA220000}"/>
    <cellStyle name="Normal 20 4 2 3" xfId="8942" xr:uid="{00000000-0005-0000-0000-0000EB220000}"/>
    <cellStyle name="Normal 20 4 3" xfId="8943" xr:uid="{00000000-0005-0000-0000-0000EC220000}"/>
    <cellStyle name="Normal 20 4 4" xfId="8944" xr:uid="{00000000-0005-0000-0000-0000ED220000}"/>
    <cellStyle name="Normal 20 5" xfId="8945" xr:uid="{00000000-0005-0000-0000-0000EE220000}"/>
    <cellStyle name="Normal 20 5 2" xfId="8946" xr:uid="{00000000-0005-0000-0000-0000EF220000}"/>
    <cellStyle name="Normal 20 5 2 2" xfId="8947" xr:uid="{00000000-0005-0000-0000-0000F0220000}"/>
    <cellStyle name="Normal 20 5 2 3" xfId="8948" xr:uid="{00000000-0005-0000-0000-0000F1220000}"/>
    <cellStyle name="Normal 20 5 3" xfId="8949" xr:uid="{00000000-0005-0000-0000-0000F2220000}"/>
    <cellStyle name="Normal 20 5 4" xfId="8950" xr:uid="{00000000-0005-0000-0000-0000F3220000}"/>
    <cellStyle name="Normal 20 6" xfId="8951" xr:uid="{00000000-0005-0000-0000-0000F4220000}"/>
    <cellStyle name="Normal 20 6 2" xfId="8952" xr:uid="{00000000-0005-0000-0000-0000F5220000}"/>
    <cellStyle name="Normal 20 6 2 2" xfId="8953" xr:uid="{00000000-0005-0000-0000-0000F6220000}"/>
    <cellStyle name="Normal 20 6 2 3" xfId="8954" xr:uid="{00000000-0005-0000-0000-0000F7220000}"/>
    <cellStyle name="Normal 20 6 3" xfId="8955" xr:uid="{00000000-0005-0000-0000-0000F8220000}"/>
    <cellStyle name="Normal 20 6 4" xfId="8956" xr:uid="{00000000-0005-0000-0000-0000F9220000}"/>
    <cellStyle name="Normal 20 7" xfId="8957" xr:uid="{00000000-0005-0000-0000-0000FA220000}"/>
    <cellStyle name="Normal 20 7 2" xfId="8958" xr:uid="{00000000-0005-0000-0000-0000FB220000}"/>
    <cellStyle name="Normal 20 7 2 2" xfId="8959" xr:uid="{00000000-0005-0000-0000-0000FC220000}"/>
    <cellStyle name="Normal 20 7 2 3" xfId="8960" xr:uid="{00000000-0005-0000-0000-0000FD220000}"/>
    <cellStyle name="Normal 20 7 3" xfId="8961" xr:uid="{00000000-0005-0000-0000-0000FE220000}"/>
    <cellStyle name="Normal 20 7 4" xfId="8962" xr:uid="{00000000-0005-0000-0000-0000FF220000}"/>
    <cellStyle name="Normal 20 8" xfId="8963" xr:uid="{00000000-0005-0000-0000-000000230000}"/>
    <cellStyle name="Normal 20 8 2" xfId="8964" xr:uid="{00000000-0005-0000-0000-000001230000}"/>
    <cellStyle name="Normal 20 8 2 2" xfId="8965" xr:uid="{00000000-0005-0000-0000-000002230000}"/>
    <cellStyle name="Normal 20 8 2 3" xfId="8966" xr:uid="{00000000-0005-0000-0000-000003230000}"/>
    <cellStyle name="Normal 20 8 3" xfId="8967" xr:uid="{00000000-0005-0000-0000-000004230000}"/>
    <cellStyle name="Normal 20 8 4" xfId="8968" xr:uid="{00000000-0005-0000-0000-000005230000}"/>
    <cellStyle name="Normal 20 9" xfId="8969" xr:uid="{00000000-0005-0000-0000-000006230000}"/>
    <cellStyle name="Normal 20 9 2" xfId="8970" xr:uid="{00000000-0005-0000-0000-000007230000}"/>
    <cellStyle name="Normal 20 9 2 2" xfId="8971" xr:uid="{00000000-0005-0000-0000-000008230000}"/>
    <cellStyle name="Normal 20 9 2 3" xfId="8972" xr:uid="{00000000-0005-0000-0000-000009230000}"/>
    <cellStyle name="Normal 20 9 3" xfId="8973" xr:uid="{00000000-0005-0000-0000-00000A230000}"/>
    <cellStyle name="Normal 20 9 4" xfId="8974" xr:uid="{00000000-0005-0000-0000-00000B230000}"/>
    <cellStyle name="Normal 200" xfId="8975" xr:uid="{00000000-0005-0000-0000-00000C230000}"/>
    <cellStyle name="Normal 201" xfId="8976" xr:uid="{00000000-0005-0000-0000-00000D230000}"/>
    <cellStyle name="Normal 202" xfId="8977" xr:uid="{00000000-0005-0000-0000-00000E230000}"/>
    <cellStyle name="Normal 202 2" xfId="8978" xr:uid="{00000000-0005-0000-0000-00000F230000}"/>
    <cellStyle name="Normal 203" xfId="8979" xr:uid="{00000000-0005-0000-0000-000010230000}"/>
    <cellStyle name="Normal 204" xfId="8980" xr:uid="{00000000-0005-0000-0000-000011230000}"/>
    <cellStyle name="Normal 205" xfId="8981" xr:uid="{00000000-0005-0000-0000-000012230000}"/>
    <cellStyle name="Normal 206" xfId="15611" xr:uid="{88D00905-4257-4267-8061-52B00F67B47F}"/>
    <cellStyle name="Normal 21" xfId="8982" xr:uid="{00000000-0005-0000-0000-000013230000}"/>
    <cellStyle name="Normal 21 10" xfId="8983" xr:uid="{00000000-0005-0000-0000-000014230000}"/>
    <cellStyle name="Normal 21 10 2" xfId="8984" xr:uid="{00000000-0005-0000-0000-000015230000}"/>
    <cellStyle name="Normal 21 10 2 2" xfId="8985" xr:uid="{00000000-0005-0000-0000-000016230000}"/>
    <cellStyle name="Normal 21 10 2 3" xfId="8986" xr:uid="{00000000-0005-0000-0000-000017230000}"/>
    <cellStyle name="Normal 21 10 3" xfId="8987" xr:uid="{00000000-0005-0000-0000-000018230000}"/>
    <cellStyle name="Normal 21 10 4" xfId="8988" xr:uid="{00000000-0005-0000-0000-000019230000}"/>
    <cellStyle name="Normal 21 11" xfId="8989" xr:uid="{00000000-0005-0000-0000-00001A230000}"/>
    <cellStyle name="Normal 21 11 2" xfId="8990" xr:uid="{00000000-0005-0000-0000-00001B230000}"/>
    <cellStyle name="Normal 21 11 2 2" xfId="8991" xr:uid="{00000000-0005-0000-0000-00001C230000}"/>
    <cellStyle name="Normal 21 11 2 3" xfId="8992" xr:uid="{00000000-0005-0000-0000-00001D230000}"/>
    <cellStyle name="Normal 21 11 3" xfId="8993" xr:uid="{00000000-0005-0000-0000-00001E230000}"/>
    <cellStyle name="Normal 21 11 4" xfId="8994" xr:uid="{00000000-0005-0000-0000-00001F230000}"/>
    <cellStyle name="Normal 21 12" xfId="8995" xr:uid="{00000000-0005-0000-0000-000020230000}"/>
    <cellStyle name="Normal 21 12 2" xfId="8996" xr:uid="{00000000-0005-0000-0000-000021230000}"/>
    <cellStyle name="Normal 21 12 2 2" xfId="8997" xr:uid="{00000000-0005-0000-0000-000022230000}"/>
    <cellStyle name="Normal 21 12 2 3" xfId="8998" xr:uid="{00000000-0005-0000-0000-000023230000}"/>
    <cellStyle name="Normal 21 12 3" xfId="8999" xr:uid="{00000000-0005-0000-0000-000024230000}"/>
    <cellStyle name="Normal 21 12 4" xfId="9000" xr:uid="{00000000-0005-0000-0000-000025230000}"/>
    <cellStyle name="Normal 21 13" xfId="9001" xr:uid="{00000000-0005-0000-0000-000026230000}"/>
    <cellStyle name="Normal 21 13 2" xfId="9002" xr:uid="{00000000-0005-0000-0000-000027230000}"/>
    <cellStyle name="Normal 21 13 2 2" xfId="9003" xr:uid="{00000000-0005-0000-0000-000028230000}"/>
    <cellStyle name="Normal 21 13 2 3" xfId="9004" xr:uid="{00000000-0005-0000-0000-000029230000}"/>
    <cellStyle name="Normal 21 13 3" xfId="9005" xr:uid="{00000000-0005-0000-0000-00002A230000}"/>
    <cellStyle name="Normal 21 13 4" xfId="9006" xr:uid="{00000000-0005-0000-0000-00002B230000}"/>
    <cellStyle name="Normal 21 14" xfId="9007" xr:uid="{00000000-0005-0000-0000-00002C230000}"/>
    <cellStyle name="Normal 21 14 2" xfId="9008" xr:uid="{00000000-0005-0000-0000-00002D230000}"/>
    <cellStyle name="Normal 21 14 2 2" xfId="9009" xr:uid="{00000000-0005-0000-0000-00002E230000}"/>
    <cellStyle name="Normal 21 14 2 3" xfId="9010" xr:uid="{00000000-0005-0000-0000-00002F230000}"/>
    <cellStyle name="Normal 21 14 3" xfId="9011" xr:uid="{00000000-0005-0000-0000-000030230000}"/>
    <cellStyle name="Normal 21 14 4" xfId="9012" xr:uid="{00000000-0005-0000-0000-000031230000}"/>
    <cellStyle name="Normal 21 15" xfId="9013" xr:uid="{00000000-0005-0000-0000-000032230000}"/>
    <cellStyle name="Normal 21 15 2" xfId="9014" xr:uid="{00000000-0005-0000-0000-000033230000}"/>
    <cellStyle name="Normal 21 15 2 2" xfId="9015" xr:uid="{00000000-0005-0000-0000-000034230000}"/>
    <cellStyle name="Normal 21 15 2 3" xfId="9016" xr:uid="{00000000-0005-0000-0000-000035230000}"/>
    <cellStyle name="Normal 21 15 3" xfId="9017" xr:uid="{00000000-0005-0000-0000-000036230000}"/>
    <cellStyle name="Normal 21 15 4" xfId="9018" xr:uid="{00000000-0005-0000-0000-000037230000}"/>
    <cellStyle name="Normal 21 16" xfId="9019" xr:uid="{00000000-0005-0000-0000-000038230000}"/>
    <cellStyle name="Normal 21 16 2" xfId="9020" xr:uid="{00000000-0005-0000-0000-000039230000}"/>
    <cellStyle name="Normal 21 16 2 2" xfId="9021" xr:uid="{00000000-0005-0000-0000-00003A230000}"/>
    <cellStyle name="Normal 21 16 2 3" xfId="9022" xr:uid="{00000000-0005-0000-0000-00003B230000}"/>
    <cellStyle name="Normal 21 16 3" xfId="9023" xr:uid="{00000000-0005-0000-0000-00003C230000}"/>
    <cellStyle name="Normal 21 16 4" xfId="9024" xr:uid="{00000000-0005-0000-0000-00003D230000}"/>
    <cellStyle name="Normal 21 17" xfId="9025" xr:uid="{00000000-0005-0000-0000-00003E230000}"/>
    <cellStyle name="Normal 21 17 2" xfId="9026" xr:uid="{00000000-0005-0000-0000-00003F230000}"/>
    <cellStyle name="Normal 21 17 2 2" xfId="9027" xr:uid="{00000000-0005-0000-0000-000040230000}"/>
    <cellStyle name="Normal 21 17 2 3" xfId="9028" xr:uid="{00000000-0005-0000-0000-000041230000}"/>
    <cellStyle name="Normal 21 17 3" xfId="9029" xr:uid="{00000000-0005-0000-0000-000042230000}"/>
    <cellStyle name="Normal 21 17 4" xfId="9030" xr:uid="{00000000-0005-0000-0000-000043230000}"/>
    <cellStyle name="Normal 21 18" xfId="9031" xr:uid="{00000000-0005-0000-0000-000044230000}"/>
    <cellStyle name="Normal 21 18 2" xfId="9032" xr:uid="{00000000-0005-0000-0000-000045230000}"/>
    <cellStyle name="Normal 21 18 2 2" xfId="9033" xr:uid="{00000000-0005-0000-0000-000046230000}"/>
    <cellStyle name="Normal 21 18 2 3" xfId="9034" xr:uid="{00000000-0005-0000-0000-000047230000}"/>
    <cellStyle name="Normal 21 18 3" xfId="9035" xr:uid="{00000000-0005-0000-0000-000048230000}"/>
    <cellStyle name="Normal 21 18 4" xfId="9036" xr:uid="{00000000-0005-0000-0000-000049230000}"/>
    <cellStyle name="Normal 21 19" xfId="9037" xr:uid="{00000000-0005-0000-0000-00004A230000}"/>
    <cellStyle name="Normal 21 19 2" xfId="9038" xr:uid="{00000000-0005-0000-0000-00004B230000}"/>
    <cellStyle name="Normal 21 19 2 2" xfId="9039" xr:uid="{00000000-0005-0000-0000-00004C230000}"/>
    <cellStyle name="Normal 21 19 2 3" xfId="9040" xr:uid="{00000000-0005-0000-0000-00004D230000}"/>
    <cellStyle name="Normal 21 19 3" xfId="9041" xr:uid="{00000000-0005-0000-0000-00004E230000}"/>
    <cellStyle name="Normal 21 19 4" xfId="9042" xr:uid="{00000000-0005-0000-0000-00004F230000}"/>
    <cellStyle name="Normal 21 2" xfId="9043" xr:uid="{00000000-0005-0000-0000-000050230000}"/>
    <cellStyle name="Normal 21 2 2" xfId="9044" xr:uid="{00000000-0005-0000-0000-000051230000}"/>
    <cellStyle name="Normal 21 20" xfId="9045" xr:uid="{00000000-0005-0000-0000-000052230000}"/>
    <cellStyle name="Normal 21 20 2" xfId="9046" xr:uid="{00000000-0005-0000-0000-000053230000}"/>
    <cellStyle name="Normal 21 20 2 2" xfId="9047" xr:uid="{00000000-0005-0000-0000-000054230000}"/>
    <cellStyle name="Normal 21 20 2 3" xfId="9048" xr:uid="{00000000-0005-0000-0000-000055230000}"/>
    <cellStyle name="Normal 21 20 3" xfId="9049" xr:uid="{00000000-0005-0000-0000-000056230000}"/>
    <cellStyle name="Normal 21 20 4" xfId="9050" xr:uid="{00000000-0005-0000-0000-000057230000}"/>
    <cellStyle name="Normal 21 21" xfId="9051" xr:uid="{00000000-0005-0000-0000-000058230000}"/>
    <cellStyle name="Normal 21 21 2" xfId="9052" xr:uid="{00000000-0005-0000-0000-000059230000}"/>
    <cellStyle name="Normal 21 21 2 2" xfId="9053" xr:uid="{00000000-0005-0000-0000-00005A230000}"/>
    <cellStyle name="Normal 21 21 2 3" xfId="9054" xr:uid="{00000000-0005-0000-0000-00005B230000}"/>
    <cellStyle name="Normal 21 21 3" xfId="9055" xr:uid="{00000000-0005-0000-0000-00005C230000}"/>
    <cellStyle name="Normal 21 21 4" xfId="9056" xr:uid="{00000000-0005-0000-0000-00005D230000}"/>
    <cellStyle name="Normal 21 22" xfId="9057" xr:uid="{00000000-0005-0000-0000-00005E230000}"/>
    <cellStyle name="Normal 21 22 2" xfId="9058" xr:uid="{00000000-0005-0000-0000-00005F230000}"/>
    <cellStyle name="Normal 21 22 2 2" xfId="9059" xr:uid="{00000000-0005-0000-0000-000060230000}"/>
    <cellStyle name="Normal 21 22 2 3" xfId="9060" xr:uid="{00000000-0005-0000-0000-000061230000}"/>
    <cellStyle name="Normal 21 22 3" xfId="9061" xr:uid="{00000000-0005-0000-0000-000062230000}"/>
    <cellStyle name="Normal 21 22 4" xfId="9062" xr:uid="{00000000-0005-0000-0000-000063230000}"/>
    <cellStyle name="Normal 21 23" xfId="9063" xr:uid="{00000000-0005-0000-0000-000064230000}"/>
    <cellStyle name="Normal 21 23 2" xfId="9064" xr:uid="{00000000-0005-0000-0000-000065230000}"/>
    <cellStyle name="Normal 21 23 2 2" xfId="9065" xr:uid="{00000000-0005-0000-0000-000066230000}"/>
    <cellStyle name="Normal 21 23 2 3" xfId="9066" xr:uid="{00000000-0005-0000-0000-000067230000}"/>
    <cellStyle name="Normal 21 23 3" xfId="9067" xr:uid="{00000000-0005-0000-0000-000068230000}"/>
    <cellStyle name="Normal 21 23 4" xfId="9068" xr:uid="{00000000-0005-0000-0000-000069230000}"/>
    <cellStyle name="Normal 21 24" xfId="9069" xr:uid="{00000000-0005-0000-0000-00006A230000}"/>
    <cellStyle name="Normal 21 24 2" xfId="9070" xr:uid="{00000000-0005-0000-0000-00006B230000}"/>
    <cellStyle name="Normal 21 24 2 2" xfId="9071" xr:uid="{00000000-0005-0000-0000-00006C230000}"/>
    <cellStyle name="Normal 21 24 2 3" xfId="9072" xr:uid="{00000000-0005-0000-0000-00006D230000}"/>
    <cellStyle name="Normal 21 24 3" xfId="9073" xr:uid="{00000000-0005-0000-0000-00006E230000}"/>
    <cellStyle name="Normal 21 24 4" xfId="9074" xr:uid="{00000000-0005-0000-0000-00006F230000}"/>
    <cellStyle name="Normal 21 25" xfId="9075" xr:uid="{00000000-0005-0000-0000-000070230000}"/>
    <cellStyle name="Normal 21 25 2" xfId="9076" xr:uid="{00000000-0005-0000-0000-000071230000}"/>
    <cellStyle name="Normal 21 25 2 2" xfId="9077" xr:uid="{00000000-0005-0000-0000-000072230000}"/>
    <cellStyle name="Normal 21 25 2 3" xfId="9078" xr:uid="{00000000-0005-0000-0000-000073230000}"/>
    <cellStyle name="Normal 21 25 3" xfId="9079" xr:uid="{00000000-0005-0000-0000-000074230000}"/>
    <cellStyle name="Normal 21 25 4" xfId="9080" xr:uid="{00000000-0005-0000-0000-000075230000}"/>
    <cellStyle name="Normal 21 26" xfId="9081" xr:uid="{00000000-0005-0000-0000-000076230000}"/>
    <cellStyle name="Normal 21 26 2" xfId="9082" xr:uid="{00000000-0005-0000-0000-000077230000}"/>
    <cellStyle name="Normal 21 26 3" xfId="9083" xr:uid="{00000000-0005-0000-0000-000078230000}"/>
    <cellStyle name="Normal 21 27" xfId="9084" xr:uid="{00000000-0005-0000-0000-000079230000}"/>
    <cellStyle name="Normal 21 28" xfId="9085" xr:uid="{00000000-0005-0000-0000-00007A230000}"/>
    <cellStyle name="Normal 21 3" xfId="9086" xr:uid="{00000000-0005-0000-0000-00007B230000}"/>
    <cellStyle name="Normal 21 3 2" xfId="9087" xr:uid="{00000000-0005-0000-0000-00007C230000}"/>
    <cellStyle name="Normal 21 4" xfId="9088" xr:uid="{00000000-0005-0000-0000-00007D230000}"/>
    <cellStyle name="Normal 21 4 2" xfId="9089" xr:uid="{00000000-0005-0000-0000-00007E230000}"/>
    <cellStyle name="Normal 21 4 2 2" xfId="9090" xr:uid="{00000000-0005-0000-0000-00007F230000}"/>
    <cellStyle name="Normal 21 4 2 3" xfId="9091" xr:uid="{00000000-0005-0000-0000-000080230000}"/>
    <cellStyle name="Normal 21 4 3" xfId="9092" xr:uid="{00000000-0005-0000-0000-000081230000}"/>
    <cellStyle name="Normal 21 4 4" xfId="9093" xr:uid="{00000000-0005-0000-0000-000082230000}"/>
    <cellStyle name="Normal 21 5" xfId="9094" xr:uid="{00000000-0005-0000-0000-000083230000}"/>
    <cellStyle name="Normal 21 5 2" xfId="9095" xr:uid="{00000000-0005-0000-0000-000084230000}"/>
    <cellStyle name="Normal 21 5 2 2" xfId="9096" xr:uid="{00000000-0005-0000-0000-000085230000}"/>
    <cellStyle name="Normal 21 5 2 3" xfId="9097" xr:uid="{00000000-0005-0000-0000-000086230000}"/>
    <cellStyle name="Normal 21 5 3" xfId="9098" xr:uid="{00000000-0005-0000-0000-000087230000}"/>
    <cellStyle name="Normal 21 5 4" xfId="9099" xr:uid="{00000000-0005-0000-0000-000088230000}"/>
    <cellStyle name="Normal 21 6" xfId="9100" xr:uid="{00000000-0005-0000-0000-000089230000}"/>
    <cellStyle name="Normal 21 6 2" xfId="9101" xr:uid="{00000000-0005-0000-0000-00008A230000}"/>
    <cellStyle name="Normal 21 6 2 2" xfId="9102" xr:uid="{00000000-0005-0000-0000-00008B230000}"/>
    <cellStyle name="Normal 21 6 2 3" xfId="9103" xr:uid="{00000000-0005-0000-0000-00008C230000}"/>
    <cellStyle name="Normal 21 6 3" xfId="9104" xr:uid="{00000000-0005-0000-0000-00008D230000}"/>
    <cellStyle name="Normal 21 6 4" xfId="9105" xr:uid="{00000000-0005-0000-0000-00008E230000}"/>
    <cellStyle name="Normal 21 7" xfId="9106" xr:uid="{00000000-0005-0000-0000-00008F230000}"/>
    <cellStyle name="Normal 21 7 2" xfId="9107" xr:uid="{00000000-0005-0000-0000-000090230000}"/>
    <cellStyle name="Normal 21 7 2 2" xfId="9108" xr:uid="{00000000-0005-0000-0000-000091230000}"/>
    <cellStyle name="Normal 21 7 2 3" xfId="9109" xr:uid="{00000000-0005-0000-0000-000092230000}"/>
    <cellStyle name="Normal 21 7 3" xfId="9110" xr:uid="{00000000-0005-0000-0000-000093230000}"/>
    <cellStyle name="Normal 21 7 4" xfId="9111" xr:uid="{00000000-0005-0000-0000-000094230000}"/>
    <cellStyle name="Normal 21 8" xfId="9112" xr:uid="{00000000-0005-0000-0000-000095230000}"/>
    <cellStyle name="Normal 21 8 2" xfId="9113" xr:uid="{00000000-0005-0000-0000-000096230000}"/>
    <cellStyle name="Normal 21 8 2 2" xfId="9114" xr:uid="{00000000-0005-0000-0000-000097230000}"/>
    <cellStyle name="Normal 21 8 2 3" xfId="9115" xr:uid="{00000000-0005-0000-0000-000098230000}"/>
    <cellStyle name="Normal 21 8 3" xfId="9116" xr:uid="{00000000-0005-0000-0000-000099230000}"/>
    <cellStyle name="Normal 21 8 4" xfId="9117" xr:uid="{00000000-0005-0000-0000-00009A230000}"/>
    <cellStyle name="Normal 21 9" xfId="9118" xr:uid="{00000000-0005-0000-0000-00009B230000}"/>
    <cellStyle name="Normal 21 9 2" xfId="9119" xr:uid="{00000000-0005-0000-0000-00009C230000}"/>
    <cellStyle name="Normal 21 9 2 2" xfId="9120" xr:uid="{00000000-0005-0000-0000-00009D230000}"/>
    <cellStyle name="Normal 21 9 2 3" xfId="9121" xr:uid="{00000000-0005-0000-0000-00009E230000}"/>
    <cellStyle name="Normal 21 9 3" xfId="9122" xr:uid="{00000000-0005-0000-0000-00009F230000}"/>
    <cellStyle name="Normal 21 9 4" xfId="9123" xr:uid="{00000000-0005-0000-0000-0000A0230000}"/>
    <cellStyle name="Normal 22" xfId="9124" xr:uid="{00000000-0005-0000-0000-0000A1230000}"/>
    <cellStyle name="Normal 22 10" xfId="9125" xr:uid="{00000000-0005-0000-0000-0000A2230000}"/>
    <cellStyle name="Normal 22 10 2" xfId="9126" xr:uid="{00000000-0005-0000-0000-0000A3230000}"/>
    <cellStyle name="Normal 22 10 2 2" xfId="9127" xr:uid="{00000000-0005-0000-0000-0000A4230000}"/>
    <cellStyle name="Normal 22 10 2 3" xfId="9128" xr:uid="{00000000-0005-0000-0000-0000A5230000}"/>
    <cellStyle name="Normal 22 10 3" xfId="9129" xr:uid="{00000000-0005-0000-0000-0000A6230000}"/>
    <cellStyle name="Normal 22 10 4" xfId="9130" xr:uid="{00000000-0005-0000-0000-0000A7230000}"/>
    <cellStyle name="Normal 22 11" xfId="9131" xr:uid="{00000000-0005-0000-0000-0000A8230000}"/>
    <cellStyle name="Normal 22 11 2" xfId="9132" xr:uid="{00000000-0005-0000-0000-0000A9230000}"/>
    <cellStyle name="Normal 22 11 2 2" xfId="9133" xr:uid="{00000000-0005-0000-0000-0000AA230000}"/>
    <cellStyle name="Normal 22 11 2 3" xfId="9134" xr:uid="{00000000-0005-0000-0000-0000AB230000}"/>
    <cellStyle name="Normal 22 11 3" xfId="9135" xr:uid="{00000000-0005-0000-0000-0000AC230000}"/>
    <cellStyle name="Normal 22 11 4" xfId="9136" xr:uid="{00000000-0005-0000-0000-0000AD230000}"/>
    <cellStyle name="Normal 22 12" xfId="9137" xr:uid="{00000000-0005-0000-0000-0000AE230000}"/>
    <cellStyle name="Normal 22 12 2" xfId="9138" xr:uid="{00000000-0005-0000-0000-0000AF230000}"/>
    <cellStyle name="Normal 22 12 2 2" xfId="9139" xr:uid="{00000000-0005-0000-0000-0000B0230000}"/>
    <cellStyle name="Normal 22 12 2 3" xfId="9140" xr:uid="{00000000-0005-0000-0000-0000B1230000}"/>
    <cellStyle name="Normal 22 12 3" xfId="9141" xr:uid="{00000000-0005-0000-0000-0000B2230000}"/>
    <cellStyle name="Normal 22 12 4" xfId="9142" xr:uid="{00000000-0005-0000-0000-0000B3230000}"/>
    <cellStyle name="Normal 22 13" xfId="9143" xr:uid="{00000000-0005-0000-0000-0000B4230000}"/>
    <cellStyle name="Normal 22 13 2" xfId="9144" xr:uid="{00000000-0005-0000-0000-0000B5230000}"/>
    <cellStyle name="Normal 22 13 2 2" xfId="9145" xr:uid="{00000000-0005-0000-0000-0000B6230000}"/>
    <cellStyle name="Normal 22 13 2 3" xfId="9146" xr:uid="{00000000-0005-0000-0000-0000B7230000}"/>
    <cellStyle name="Normal 22 13 3" xfId="9147" xr:uid="{00000000-0005-0000-0000-0000B8230000}"/>
    <cellStyle name="Normal 22 13 4" xfId="9148" xr:uid="{00000000-0005-0000-0000-0000B9230000}"/>
    <cellStyle name="Normal 22 14" xfId="9149" xr:uid="{00000000-0005-0000-0000-0000BA230000}"/>
    <cellStyle name="Normal 22 14 2" xfId="9150" xr:uid="{00000000-0005-0000-0000-0000BB230000}"/>
    <cellStyle name="Normal 22 14 2 2" xfId="9151" xr:uid="{00000000-0005-0000-0000-0000BC230000}"/>
    <cellStyle name="Normal 22 14 2 3" xfId="9152" xr:uid="{00000000-0005-0000-0000-0000BD230000}"/>
    <cellStyle name="Normal 22 14 3" xfId="9153" xr:uid="{00000000-0005-0000-0000-0000BE230000}"/>
    <cellStyle name="Normal 22 14 4" xfId="9154" xr:uid="{00000000-0005-0000-0000-0000BF230000}"/>
    <cellStyle name="Normal 22 15" xfId="9155" xr:uid="{00000000-0005-0000-0000-0000C0230000}"/>
    <cellStyle name="Normal 22 15 2" xfId="9156" xr:uid="{00000000-0005-0000-0000-0000C1230000}"/>
    <cellStyle name="Normal 22 15 2 2" xfId="9157" xr:uid="{00000000-0005-0000-0000-0000C2230000}"/>
    <cellStyle name="Normal 22 15 2 3" xfId="9158" xr:uid="{00000000-0005-0000-0000-0000C3230000}"/>
    <cellStyle name="Normal 22 15 3" xfId="9159" xr:uid="{00000000-0005-0000-0000-0000C4230000}"/>
    <cellStyle name="Normal 22 15 4" xfId="9160" xr:uid="{00000000-0005-0000-0000-0000C5230000}"/>
    <cellStyle name="Normal 22 16" xfId="9161" xr:uid="{00000000-0005-0000-0000-0000C6230000}"/>
    <cellStyle name="Normal 22 16 2" xfId="9162" xr:uid="{00000000-0005-0000-0000-0000C7230000}"/>
    <cellStyle name="Normal 22 16 2 2" xfId="9163" xr:uid="{00000000-0005-0000-0000-0000C8230000}"/>
    <cellStyle name="Normal 22 16 2 3" xfId="9164" xr:uid="{00000000-0005-0000-0000-0000C9230000}"/>
    <cellStyle name="Normal 22 16 3" xfId="9165" xr:uid="{00000000-0005-0000-0000-0000CA230000}"/>
    <cellStyle name="Normal 22 16 4" xfId="9166" xr:uid="{00000000-0005-0000-0000-0000CB230000}"/>
    <cellStyle name="Normal 22 17" xfId="9167" xr:uid="{00000000-0005-0000-0000-0000CC230000}"/>
    <cellStyle name="Normal 22 17 2" xfId="9168" xr:uid="{00000000-0005-0000-0000-0000CD230000}"/>
    <cellStyle name="Normal 22 17 2 2" xfId="9169" xr:uid="{00000000-0005-0000-0000-0000CE230000}"/>
    <cellStyle name="Normal 22 17 2 3" xfId="9170" xr:uid="{00000000-0005-0000-0000-0000CF230000}"/>
    <cellStyle name="Normal 22 17 3" xfId="9171" xr:uid="{00000000-0005-0000-0000-0000D0230000}"/>
    <cellStyle name="Normal 22 17 4" xfId="9172" xr:uid="{00000000-0005-0000-0000-0000D1230000}"/>
    <cellStyle name="Normal 22 18" xfId="9173" xr:uid="{00000000-0005-0000-0000-0000D2230000}"/>
    <cellStyle name="Normal 22 18 2" xfId="9174" xr:uid="{00000000-0005-0000-0000-0000D3230000}"/>
    <cellStyle name="Normal 22 18 2 2" xfId="9175" xr:uid="{00000000-0005-0000-0000-0000D4230000}"/>
    <cellStyle name="Normal 22 18 2 3" xfId="9176" xr:uid="{00000000-0005-0000-0000-0000D5230000}"/>
    <cellStyle name="Normal 22 18 3" xfId="9177" xr:uid="{00000000-0005-0000-0000-0000D6230000}"/>
    <cellStyle name="Normal 22 18 4" xfId="9178" xr:uid="{00000000-0005-0000-0000-0000D7230000}"/>
    <cellStyle name="Normal 22 19" xfId="9179" xr:uid="{00000000-0005-0000-0000-0000D8230000}"/>
    <cellStyle name="Normal 22 19 2" xfId="9180" xr:uid="{00000000-0005-0000-0000-0000D9230000}"/>
    <cellStyle name="Normal 22 19 2 2" xfId="9181" xr:uid="{00000000-0005-0000-0000-0000DA230000}"/>
    <cellStyle name="Normal 22 19 2 3" xfId="9182" xr:uid="{00000000-0005-0000-0000-0000DB230000}"/>
    <cellStyle name="Normal 22 19 3" xfId="9183" xr:uid="{00000000-0005-0000-0000-0000DC230000}"/>
    <cellStyle name="Normal 22 19 4" xfId="9184" xr:uid="{00000000-0005-0000-0000-0000DD230000}"/>
    <cellStyle name="Normal 22 2" xfId="9185" xr:uid="{00000000-0005-0000-0000-0000DE230000}"/>
    <cellStyle name="Normal 22 2 2" xfId="9186" xr:uid="{00000000-0005-0000-0000-0000DF230000}"/>
    <cellStyle name="Normal 22 2 3" xfId="9187" xr:uid="{00000000-0005-0000-0000-0000E0230000}"/>
    <cellStyle name="Normal 22 2 3 2" xfId="9188" xr:uid="{00000000-0005-0000-0000-0000E1230000}"/>
    <cellStyle name="Normal 22 2 3 3" xfId="9189" xr:uid="{00000000-0005-0000-0000-0000E2230000}"/>
    <cellStyle name="Normal 22 2 4" xfId="9190" xr:uid="{00000000-0005-0000-0000-0000E3230000}"/>
    <cellStyle name="Normal 22 2 5" xfId="9191" xr:uid="{00000000-0005-0000-0000-0000E4230000}"/>
    <cellStyle name="Normal 22 20" xfId="9192" xr:uid="{00000000-0005-0000-0000-0000E5230000}"/>
    <cellStyle name="Normal 22 20 2" xfId="9193" xr:uid="{00000000-0005-0000-0000-0000E6230000}"/>
    <cellStyle name="Normal 22 20 2 2" xfId="9194" xr:uid="{00000000-0005-0000-0000-0000E7230000}"/>
    <cellStyle name="Normal 22 20 2 3" xfId="9195" xr:uid="{00000000-0005-0000-0000-0000E8230000}"/>
    <cellStyle name="Normal 22 20 3" xfId="9196" xr:uid="{00000000-0005-0000-0000-0000E9230000}"/>
    <cellStyle name="Normal 22 20 4" xfId="9197" xr:uid="{00000000-0005-0000-0000-0000EA230000}"/>
    <cellStyle name="Normal 22 21" xfId="9198" xr:uid="{00000000-0005-0000-0000-0000EB230000}"/>
    <cellStyle name="Normal 22 21 2" xfId="9199" xr:uid="{00000000-0005-0000-0000-0000EC230000}"/>
    <cellStyle name="Normal 22 21 2 2" xfId="9200" xr:uid="{00000000-0005-0000-0000-0000ED230000}"/>
    <cellStyle name="Normal 22 21 2 3" xfId="9201" xr:uid="{00000000-0005-0000-0000-0000EE230000}"/>
    <cellStyle name="Normal 22 21 3" xfId="9202" xr:uid="{00000000-0005-0000-0000-0000EF230000}"/>
    <cellStyle name="Normal 22 21 4" xfId="9203" xr:uid="{00000000-0005-0000-0000-0000F0230000}"/>
    <cellStyle name="Normal 22 22" xfId="9204" xr:uid="{00000000-0005-0000-0000-0000F1230000}"/>
    <cellStyle name="Normal 22 22 2" xfId="9205" xr:uid="{00000000-0005-0000-0000-0000F2230000}"/>
    <cellStyle name="Normal 22 22 2 2" xfId="9206" xr:uid="{00000000-0005-0000-0000-0000F3230000}"/>
    <cellStyle name="Normal 22 22 2 3" xfId="9207" xr:uid="{00000000-0005-0000-0000-0000F4230000}"/>
    <cellStyle name="Normal 22 22 3" xfId="9208" xr:uid="{00000000-0005-0000-0000-0000F5230000}"/>
    <cellStyle name="Normal 22 22 4" xfId="9209" xr:uid="{00000000-0005-0000-0000-0000F6230000}"/>
    <cellStyle name="Normal 22 23" xfId="9210" xr:uid="{00000000-0005-0000-0000-0000F7230000}"/>
    <cellStyle name="Normal 22 23 2" xfId="9211" xr:uid="{00000000-0005-0000-0000-0000F8230000}"/>
    <cellStyle name="Normal 22 23 2 2" xfId="9212" xr:uid="{00000000-0005-0000-0000-0000F9230000}"/>
    <cellStyle name="Normal 22 23 2 3" xfId="9213" xr:uid="{00000000-0005-0000-0000-0000FA230000}"/>
    <cellStyle name="Normal 22 23 3" xfId="9214" xr:uid="{00000000-0005-0000-0000-0000FB230000}"/>
    <cellStyle name="Normal 22 23 4" xfId="9215" xr:uid="{00000000-0005-0000-0000-0000FC230000}"/>
    <cellStyle name="Normal 22 24" xfId="9216" xr:uid="{00000000-0005-0000-0000-0000FD230000}"/>
    <cellStyle name="Normal 22 24 2" xfId="9217" xr:uid="{00000000-0005-0000-0000-0000FE230000}"/>
    <cellStyle name="Normal 22 24 2 2" xfId="9218" xr:uid="{00000000-0005-0000-0000-0000FF230000}"/>
    <cellStyle name="Normal 22 24 2 3" xfId="9219" xr:uid="{00000000-0005-0000-0000-000000240000}"/>
    <cellStyle name="Normal 22 24 3" xfId="9220" xr:uid="{00000000-0005-0000-0000-000001240000}"/>
    <cellStyle name="Normal 22 24 4" xfId="9221" xr:uid="{00000000-0005-0000-0000-000002240000}"/>
    <cellStyle name="Normal 22 25" xfId="9222" xr:uid="{00000000-0005-0000-0000-000003240000}"/>
    <cellStyle name="Normal 22 25 2" xfId="9223" xr:uid="{00000000-0005-0000-0000-000004240000}"/>
    <cellStyle name="Normal 22 25 2 2" xfId="9224" xr:uid="{00000000-0005-0000-0000-000005240000}"/>
    <cellStyle name="Normal 22 25 2 3" xfId="9225" xr:uid="{00000000-0005-0000-0000-000006240000}"/>
    <cellStyle name="Normal 22 25 3" xfId="9226" xr:uid="{00000000-0005-0000-0000-000007240000}"/>
    <cellStyle name="Normal 22 25 4" xfId="9227" xr:uid="{00000000-0005-0000-0000-000008240000}"/>
    <cellStyle name="Normal 22 26" xfId="9228" xr:uid="{00000000-0005-0000-0000-000009240000}"/>
    <cellStyle name="Normal 22 26 2" xfId="9229" xr:uid="{00000000-0005-0000-0000-00000A240000}"/>
    <cellStyle name="Normal 22 26 3" xfId="9230" xr:uid="{00000000-0005-0000-0000-00000B240000}"/>
    <cellStyle name="Normal 22 27" xfId="9231" xr:uid="{00000000-0005-0000-0000-00000C240000}"/>
    <cellStyle name="Normal 22 28" xfId="9232" xr:uid="{00000000-0005-0000-0000-00000D240000}"/>
    <cellStyle name="Normal 22 3" xfId="9233" xr:uid="{00000000-0005-0000-0000-00000E240000}"/>
    <cellStyle name="Normal 22 3 2" xfId="9234" xr:uid="{00000000-0005-0000-0000-00000F240000}"/>
    <cellStyle name="Normal 22 3 3" xfId="9235" xr:uid="{00000000-0005-0000-0000-000010240000}"/>
    <cellStyle name="Normal 22 3 3 2" xfId="9236" xr:uid="{00000000-0005-0000-0000-000011240000}"/>
    <cellStyle name="Normal 22 3 3 3" xfId="9237" xr:uid="{00000000-0005-0000-0000-000012240000}"/>
    <cellStyle name="Normal 22 3 4" xfId="9238" xr:uid="{00000000-0005-0000-0000-000013240000}"/>
    <cellStyle name="Normal 22 3 5" xfId="9239" xr:uid="{00000000-0005-0000-0000-000014240000}"/>
    <cellStyle name="Normal 22 4" xfId="9240" xr:uid="{00000000-0005-0000-0000-000015240000}"/>
    <cellStyle name="Normal 22 4 2" xfId="9241" xr:uid="{00000000-0005-0000-0000-000016240000}"/>
    <cellStyle name="Normal 22 4 2 2" xfId="9242" xr:uid="{00000000-0005-0000-0000-000017240000}"/>
    <cellStyle name="Normal 22 4 2 3" xfId="9243" xr:uid="{00000000-0005-0000-0000-000018240000}"/>
    <cellStyle name="Normal 22 4 3" xfId="9244" xr:uid="{00000000-0005-0000-0000-000019240000}"/>
    <cellStyle name="Normal 22 4 4" xfId="9245" xr:uid="{00000000-0005-0000-0000-00001A240000}"/>
    <cellStyle name="Normal 22 5" xfId="9246" xr:uid="{00000000-0005-0000-0000-00001B240000}"/>
    <cellStyle name="Normal 22 5 2" xfId="9247" xr:uid="{00000000-0005-0000-0000-00001C240000}"/>
    <cellStyle name="Normal 22 5 2 2" xfId="9248" xr:uid="{00000000-0005-0000-0000-00001D240000}"/>
    <cellStyle name="Normal 22 5 2 3" xfId="9249" xr:uid="{00000000-0005-0000-0000-00001E240000}"/>
    <cellStyle name="Normal 22 5 3" xfId="9250" xr:uid="{00000000-0005-0000-0000-00001F240000}"/>
    <cellStyle name="Normal 22 5 4" xfId="9251" xr:uid="{00000000-0005-0000-0000-000020240000}"/>
    <cellStyle name="Normal 22 6" xfId="9252" xr:uid="{00000000-0005-0000-0000-000021240000}"/>
    <cellStyle name="Normal 22 6 2" xfId="9253" xr:uid="{00000000-0005-0000-0000-000022240000}"/>
    <cellStyle name="Normal 22 6 2 2" xfId="9254" xr:uid="{00000000-0005-0000-0000-000023240000}"/>
    <cellStyle name="Normal 22 6 2 3" xfId="9255" xr:uid="{00000000-0005-0000-0000-000024240000}"/>
    <cellStyle name="Normal 22 6 3" xfId="9256" xr:uid="{00000000-0005-0000-0000-000025240000}"/>
    <cellStyle name="Normal 22 6 4" xfId="9257" xr:uid="{00000000-0005-0000-0000-000026240000}"/>
    <cellStyle name="Normal 22 7" xfId="9258" xr:uid="{00000000-0005-0000-0000-000027240000}"/>
    <cellStyle name="Normal 22 7 2" xfId="9259" xr:uid="{00000000-0005-0000-0000-000028240000}"/>
    <cellStyle name="Normal 22 7 2 2" xfId="9260" xr:uid="{00000000-0005-0000-0000-000029240000}"/>
    <cellStyle name="Normal 22 7 2 3" xfId="9261" xr:uid="{00000000-0005-0000-0000-00002A240000}"/>
    <cellStyle name="Normal 22 7 3" xfId="9262" xr:uid="{00000000-0005-0000-0000-00002B240000}"/>
    <cellStyle name="Normal 22 7 4" xfId="9263" xr:uid="{00000000-0005-0000-0000-00002C240000}"/>
    <cellStyle name="Normal 22 8" xfId="9264" xr:uid="{00000000-0005-0000-0000-00002D240000}"/>
    <cellStyle name="Normal 22 8 2" xfId="9265" xr:uid="{00000000-0005-0000-0000-00002E240000}"/>
    <cellStyle name="Normal 22 8 2 2" xfId="9266" xr:uid="{00000000-0005-0000-0000-00002F240000}"/>
    <cellStyle name="Normal 22 8 2 3" xfId="9267" xr:uid="{00000000-0005-0000-0000-000030240000}"/>
    <cellStyle name="Normal 22 8 3" xfId="9268" xr:uid="{00000000-0005-0000-0000-000031240000}"/>
    <cellStyle name="Normal 22 8 4" xfId="9269" xr:uid="{00000000-0005-0000-0000-000032240000}"/>
    <cellStyle name="Normal 22 9" xfId="9270" xr:uid="{00000000-0005-0000-0000-000033240000}"/>
    <cellStyle name="Normal 22 9 2" xfId="9271" xr:uid="{00000000-0005-0000-0000-000034240000}"/>
    <cellStyle name="Normal 22 9 2 2" xfId="9272" xr:uid="{00000000-0005-0000-0000-000035240000}"/>
    <cellStyle name="Normal 22 9 2 3" xfId="9273" xr:uid="{00000000-0005-0000-0000-000036240000}"/>
    <cellStyle name="Normal 22 9 3" xfId="9274" xr:uid="{00000000-0005-0000-0000-000037240000}"/>
    <cellStyle name="Normal 22 9 4" xfId="9275" xr:uid="{00000000-0005-0000-0000-000038240000}"/>
    <cellStyle name="Normal 23" xfId="9276" xr:uid="{00000000-0005-0000-0000-000039240000}"/>
    <cellStyle name="Normal 23 10" xfId="9277" xr:uid="{00000000-0005-0000-0000-00003A240000}"/>
    <cellStyle name="Normal 23 10 2" xfId="9278" xr:uid="{00000000-0005-0000-0000-00003B240000}"/>
    <cellStyle name="Normal 23 10 2 2" xfId="9279" xr:uid="{00000000-0005-0000-0000-00003C240000}"/>
    <cellStyle name="Normal 23 10 2 3" xfId="9280" xr:uid="{00000000-0005-0000-0000-00003D240000}"/>
    <cellStyle name="Normal 23 10 3" xfId="9281" xr:uid="{00000000-0005-0000-0000-00003E240000}"/>
    <cellStyle name="Normal 23 10 4" xfId="9282" xr:uid="{00000000-0005-0000-0000-00003F240000}"/>
    <cellStyle name="Normal 23 11" xfId="9283" xr:uid="{00000000-0005-0000-0000-000040240000}"/>
    <cellStyle name="Normal 23 11 2" xfId="9284" xr:uid="{00000000-0005-0000-0000-000041240000}"/>
    <cellStyle name="Normal 23 11 2 2" xfId="9285" xr:uid="{00000000-0005-0000-0000-000042240000}"/>
    <cellStyle name="Normal 23 11 2 3" xfId="9286" xr:uid="{00000000-0005-0000-0000-000043240000}"/>
    <cellStyle name="Normal 23 11 3" xfId="9287" xr:uid="{00000000-0005-0000-0000-000044240000}"/>
    <cellStyle name="Normal 23 11 4" xfId="9288" xr:uid="{00000000-0005-0000-0000-000045240000}"/>
    <cellStyle name="Normal 23 12" xfId="9289" xr:uid="{00000000-0005-0000-0000-000046240000}"/>
    <cellStyle name="Normal 23 12 2" xfId="9290" xr:uid="{00000000-0005-0000-0000-000047240000}"/>
    <cellStyle name="Normal 23 12 2 2" xfId="9291" xr:uid="{00000000-0005-0000-0000-000048240000}"/>
    <cellStyle name="Normal 23 12 2 3" xfId="9292" xr:uid="{00000000-0005-0000-0000-000049240000}"/>
    <cellStyle name="Normal 23 12 3" xfId="9293" xr:uid="{00000000-0005-0000-0000-00004A240000}"/>
    <cellStyle name="Normal 23 12 4" xfId="9294" xr:uid="{00000000-0005-0000-0000-00004B240000}"/>
    <cellStyle name="Normal 23 13" xfId="9295" xr:uid="{00000000-0005-0000-0000-00004C240000}"/>
    <cellStyle name="Normal 23 13 2" xfId="9296" xr:uid="{00000000-0005-0000-0000-00004D240000}"/>
    <cellStyle name="Normal 23 13 2 2" xfId="9297" xr:uid="{00000000-0005-0000-0000-00004E240000}"/>
    <cellStyle name="Normal 23 13 2 3" xfId="9298" xr:uid="{00000000-0005-0000-0000-00004F240000}"/>
    <cellStyle name="Normal 23 13 3" xfId="9299" xr:uid="{00000000-0005-0000-0000-000050240000}"/>
    <cellStyle name="Normal 23 13 4" xfId="9300" xr:uid="{00000000-0005-0000-0000-000051240000}"/>
    <cellStyle name="Normal 23 14" xfId="9301" xr:uid="{00000000-0005-0000-0000-000052240000}"/>
    <cellStyle name="Normal 23 14 2" xfId="9302" xr:uid="{00000000-0005-0000-0000-000053240000}"/>
    <cellStyle name="Normal 23 14 2 2" xfId="9303" xr:uid="{00000000-0005-0000-0000-000054240000}"/>
    <cellStyle name="Normal 23 14 2 3" xfId="9304" xr:uid="{00000000-0005-0000-0000-000055240000}"/>
    <cellStyle name="Normal 23 14 3" xfId="9305" xr:uid="{00000000-0005-0000-0000-000056240000}"/>
    <cellStyle name="Normal 23 14 4" xfId="9306" xr:uid="{00000000-0005-0000-0000-000057240000}"/>
    <cellStyle name="Normal 23 15" xfId="9307" xr:uid="{00000000-0005-0000-0000-000058240000}"/>
    <cellStyle name="Normal 23 15 2" xfId="9308" xr:uid="{00000000-0005-0000-0000-000059240000}"/>
    <cellStyle name="Normal 23 15 2 2" xfId="9309" xr:uid="{00000000-0005-0000-0000-00005A240000}"/>
    <cellStyle name="Normal 23 15 2 3" xfId="9310" xr:uid="{00000000-0005-0000-0000-00005B240000}"/>
    <cellStyle name="Normal 23 15 3" xfId="9311" xr:uid="{00000000-0005-0000-0000-00005C240000}"/>
    <cellStyle name="Normal 23 15 4" xfId="9312" xr:uid="{00000000-0005-0000-0000-00005D240000}"/>
    <cellStyle name="Normal 23 16" xfId="9313" xr:uid="{00000000-0005-0000-0000-00005E240000}"/>
    <cellStyle name="Normal 23 16 2" xfId="9314" xr:uid="{00000000-0005-0000-0000-00005F240000}"/>
    <cellStyle name="Normal 23 16 2 2" xfId="9315" xr:uid="{00000000-0005-0000-0000-000060240000}"/>
    <cellStyle name="Normal 23 16 2 3" xfId="9316" xr:uid="{00000000-0005-0000-0000-000061240000}"/>
    <cellStyle name="Normal 23 16 3" xfId="9317" xr:uid="{00000000-0005-0000-0000-000062240000}"/>
    <cellStyle name="Normal 23 16 4" xfId="9318" xr:uid="{00000000-0005-0000-0000-000063240000}"/>
    <cellStyle name="Normal 23 17" xfId="9319" xr:uid="{00000000-0005-0000-0000-000064240000}"/>
    <cellStyle name="Normal 23 17 2" xfId="9320" xr:uid="{00000000-0005-0000-0000-000065240000}"/>
    <cellStyle name="Normal 23 17 2 2" xfId="9321" xr:uid="{00000000-0005-0000-0000-000066240000}"/>
    <cellStyle name="Normal 23 17 2 3" xfId="9322" xr:uid="{00000000-0005-0000-0000-000067240000}"/>
    <cellStyle name="Normal 23 17 3" xfId="9323" xr:uid="{00000000-0005-0000-0000-000068240000}"/>
    <cellStyle name="Normal 23 17 4" xfId="9324" xr:uid="{00000000-0005-0000-0000-000069240000}"/>
    <cellStyle name="Normal 23 18" xfId="9325" xr:uid="{00000000-0005-0000-0000-00006A240000}"/>
    <cellStyle name="Normal 23 18 2" xfId="9326" xr:uid="{00000000-0005-0000-0000-00006B240000}"/>
    <cellStyle name="Normal 23 18 2 2" xfId="9327" xr:uid="{00000000-0005-0000-0000-00006C240000}"/>
    <cellStyle name="Normal 23 18 2 3" xfId="9328" xr:uid="{00000000-0005-0000-0000-00006D240000}"/>
    <cellStyle name="Normal 23 18 3" xfId="9329" xr:uid="{00000000-0005-0000-0000-00006E240000}"/>
    <cellStyle name="Normal 23 18 4" xfId="9330" xr:uid="{00000000-0005-0000-0000-00006F240000}"/>
    <cellStyle name="Normal 23 19" xfId="9331" xr:uid="{00000000-0005-0000-0000-000070240000}"/>
    <cellStyle name="Normal 23 19 2" xfId="9332" xr:uid="{00000000-0005-0000-0000-000071240000}"/>
    <cellStyle name="Normal 23 19 2 2" xfId="9333" xr:uid="{00000000-0005-0000-0000-000072240000}"/>
    <cellStyle name="Normal 23 19 2 3" xfId="9334" xr:uid="{00000000-0005-0000-0000-000073240000}"/>
    <cellStyle name="Normal 23 19 3" xfId="9335" xr:uid="{00000000-0005-0000-0000-000074240000}"/>
    <cellStyle name="Normal 23 19 4" xfId="9336" xr:uid="{00000000-0005-0000-0000-000075240000}"/>
    <cellStyle name="Normal 23 2" xfId="9337" xr:uid="{00000000-0005-0000-0000-000076240000}"/>
    <cellStyle name="Normal 23 2 2" xfId="9338" xr:uid="{00000000-0005-0000-0000-000077240000}"/>
    <cellStyle name="Normal 23 2 3" xfId="9339" xr:uid="{00000000-0005-0000-0000-000078240000}"/>
    <cellStyle name="Normal 23 2 3 2" xfId="9340" xr:uid="{00000000-0005-0000-0000-000079240000}"/>
    <cellStyle name="Normal 23 2 3 3" xfId="9341" xr:uid="{00000000-0005-0000-0000-00007A240000}"/>
    <cellStyle name="Normal 23 2 4" xfId="9342" xr:uid="{00000000-0005-0000-0000-00007B240000}"/>
    <cellStyle name="Normal 23 2 5" xfId="9343" xr:uid="{00000000-0005-0000-0000-00007C240000}"/>
    <cellStyle name="Normal 23 20" xfId="9344" xr:uid="{00000000-0005-0000-0000-00007D240000}"/>
    <cellStyle name="Normal 23 20 2" xfId="9345" xr:uid="{00000000-0005-0000-0000-00007E240000}"/>
    <cellStyle name="Normal 23 20 2 2" xfId="9346" xr:uid="{00000000-0005-0000-0000-00007F240000}"/>
    <cellStyle name="Normal 23 20 2 3" xfId="9347" xr:uid="{00000000-0005-0000-0000-000080240000}"/>
    <cellStyle name="Normal 23 20 3" xfId="9348" xr:uid="{00000000-0005-0000-0000-000081240000}"/>
    <cellStyle name="Normal 23 20 4" xfId="9349" xr:uid="{00000000-0005-0000-0000-000082240000}"/>
    <cellStyle name="Normal 23 21" xfId="9350" xr:uid="{00000000-0005-0000-0000-000083240000}"/>
    <cellStyle name="Normal 23 21 2" xfId="9351" xr:uid="{00000000-0005-0000-0000-000084240000}"/>
    <cellStyle name="Normal 23 21 2 2" xfId="9352" xr:uid="{00000000-0005-0000-0000-000085240000}"/>
    <cellStyle name="Normal 23 21 2 3" xfId="9353" xr:uid="{00000000-0005-0000-0000-000086240000}"/>
    <cellStyle name="Normal 23 21 3" xfId="9354" xr:uid="{00000000-0005-0000-0000-000087240000}"/>
    <cellStyle name="Normal 23 21 4" xfId="9355" xr:uid="{00000000-0005-0000-0000-000088240000}"/>
    <cellStyle name="Normal 23 22" xfId="9356" xr:uid="{00000000-0005-0000-0000-000089240000}"/>
    <cellStyle name="Normal 23 22 2" xfId="9357" xr:uid="{00000000-0005-0000-0000-00008A240000}"/>
    <cellStyle name="Normal 23 22 2 2" xfId="9358" xr:uid="{00000000-0005-0000-0000-00008B240000}"/>
    <cellStyle name="Normal 23 22 2 3" xfId="9359" xr:uid="{00000000-0005-0000-0000-00008C240000}"/>
    <cellStyle name="Normal 23 22 3" xfId="9360" xr:uid="{00000000-0005-0000-0000-00008D240000}"/>
    <cellStyle name="Normal 23 22 4" xfId="9361" xr:uid="{00000000-0005-0000-0000-00008E240000}"/>
    <cellStyle name="Normal 23 23" xfId="9362" xr:uid="{00000000-0005-0000-0000-00008F240000}"/>
    <cellStyle name="Normal 23 23 2" xfId="9363" xr:uid="{00000000-0005-0000-0000-000090240000}"/>
    <cellStyle name="Normal 23 23 2 2" xfId="9364" xr:uid="{00000000-0005-0000-0000-000091240000}"/>
    <cellStyle name="Normal 23 23 2 3" xfId="9365" xr:uid="{00000000-0005-0000-0000-000092240000}"/>
    <cellStyle name="Normal 23 23 3" xfId="9366" xr:uid="{00000000-0005-0000-0000-000093240000}"/>
    <cellStyle name="Normal 23 23 4" xfId="9367" xr:uid="{00000000-0005-0000-0000-000094240000}"/>
    <cellStyle name="Normal 23 24" xfId="9368" xr:uid="{00000000-0005-0000-0000-000095240000}"/>
    <cellStyle name="Normal 23 24 2" xfId="9369" xr:uid="{00000000-0005-0000-0000-000096240000}"/>
    <cellStyle name="Normal 23 24 2 2" xfId="9370" xr:uid="{00000000-0005-0000-0000-000097240000}"/>
    <cellStyle name="Normal 23 24 2 3" xfId="9371" xr:uid="{00000000-0005-0000-0000-000098240000}"/>
    <cellStyle name="Normal 23 24 3" xfId="9372" xr:uid="{00000000-0005-0000-0000-000099240000}"/>
    <cellStyle name="Normal 23 24 4" xfId="9373" xr:uid="{00000000-0005-0000-0000-00009A240000}"/>
    <cellStyle name="Normal 23 25" xfId="9374" xr:uid="{00000000-0005-0000-0000-00009B240000}"/>
    <cellStyle name="Normal 23 25 2" xfId="9375" xr:uid="{00000000-0005-0000-0000-00009C240000}"/>
    <cellStyle name="Normal 23 25 2 2" xfId="9376" xr:uid="{00000000-0005-0000-0000-00009D240000}"/>
    <cellStyle name="Normal 23 25 2 3" xfId="9377" xr:uid="{00000000-0005-0000-0000-00009E240000}"/>
    <cellStyle name="Normal 23 25 3" xfId="9378" xr:uid="{00000000-0005-0000-0000-00009F240000}"/>
    <cellStyle name="Normal 23 25 4" xfId="9379" xr:uid="{00000000-0005-0000-0000-0000A0240000}"/>
    <cellStyle name="Normal 23 26" xfId="9380" xr:uid="{00000000-0005-0000-0000-0000A1240000}"/>
    <cellStyle name="Normal 23 26 2" xfId="9381" xr:uid="{00000000-0005-0000-0000-0000A2240000}"/>
    <cellStyle name="Normal 23 26 3" xfId="9382" xr:uid="{00000000-0005-0000-0000-0000A3240000}"/>
    <cellStyle name="Normal 23 27" xfId="9383" xr:uid="{00000000-0005-0000-0000-0000A4240000}"/>
    <cellStyle name="Normal 23 28" xfId="9384" xr:uid="{00000000-0005-0000-0000-0000A5240000}"/>
    <cellStyle name="Normal 23 3" xfId="9385" xr:uid="{00000000-0005-0000-0000-0000A6240000}"/>
    <cellStyle name="Normal 23 3 2" xfId="9386" xr:uid="{00000000-0005-0000-0000-0000A7240000}"/>
    <cellStyle name="Normal 23 3 3" xfId="9387" xr:uid="{00000000-0005-0000-0000-0000A8240000}"/>
    <cellStyle name="Normal 23 3 3 2" xfId="9388" xr:uid="{00000000-0005-0000-0000-0000A9240000}"/>
    <cellStyle name="Normal 23 3 3 3" xfId="9389" xr:uid="{00000000-0005-0000-0000-0000AA240000}"/>
    <cellStyle name="Normal 23 3 4" xfId="9390" xr:uid="{00000000-0005-0000-0000-0000AB240000}"/>
    <cellStyle name="Normal 23 3 5" xfId="9391" xr:uid="{00000000-0005-0000-0000-0000AC240000}"/>
    <cellStyle name="Normal 23 4" xfId="9392" xr:uid="{00000000-0005-0000-0000-0000AD240000}"/>
    <cellStyle name="Normal 23 4 2" xfId="9393" xr:uid="{00000000-0005-0000-0000-0000AE240000}"/>
    <cellStyle name="Normal 23 4 2 2" xfId="9394" xr:uid="{00000000-0005-0000-0000-0000AF240000}"/>
    <cellStyle name="Normal 23 4 2 3" xfId="9395" xr:uid="{00000000-0005-0000-0000-0000B0240000}"/>
    <cellStyle name="Normal 23 4 3" xfId="9396" xr:uid="{00000000-0005-0000-0000-0000B1240000}"/>
    <cellStyle name="Normal 23 4 4" xfId="9397" xr:uid="{00000000-0005-0000-0000-0000B2240000}"/>
    <cellStyle name="Normal 23 5" xfId="9398" xr:uid="{00000000-0005-0000-0000-0000B3240000}"/>
    <cellStyle name="Normal 23 5 2" xfId="9399" xr:uid="{00000000-0005-0000-0000-0000B4240000}"/>
    <cellStyle name="Normal 23 5 2 2" xfId="9400" xr:uid="{00000000-0005-0000-0000-0000B5240000}"/>
    <cellStyle name="Normal 23 5 2 3" xfId="9401" xr:uid="{00000000-0005-0000-0000-0000B6240000}"/>
    <cellStyle name="Normal 23 5 3" xfId="9402" xr:uid="{00000000-0005-0000-0000-0000B7240000}"/>
    <cellStyle name="Normal 23 5 4" xfId="9403" xr:uid="{00000000-0005-0000-0000-0000B8240000}"/>
    <cellStyle name="Normal 23 6" xfId="9404" xr:uid="{00000000-0005-0000-0000-0000B9240000}"/>
    <cellStyle name="Normal 23 6 2" xfId="9405" xr:uid="{00000000-0005-0000-0000-0000BA240000}"/>
    <cellStyle name="Normal 23 6 2 2" xfId="9406" xr:uid="{00000000-0005-0000-0000-0000BB240000}"/>
    <cellStyle name="Normal 23 6 2 3" xfId="9407" xr:uid="{00000000-0005-0000-0000-0000BC240000}"/>
    <cellStyle name="Normal 23 6 3" xfId="9408" xr:uid="{00000000-0005-0000-0000-0000BD240000}"/>
    <cellStyle name="Normal 23 6 4" xfId="9409" xr:uid="{00000000-0005-0000-0000-0000BE240000}"/>
    <cellStyle name="Normal 23 7" xfId="9410" xr:uid="{00000000-0005-0000-0000-0000BF240000}"/>
    <cellStyle name="Normal 23 7 2" xfId="9411" xr:uid="{00000000-0005-0000-0000-0000C0240000}"/>
    <cellStyle name="Normal 23 7 2 2" xfId="9412" xr:uid="{00000000-0005-0000-0000-0000C1240000}"/>
    <cellStyle name="Normal 23 7 2 3" xfId="9413" xr:uid="{00000000-0005-0000-0000-0000C2240000}"/>
    <cellStyle name="Normal 23 7 3" xfId="9414" xr:uid="{00000000-0005-0000-0000-0000C3240000}"/>
    <cellStyle name="Normal 23 7 4" xfId="9415" xr:uid="{00000000-0005-0000-0000-0000C4240000}"/>
    <cellStyle name="Normal 23 8" xfId="9416" xr:uid="{00000000-0005-0000-0000-0000C5240000}"/>
    <cellStyle name="Normal 23 8 2" xfId="9417" xr:uid="{00000000-0005-0000-0000-0000C6240000}"/>
    <cellStyle name="Normal 23 8 2 2" xfId="9418" xr:uid="{00000000-0005-0000-0000-0000C7240000}"/>
    <cellStyle name="Normal 23 8 2 3" xfId="9419" xr:uid="{00000000-0005-0000-0000-0000C8240000}"/>
    <cellStyle name="Normal 23 8 3" xfId="9420" xr:uid="{00000000-0005-0000-0000-0000C9240000}"/>
    <cellStyle name="Normal 23 8 4" xfId="9421" xr:uid="{00000000-0005-0000-0000-0000CA240000}"/>
    <cellStyle name="Normal 23 9" xfId="9422" xr:uid="{00000000-0005-0000-0000-0000CB240000}"/>
    <cellStyle name="Normal 23 9 2" xfId="9423" xr:uid="{00000000-0005-0000-0000-0000CC240000}"/>
    <cellStyle name="Normal 23 9 2 2" xfId="9424" xr:uid="{00000000-0005-0000-0000-0000CD240000}"/>
    <cellStyle name="Normal 23 9 2 3" xfId="9425" xr:uid="{00000000-0005-0000-0000-0000CE240000}"/>
    <cellStyle name="Normal 23 9 3" xfId="9426" xr:uid="{00000000-0005-0000-0000-0000CF240000}"/>
    <cellStyle name="Normal 23 9 4" xfId="9427" xr:uid="{00000000-0005-0000-0000-0000D0240000}"/>
    <cellStyle name="Normal 24" xfId="9428" xr:uid="{00000000-0005-0000-0000-0000D1240000}"/>
    <cellStyle name="Normal 24 10" xfId="9429" xr:uid="{00000000-0005-0000-0000-0000D2240000}"/>
    <cellStyle name="Normal 24 10 2" xfId="9430" xr:uid="{00000000-0005-0000-0000-0000D3240000}"/>
    <cellStyle name="Normal 24 10 2 2" xfId="9431" xr:uid="{00000000-0005-0000-0000-0000D4240000}"/>
    <cellStyle name="Normal 24 10 2 3" xfId="9432" xr:uid="{00000000-0005-0000-0000-0000D5240000}"/>
    <cellStyle name="Normal 24 10 3" xfId="9433" xr:uid="{00000000-0005-0000-0000-0000D6240000}"/>
    <cellStyle name="Normal 24 10 4" xfId="9434" xr:uid="{00000000-0005-0000-0000-0000D7240000}"/>
    <cellStyle name="Normal 24 11" xfId="9435" xr:uid="{00000000-0005-0000-0000-0000D8240000}"/>
    <cellStyle name="Normal 24 11 2" xfId="9436" xr:uid="{00000000-0005-0000-0000-0000D9240000}"/>
    <cellStyle name="Normal 24 11 2 2" xfId="9437" xr:uid="{00000000-0005-0000-0000-0000DA240000}"/>
    <cellStyle name="Normal 24 11 2 3" xfId="9438" xr:uid="{00000000-0005-0000-0000-0000DB240000}"/>
    <cellStyle name="Normal 24 11 3" xfId="9439" xr:uid="{00000000-0005-0000-0000-0000DC240000}"/>
    <cellStyle name="Normal 24 11 4" xfId="9440" xr:uid="{00000000-0005-0000-0000-0000DD240000}"/>
    <cellStyle name="Normal 24 12" xfId="9441" xr:uid="{00000000-0005-0000-0000-0000DE240000}"/>
    <cellStyle name="Normal 24 12 2" xfId="9442" xr:uid="{00000000-0005-0000-0000-0000DF240000}"/>
    <cellStyle name="Normal 24 12 2 2" xfId="9443" xr:uid="{00000000-0005-0000-0000-0000E0240000}"/>
    <cellStyle name="Normal 24 12 2 3" xfId="9444" xr:uid="{00000000-0005-0000-0000-0000E1240000}"/>
    <cellStyle name="Normal 24 12 3" xfId="9445" xr:uid="{00000000-0005-0000-0000-0000E2240000}"/>
    <cellStyle name="Normal 24 12 4" xfId="9446" xr:uid="{00000000-0005-0000-0000-0000E3240000}"/>
    <cellStyle name="Normal 24 13" xfId="9447" xr:uid="{00000000-0005-0000-0000-0000E4240000}"/>
    <cellStyle name="Normal 24 13 2" xfId="9448" xr:uid="{00000000-0005-0000-0000-0000E5240000}"/>
    <cellStyle name="Normal 24 13 2 2" xfId="9449" xr:uid="{00000000-0005-0000-0000-0000E6240000}"/>
    <cellStyle name="Normal 24 13 2 3" xfId="9450" xr:uid="{00000000-0005-0000-0000-0000E7240000}"/>
    <cellStyle name="Normal 24 13 3" xfId="9451" xr:uid="{00000000-0005-0000-0000-0000E8240000}"/>
    <cellStyle name="Normal 24 13 4" xfId="9452" xr:uid="{00000000-0005-0000-0000-0000E9240000}"/>
    <cellStyle name="Normal 24 14" xfId="9453" xr:uid="{00000000-0005-0000-0000-0000EA240000}"/>
    <cellStyle name="Normal 24 14 2" xfId="9454" xr:uid="{00000000-0005-0000-0000-0000EB240000}"/>
    <cellStyle name="Normal 24 14 2 2" xfId="9455" xr:uid="{00000000-0005-0000-0000-0000EC240000}"/>
    <cellStyle name="Normal 24 14 2 3" xfId="9456" xr:uid="{00000000-0005-0000-0000-0000ED240000}"/>
    <cellStyle name="Normal 24 14 3" xfId="9457" xr:uid="{00000000-0005-0000-0000-0000EE240000}"/>
    <cellStyle name="Normal 24 14 4" xfId="9458" xr:uid="{00000000-0005-0000-0000-0000EF240000}"/>
    <cellStyle name="Normal 24 15" xfId="9459" xr:uid="{00000000-0005-0000-0000-0000F0240000}"/>
    <cellStyle name="Normal 24 15 2" xfId="9460" xr:uid="{00000000-0005-0000-0000-0000F1240000}"/>
    <cellStyle name="Normal 24 15 2 2" xfId="9461" xr:uid="{00000000-0005-0000-0000-0000F2240000}"/>
    <cellStyle name="Normal 24 15 2 3" xfId="9462" xr:uid="{00000000-0005-0000-0000-0000F3240000}"/>
    <cellStyle name="Normal 24 15 3" xfId="9463" xr:uid="{00000000-0005-0000-0000-0000F4240000}"/>
    <cellStyle name="Normal 24 15 4" xfId="9464" xr:uid="{00000000-0005-0000-0000-0000F5240000}"/>
    <cellStyle name="Normal 24 16" xfId="9465" xr:uid="{00000000-0005-0000-0000-0000F6240000}"/>
    <cellStyle name="Normal 24 16 2" xfId="9466" xr:uid="{00000000-0005-0000-0000-0000F7240000}"/>
    <cellStyle name="Normal 24 16 2 2" xfId="9467" xr:uid="{00000000-0005-0000-0000-0000F8240000}"/>
    <cellStyle name="Normal 24 16 2 3" xfId="9468" xr:uid="{00000000-0005-0000-0000-0000F9240000}"/>
    <cellStyle name="Normal 24 16 3" xfId="9469" xr:uid="{00000000-0005-0000-0000-0000FA240000}"/>
    <cellStyle name="Normal 24 16 4" xfId="9470" xr:uid="{00000000-0005-0000-0000-0000FB240000}"/>
    <cellStyle name="Normal 24 17" xfId="9471" xr:uid="{00000000-0005-0000-0000-0000FC240000}"/>
    <cellStyle name="Normal 24 17 2" xfId="9472" xr:uid="{00000000-0005-0000-0000-0000FD240000}"/>
    <cellStyle name="Normal 24 17 2 2" xfId="9473" xr:uid="{00000000-0005-0000-0000-0000FE240000}"/>
    <cellStyle name="Normal 24 17 2 3" xfId="9474" xr:uid="{00000000-0005-0000-0000-0000FF240000}"/>
    <cellStyle name="Normal 24 17 3" xfId="9475" xr:uid="{00000000-0005-0000-0000-000000250000}"/>
    <cellStyle name="Normal 24 17 4" xfId="9476" xr:uid="{00000000-0005-0000-0000-000001250000}"/>
    <cellStyle name="Normal 24 18" xfId="9477" xr:uid="{00000000-0005-0000-0000-000002250000}"/>
    <cellStyle name="Normal 24 18 2" xfId="9478" xr:uid="{00000000-0005-0000-0000-000003250000}"/>
    <cellStyle name="Normal 24 18 2 2" xfId="9479" xr:uid="{00000000-0005-0000-0000-000004250000}"/>
    <cellStyle name="Normal 24 18 2 3" xfId="9480" xr:uid="{00000000-0005-0000-0000-000005250000}"/>
    <cellStyle name="Normal 24 18 3" xfId="9481" xr:uid="{00000000-0005-0000-0000-000006250000}"/>
    <cellStyle name="Normal 24 18 4" xfId="9482" xr:uid="{00000000-0005-0000-0000-000007250000}"/>
    <cellStyle name="Normal 24 19" xfId="9483" xr:uid="{00000000-0005-0000-0000-000008250000}"/>
    <cellStyle name="Normal 24 19 2" xfId="9484" xr:uid="{00000000-0005-0000-0000-000009250000}"/>
    <cellStyle name="Normal 24 19 2 2" xfId="9485" xr:uid="{00000000-0005-0000-0000-00000A250000}"/>
    <cellStyle name="Normal 24 19 2 3" xfId="9486" xr:uid="{00000000-0005-0000-0000-00000B250000}"/>
    <cellStyle name="Normal 24 19 3" xfId="9487" xr:uid="{00000000-0005-0000-0000-00000C250000}"/>
    <cellStyle name="Normal 24 19 4" xfId="9488" xr:uid="{00000000-0005-0000-0000-00000D250000}"/>
    <cellStyle name="Normal 24 2" xfId="9489" xr:uid="{00000000-0005-0000-0000-00000E250000}"/>
    <cellStyle name="Normal 24 2 2" xfId="9490" xr:uid="{00000000-0005-0000-0000-00000F250000}"/>
    <cellStyle name="Normal 24 2 3" xfId="9491" xr:uid="{00000000-0005-0000-0000-000010250000}"/>
    <cellStyle name="Normal 24 20" xfId="9492" xr:uid="{00000000-0005-0000-0000-000011250000}"/>
    <cellStyle name="Normal 24 20 2" xfId="9493" xr:uid="{00000000-0005-0000-0000-000012250000}"/>
    <cellStyle name="Normal 24 20 2 2" xfId="9494" xr:uid="{00000000-0005-0000-0000-000013250000}"/>
    <cellStyle name="Normal 24 20 2 3" xfId="9495" xr:uid="{00000000-0005-0000-0000-000014250000}"/>
    <cellStyle name="Normal 24 20 3" xfId="9496" xr:uid="{00000000-0005-0000-0000-000015250000}"/>
    <cellStyle name="Normal 24 20 4" xfId="9497" xr:uid="{00000000-0005-0000-0000-000016250000}"/>
    <cellStyle name="Normal 24 21" xfId="9498" xr:uid="{00000000-0005-0000-0000-000017250000}"/>
    <cellStyle name="Normal 24 21 2" xfId="9499" xr:uid="{00000000-0005-0000-0000-000018250000}"/>
    <cellStyle name="Normal 24 21 2 2" xfId="9500" xr:uid="{00000000-0005-0000-0000-000019250000}"/>
    <cellStyle name="Normal 24 21 2 3" xfId="9501" xr:uid="{00000000-0005-0000-0000-00001A250000}"/>
    <cellStyle name="Normal 24 21 3" xfId="9502" xr:uid="{00000000-0005-0000-0000-00001B250000}"/>
    <cellStyle name="Normal 24 21 4" xfId="9503" xr:uid="{00000000-0005-0000-0000-00001C250000}"/>
    <cellStyle name="Normal 24 22" xfId="9504" xr:uid="{00000000-0005-0000-0000-00001D250000}"/>
    <cellStyle name="Normal 24 22 2" xfId="9505" xr:uid="{00000000-0005-0000-0000-00001E250000}"/>
    <cellStyle name="Normal 24 22 2 2" xfId="9506" xr:uid="{00000000-0005-0000-0000-00001F250000}"/>
    <cellStyle name="Normal 24 22 2 3" xfId="9507" xr:uid="{00000000-0005-0000-0000-000020250000}"/>
    <cellStyle name="Normal 24 22 3" xfId="9508" xr:uid="{00000000-0005-0000-0000-000021250000}"/>
    <cellStyle name="Normal 24 22 4" xfId="9509" xr:uid="{00000000-0005-0000-0000-000022250000}"/>
    <cellStyle name="Normal 24 23" xfId="9510" xr:uid="{00000000-0005-0000-0000-000023250000}"/>
    <cellStyle name="Normal 24 23 2" xfId="9511" xr:uid="{00000000-0005-0000-0000-000024250000}"/>
    <cellStyle name="Normal 24 23 2 2" xfId="9512" xr:uid="{00000000-0005-0000-0000-000025250000}"/>
    <cellStyle name="Normal 24 23 2 3" xfId="9513" xr:uid="{00000000-0005-0000-0000-000026250000}"/>
    <cellStyle name="Normal 24 23 3" xfId="9514" xr:uid="{00000000-0005-0000-0000-000027250000}"/>
    <cellStyle name="Normal 24 23 4" xfId="9515" xr:uid="{00000000-0005-0000-0000-000028250000}"/>
    <cellStyle name="Normal 24 24" xfId="9516" xr:uid="{00000000-0005-0000-0000-000029250000}"/>
    <cellStyle name="Normal 24 24 2" xfId="9517" xr:uid="{00000000-0005-0000-0000-00002A250000}"/>
    <cellStyle name="Normal 24 24 2 2" xfId="9518" xr:uid="{00000000-0005-0000-0000-00002B250000}"/>
    <cellStyle name="Normal 24 24 2 3" xfId="9519" xr:uid="{00000000-0005-0000-0000-00002C250000}"/>
    <cellStyle name="Normal 24 24 3" xfId="9520" xr:uid="{00000000-0005-0000-0000-00002D250000}"/>
    <cellStyle name="Normal 24 24 4" xfId="9521" xr:uid="{00000000-0005-0000-0000-00002E250000}"/>
    <cellStyle name="Normal 24 25" xfId="9522" xr:uid="{00000000-0005-0000-0000-00002F250000}"/>
    <cellStyle name="Normal 24 25 2" xfId="9523" xr:uid="{00000000-0005-0000-0000-000030250000}"/>
    <cellStyle name="Normal 24 25 2 2" xfId="9524" xr:uid="{00000000-0005-0000-0000-000031250000}"/>
    <cellStyle name="Normal 24 25 2 3" xfId="9525" xr:uid="{00000000-0005-0000-0000-000032250000}"/>
    <cellStyle name="Normal 24 25 3" xfId="9526" xr:uid="{00000000-0005-0000-0000-000033250000}"/>
    <cellStyle name="Normal 24 25 4" xfId="9527" xr:uid="{00000000-0005-0000-0000-000034250000}"/>
    <cellStyle name="Normal 24 26" xfId="9528" xr:uid="{00000000-0005-0000-0000-000035250000}"/>
    <cellStyle name="Normal 24 26 2" xfId="9529" xr:uid="{00000000-0005-0000-0000-000036250000}"/>
    <cellStyle name="Normal 24 26 3" xfId="9530" xr:uid="{00000000-0005-0000-0000-000037250000}"/>
    <cellStyle name="Normal 24 27" xfId="9531" xr:uid="{00000000-0005-0000-0000-000038250000}"/>
    <cellStyle name="Normal 24 28" xfId="9532" xr:uid="{00000000-0005-0000-0000-000039250000}"/>
    <cellStyle name="Normal 24 3" xfId="9533" xr:uid="{00000000-0005-0000-0000-00003A250000}"/>
    <cellStyle name="Normal 24 3 2" xfId="9534" xr:uid="{00000000-0005-0000-0000-00003B250000}"/>
    <cellStyle name="Normal 24 3 3" xfId="9535" xr:uid="{00000000-0005-0000-0000-00003C250000}"/>
    <cellStyle name="Normal 24 4" xfId="9536" xr:uid="{00000000-0005-0000-0000-00003D250000}"/>
    <cellStyle name="Normal 24 4 2" xfId="9537" xr:uid="{00000000-0005-0000-0000-00003E250000}"/>
    <cellStyle name="Normal 24 4 2 2" xfId="9538" xr:uid="{00000000-0005-0000-0000-00003F250000}"/>
    <cellStyle name="Normal 24 4 2 3" xfId="9539" xr:uid="{00000000-0005-0000-0000-000040250000}"/>
    <cellStyle name="Normal 24 4 3" xfId="9540" xr:uid="{00000000-0005-0000-0000-000041250000}"/>
    <cellStyle name="Normal 24 4 4" xfId="9541" xr:uid="{00000000-0005-0000-0000-000042250000}"/>
    <cellStyle name="Normal 24 5" xfId="9542" xr:uid="{00000000-0005-0000-0000-000043250000}"/>
    <cellStyle name="Normal 24 5 2" xfId="9543" xr:uid="{00000000-0005-0000-0000-000044250000}"/>
    <cellStyle name="Normal 24 5 2 2" xfId="9544" xr:uid="{00000000-0005-0000-0000-000045250000}"/>
    <cellStyle name="Normal 24 5 2 3" xfId="9545" xr:uid="{00000000-0005-0000-0000-000046250000}"/>
    <cellStyle name="Normal 24 5 3" xfId="9546" xr:uid="{00000000-0005-0000-0000-000047250000}"/>
    <cellStyle name="Normal 24 5 4" xfId="9547" xr:uid="{00000000-0005-0000-0000-000048250000}"/>
    <cellStyle name="Normal 24 6" xfId="9548" xr:uid="{00000000-0005-0000-0000-000049250000}"/>
    <cellStyle name="Normal 24 6 2" xfId="9549" xr:uid="{00000000-0005-0000-0000-00004A250000}"/>
    <cellStyle name="Normal 24 6 2 2" xfId="9550" xr:uid="{00000000-0005-0000-0000-00004B250000}"/>
    <cellStyle name="Normal 24 6 2 3" xfId="9551" xr:uid="{00000000-0005-0000-0000-00004C250000}"/>
    <cellStyle name="Normal 24 6 3" xfId="9552" xr:uid="{00000000-0005-0000-0000-00004D250000}"/>
    <cellStyle name="Normal 24 6 4" xfId="9553" xr:uid="{00000000-0005-0000-0000-00004E250000}"/>
    <cellStyle name="Normal 24 7" xfId="9554" xr:uid="{00000000-0005-0000-0000-00004F250000}"/>
    <cellStyle name="Normal 24 7 2" xfId="9555" xr:uid="{00000000-0005-0000-0000-000050250000}"/>
    <cellStyle name="Normal 24 7 2 2" xfId="9556" xr:uid="{00000000-0005-0000-0000-000051250000}"/>
    <cellStyle name="Normal 24 7 2 3" xfId="9557" xr:uid="{00000000-0005-0000-0000-000052250000}"/>
    <cellStyle name="Normal 24 7 3" xfId="9558" xr:uid="{00000000-0005-0000-0000-000053250000}"/>
    <cellStyle name="Normal 24 7 4" xfId="9559" xr:uid="{00000000-0005-0000-0000-000054250000}"/>
    <cellStyle name="Normal 24 8" xfId="9560" xr:uid="{00000000-0005-0000-0000-000055250000}"/>
    <cellStyle name="Normal 24 8 2" xfId="9561" xr:uid="{00000000-0005-0000-0000-000056250000}"/>
    <cellStyle name="Normal 24 8 2 2" xfId="9562" xr:uid="{00000000-0005-0000-0000-000057250000}"/>
    <cellStyle name="Normal 24 8 2 3" xfId="9563" xr:uid="{00000000-0005-0000-0000-000058250000}"/>
    <cellStyle name="Normal 24 8 3" xfId="9564" xr:uid="{00000000-0005-0000-0000-000059250000}"/>
    <cellStyle name="Normal 24 8 4" xfId="9565" xr:uid="{00000000-0005-0000-0000-00005A250000}"/>
    <cellStyle name="Normal 24 9" xfId="9566" xr:uid="{00000000-0005-0000-0000-00005B250000}"/>
    <cellStyle name="Normal 24 9 2" xfId="9567" xr:uid="{00000000-0005-0000-0000-00005C250000}"/>
    <cellStyle name="Normal 24 9 2 2" xfId="9568" xr:uid="{00000000-0005-0000-0000-00005D250000}"/>
    <cellStyle name="Normal 24 9 2 3" xfId="9569" xr:uid="{00000000-0005-0000-0000-00005E250000}"/>
    <cellStyle name="Normal 24 9 3" xfId="9570" xr:uid="{00000000-0005-0000-0000-00005F250000}"/>
    <cellStyle name="Normal 24 9 4" xfId="9571" xr:uid="{00000000-0005-0000-0000-000060250000}"/>
    <cellStyle name="Normal 25" xfId="9572" xr:uid="{00000000-0005-0000-0000-000061250000}"/>
    <cellStyle name="Normal 25 10" xfId="9573" xr:uid="{00000000-0005-0000-0000-000062250000}"/>
    <cellStyle name="Normal 25 10 2" xfId="9574" xr:uid="{00000000-0005-0000-0000-000063250000}"/>
    <cellStyle name="Normal 25 10 2 2" xfId="9575" xr:uid="{00000000-0005-0000-0000-000064250000}"/>
    <cellStyle name="Normal 25 10 2 3" xfId="9576" xr:uid="{00000000-0005-0000-0000-000065250000}"/>
    <cellStyle name="Normal 25 10 3" xfId="9577" xr:uid="{00000000-0005-0000-0000-000066250000}"/>
    <cellStyle name="Normal 25 10 4" xfId="9578" xr:uid="{00000000-0005-0000-0000-000067250000}"/>
    <cellStyle name="Normal 25 11" xfId="9579" xr:uid="{00000000-0005-0000-0000-000068250000}"/>
    <cellStyle name="Normal 25 11 2" xfId="9580" xr:uid="{00000000-0005-0000-0000-000069250000}"/>
    <cellStyle name="Normal 25 11 2 2" xfId="9581" xr:uid="{00000000-0005-0000-0000-00006A250000}"/>
    <cellStyle name="Normal 25 11 2 3" xfId="9582" xr:uid="{00000000-0005-0000-0000-00006B250000}"/>
    <cellStyle name="Normal 25 11 3" xfId="9583" xr:uid="{00000000-0005-0000-0000-00006C250000}"/>
    <cellStyle name="Normal 25 11 4" xfId="9584" xr:uid="{00000000-0005-0000-0000-00006D250000}"/>
    <cellStyle name="Normal 25 12" xfId="9585" xr:uid="{00000000-0005-0000-0000-00006E250000}"/>
    <cellStyle name="Normal 25 12 2" xfId="9586" xr:uid="{00000000-0005-0000-0000-00006F250000}"/>
    <cellStyle name="Normal 25 12 2 2" xfId="9587" xr:uid="{00000000-0005-0000-0000-000070250000}"/>
    <cellStyle name="Normal 25 12 2 3" xfId="9588" xr:uid="{00000000-0005-0000-0000-000071250000}"/>
    <cellStyle name="Normal 25 12 3" xfId="9589" xr:uid="{00000000-0005-0000-0000-000072250000}"/>
    <cellStyle name="Normal 25 12 4" xfId="9590" xr:uid="{00000000-0005-0000-0000-000073250000}"/>
    <cellStyle name="Normal 25 13" xfId="9591" xr:uid="{00000000-0005-0000-0000-000074250000}"/>
    <cellStyle name="Normal 25 13 2" xfId="9592" xr:uid="{00000000-0005-0000-0000-000075250000}"/>
    <cellStyle name="Normal 25 13 2 2" xfId="9593" xr:uid="{00000000-0005-0000-0000-000076250000}"/>
    <cellStyle name="Normal 25 13 2 3" xfId="9594" xr:uid="{00000000-0005-0000-0000-000077250000}"/>
    <cellStyle name="Normal 25 13 3" xfId="9595" xr:uid="{00000000-0005-0000-0000-000078250000}"/>
    <cellStyle name="Normal 25 13 4" xfId="9596" xr:uid="{00000000-0005-0000-0000-000079250000}"/>
    <cellStyle name="Normal 25 14" xfId="9597" xr:uid="{00000000-0005-0000-0000-00007A250000}"/>
    <cellStyle name="Normal 25 14 2" xfId="9598" xr:uid="{00000000-0005-0000-0000-00007B250000}"/>
    <cellStyle name="Normal 25 14 2 2" xfId="9599" xr:uid="{00000000-0005-0000-0000-00007C250000}"/>
    <cellStyle name="Normal 25 14 2 3" xfId="9600" xr:uid="{00000000-0005-0000-0000-00007D250000}"/>
    <cellStyle name="Normal 25 14 3" xfId="9601" xr:uid="{00000000-0005-0000-0000-00007E250000}"/>
    <cellStyle name="Normal 25 14 4" xfId="9602" xr:uid="{00000000-0005-0000-0000-00007F250000}"/>
    <cellStyle name="Normal 25 15" xfId="9603" xr:uid="{00000000-0005-0000-0000-000080250000}"/>
    <cellStyle name="Normal 25 15 2" xfId="9604" xr:uid="{00000000-0005-0000-0000-000081250000}"/>
    <cellStyle name="Normal 25 15 2 2" xfId="9605" xr:uid="{00000000-0005-0000-0000-000082250000}"/>
    <cellStyle name="Normal 25 15 2 3" xfId="9606" xr:uid="{00000000-0005-0000-0000-000083250000}"/>
    <cellStyle name="Normal 25 15 3" xfId="9607" xr:uid="{00000000-0005-0000-0000-000084250000}"/>
    <cellStyle name="Normal 25 15 4" xfId="9608" xr:uid="{00000000-0005-0000-0000-000085250000}"/>
    <cellStyle name="Normal 25 16" xfId="9609" xr:uid="{00000000-0005-0000-0000-000086250000}"/>
    <cellStyle name="Normal 25 16 2" xfId="9610" xr:uid="{00000000-0005-0000-0000-000087250000}"/>
    <cellStyle name="Normal 25 16 2 2" xfId="9611" xr:uid="{00000000-0005-0000-0000-000088250000}"/>
    <cellStyle name="Normal 25 16 2 3" xfId="9612" xr:uid="{00000000-0005-0000-0000-000089250000}"/>
    <cellStyle name="Normal 25 16 3" xfId="9613" xr:uid="{00000000-0005-0000-0000-00008A250000}"/>
    <cellStyle name="Normal 25 16 4" xfId="9614" xr:uid="{00000000-0005-0000-0000-00008B250000}"/>
    <cellStyle name="Normal 25 17" xfId="9615" xr:uid="{00000000-0005-0000-0000-00008C250000}"/>
    <cellStyle name="Normal 25 17 2" xfId="9616" xr:uid="{00000000-0005-0000-0000-00008D250000}"/>
    <cellStyle name="Normal 25 17 2 2" xfId="9617" xr:uid="{00000000-0005-0000-0000-00008E250000}"/>
    <cellStyle name="Normal 25 17 2 3" xfId="9618" xr:uid="{00000000-0005-0000-0000-00008F250000}"/>
    <cellStyle name="Normal 25 17 3" xfId="9619" xr:uid="{00000000-0005-0000-0000-000090250000}"/>
    <cellStyle name="Normal 25 17 4" xfId="9620" xr:uid="{00000000-0005-0000-0000-000091250000}"/>
    <cellStyle name="Normal 25 18" xfId="9621" xr:uid="{00000000-0005-0000-0000-000092250000}"/>
    <cellStyle name="Normal 25 18 2" xfId="9622" xr:uid="{00000000-0005-0000-0000-000093250000}"/>
    <cellStyle name="Normal 25 18 2 2" xfId="9623" xr:uid="{00000000-0005-0000-0000-000094250000}"/>
    <cellStyle name="Normal 25 18 2 3" xfId="9624" xr:uid="{00000000-0005-0000-0000-000095250000}"/>
    <cellStyle name="Normal 25 18 3" xfId="9625" xr:uid="{00000000-0005-0000-0000-000096250000}"/>
    <cellStyle name="Normal 25 18 4" xfId="9626" xr:uid="{00000000-0005-0000-0000-000097250000}"/>
    <cellStyle name="Normal 25 19" xfId="9627" xr:uid="{00000000-0005-0000-0000-000098250000}"/>
    <cellStyle name="Normal 25 19 2" xfId="9628" xr:uid="{00000000-0005-0000-0000-000099250000}"/>
    <cellStyle name="Normal 25 19 2 2" xfId="9629" xr:uid="{00000000-0005-0000-0000-00009A250000}"/>
    <cellStyle name="Normal 25 19 2 3" xfId="9630" xr:uid="{00000000-0005-0000-0000-00009B250000}"/>
    <cellStyle name="Normal 25 19 3" xfId="9631" xr:uid="{00000000-0005-0000-0000-00009C250000}"/>
    <cellStyle name="Normal 25 19 4" xfId="9632" xr:uid="{00000000-0005-0000-0000-00009D250000}"/>
    <cellStyle name="Normal 25 2" xfId="9633" xr:uid="{00000000-0005-0000-0000-00009E250000}"/>
    <cellStyle name="Normal 25 2 2" xfId="9634" xr:uid="{00000000-0005-0000-0000-00009F250000}"/>
    <cellStyle name="Normal 25 2 3" xfId="9635" xr:uid="{00000000-0005-0000-0000-0000A0250000}"/>
    <cellStyle name="Normal 25 20" xfId="9636" xr:uid="{00000000-0005-0000-0000-0000A1250000}"/>
    <cellStyle name="Normal 25 20 2" xfId="9637" xr:uid="{00000000-0005-0000-0000-0000A2250000}"/>
    <cellStyle name="Normal 25 20 2 2" xfId="9638" xr:uid="{00000000-0005-0000-0000-0000A3250000}"/>
    <cellStyle name="Normal 25 20 2 3" xfId="9639" xr:uid="{00000000-0005-0000-0000-0000A4250000}"/>
    <cellStyle name="Normal 25 20 3" xfId="9640" xr:uid="{00000000-0005-0000-0000-0000A5250000}"/>
    <cellStyle name="Normal 25 20 4" xfId="9641" xr:uid="{00000000-0005-0000-0000-0000A6250000}"/>
    <cellStyle name="Normal 25 21" xfId="9642" xr:uid="{00000000-0005-0000-0000-0000A7250000}"/>
    <cellStyle name="Normal 25 21 2" xfId="9643" xr:uid="{00000000-0005-0000-0000-0000A8250000}"/>
    <cellStyle name="Normal 25 21 2 2" xfId="9644" xr:uid="{00000000-0005-0000-0000-0000A9250000}"/>
    <cellStyle name="Normal 25 21 2 3" xfId="9645" xr:uid="{00000000-0005-0000-0000-0000AA250000}"/>
    <cellStyle name="Normal 25 21 3" xfId="9646" xr:uid="{00000000-0005-0000-0000-0000AB250000}"/>
    <cellStyle name="Normal 25 21 4" xfId="9647" xr:uid="{00000000-0005-0000-0000-0000AC250000}"/>
    <cellStyle name="Normal 25 22" xfId="9648" xr:uid="{00000000-0005-0000-0000-0000AD250000}"/>
    <cellStyle name="Normal 25 22 2" xfId="9649" xr:uid="{00000000-0005-0000-0000-0000AE250000}"/>
    <cellStyle name="Normal 25 22 2 2" xfId="9650" xr:uid="{00000000-0005-0000-0000-0000AF250000}"/>
    <cellStyle name="Normal 25 22 2 3" xfId="9651" xr:uid="{00000000-0005-0000-0000-0000B0250000}"/>
    <cellStyle name="Normal 25 22 3" xfId="9652" xr:uid="{00000000-0005-0000-0000-0000B1250000}"/>
    <cellStyle name="Normal 25 22 4" xfId="9653" xr:uid="{00000000-0005-0000-0000-0000B2250000}"/>
    <cellStyle name="Normal 25 23" xfId="9654" xr:uid="{00000000-0005-0000-0000-0000B3250000}"/>
    <cellStyle name="Normal 25 23 2" xfId="9655" xr:uid="{00000000-0005-0000-0000-0000B4250000}"/>
    <cellStyle name="Normal 25 23 2 2" xfId="9656" xr:uid="{00000000-0005-0000-0000-0000B5250000}"/>
    <cellStyle name="Normal 25 23 2 3" xfId="9657" xr:uid="{00000000-0005-0000-0000-0000B6250000}"/>
    <cellStyle name="Normal 25 23 3" xfId="9658" xr:uid="{00000000-0005-0000-0000-0000B7250000}"/>
    <cellStyle name="Normal 25 23 4" xfId="9659" xr:uid="{00000000-0005-0000-0000-0000B8250000}"/>
    <cellStyle name="Normal 25 24" xfId="9660" xr:uid="{00000000-0005-0000-0000-0000B9250000}"/>
    <cellStyle name="Normal 25 24 2" xfId="9661" xr:uid="{00000000-0005-0000-0000-0000BA250000}"/>
    <cellStyle name="Normal 25 24 2 2" xfId="9662" xr:uid="{00000000-0005-0000-0000-0000BB250000}"/>
    <cellStyle name="Normal 25 24 2 3" xfId="9663" xr:uid="{00000000-0005-0000-0000-0000BC250000}"/>
    <cellStyle name="Normal 25 24 3" xfId="9664" xr:uid="{00000000-0005-0000-0000-0000BD250000}"/>
    <cellStyle name="Normal 25 24 4" xfId="9665" xr:uid="{00000000-0005-0000-0000-0000BE250000}"/>
    <cellStyle name="Normal 25 25" xfId="9666" xr:uid="{00000000-0005-0000-0000-0000BF250000}"/>
    <cellStyle name="Normal 25 25 2" xfId="9667" xr:uid="{00000000-0005-0000-0000-0000C0250000}"/>
    <cellStyle name="Normal 25 25 2 2" xfId="9668" xr:uid="{00000000-0005-0000-0000-0000C1250000}"/>
    <cellStyle name="Normal 25 25 2 3" xfId="9669" xr:uid="{00000000-0005-0000-0000-0000C2250000}"/>
    <cellStyle name="Normal 25 25 3" xfId="9670" xr:uid="{00000000-0005-0000-0000-0000C3250000}"/>
    <cellStyle name="Normal 25 25 4" xfId="9671" xr:uid="{00000000-0005-0000-0000-0000C4250000}"/>
    <cellStyle name="Normal 25 26" xfId="9672" xr:uid="{00000000-0005-0000-0000-0000C5250000}"/>
    <cellStyle name="Normal 25 26 2" xfId="9673" xr:uid="{00000000-0005-0000-0000-0000C6250000}"/>
    <cellStyle name="Normal 25 26 3" xfId="9674" xr:uid="{00000000-0005-0000-0000-0000C7250000}"/>
    <cellStyle name="Normal 25 27" xfId="9675" xr:uid="{00000000-0005-0000-0000-0000C8250000}"/>
    <cellStyle name="Normal 25 28" xfId="9676" xr:uid="{00000000-0005-0000-0000-0000C9250000}"/>
    <cellStyle name="Normal 25 3" xfId="9677" xr:uid="{00000000-0005-0000-0000-0000CA250000}"/>
    <cellStyle name="Normal 25 3 2" xfId="9678" xr:uid="{00000000-0005-0000-0000-0000CB250000}"/>
    <cellStyle name="Normal 25 3 3" xfId="9679" xr:uid="{00000000-0005-0000-0000-0000CC250000}"/>
    <cellStyle name="Normal 25 4" xfId="9680" xr:uid="{00000000-0005-0000-0000-0000CD250000}"/>
    <cellStyle name="Normal 25 4 2" xfId="9681" xr:uid="{00000000-0005-0000-0000-0000CE250000}"/>
    <cellStyle name="Normal 25 4 2 2" xfId="9682" xr:uid="{00000000-0005-0000-0000-0000CF250000}"/>
    <cellStyle name="Normal 25 4 2 3" xfId="9683" xr:uid="{00000000-0005-0000-0000-0000D0250000}"/>
    <cellStyle name="Normal 25 4 3" xfId="9684" xr:uid="{00000000-0005-0000-0000-0000D1250000}"/>
    <cellStyle name="Normal 25 4 4" xfId="9685" xr:uid="{00000000-0005-0000-0000-0000D2250000}"/>
    <cellStyle name="Normal 25 5" xfId="9686" xr:uid="{00000000-0005-0000-0000-0000D3250000}"/>
    <cellStyle name="Normal 25 5 2" xfId="9687" xr:uid="{00000000-0005-0000-0000-0000D4250000}"/>
    <cellStyle name="Normal 25 5 2 2" xfId="9688" xr:uid="{00000000-0005-0000-0000-0000D5250000}"/>
    <cellStyle name="Normal 25 5 2 3" xfId="9689" xr:uid="{00000000-0005-0000-0000-0000D6250000}"/>
    <cellStyle name="Normal 25 5 3" xfId="9690" xr:uid="{00000000-0005-0000-0000-0000D7250000}"/>
    <cellStyle name="Normal 25 5 4" xfId="9691" xr:uid="{00000000-0005-0000-0000-0000D8250000}"/>
    <cellStyle name="Normal 25 6" xfId="9692" xr:uid="{00000000-0005-0000-0000-0000D9250000}"/>
    <cellStyle name="Normal 25 6 2" xfId="9693" xr:uid="{00000000-0005-0000-0000-0000DA250000}"/>
    <cellStyle name="Normal 25 6 2 2" xfId="9694" xr:uid="{00000000-0005-0000-0000-0000DB250000}"/>
    <cellStyle name="Normal 25 6 2 3" xfId="9695" xr:uid="{00000000-0005-0000-0000-0000DC250000}"/>
    <cellStyle name="Normal 25 6 3" xfId="9696" xr:uid="{00000000-0005-0000-0000-0000DD250000}"/>
    <cellStyle name="Normal 25 6 4" xfId="9697" xr:uid="{00000000-0005-0000-0000-0000DE250000}"/>
    <cellStyle name="Normal 25 7" xfId="9698" xr:uid="{00000000-0005-0000-0000-0000DF250000}"/>
    <cellStyle name="Normal 25 7 2" xfId="9699" xr:uid="{00000000-0005-0000-0000-0000E0250000}"/>
    <cellStyle name="Normal 25 7 2 2" xfId="9700" xr:uid="{00000000-0005-0000-0000-0000E1250000}"/>
    <cellStyle name="Normal 25 7 2 3" xfId="9701" xr:uid="{00000000-0005-0000-0000-0000E2250000}"/>
    <cellStyle name="Normal 25 7 3" xfId="9702" xr:uid="{00000000-0005-0000-0000-0000E3250000}"/>
    <cellStyle name="Normal 25 7 4" xfId="9703" xr:uid="{00000000-0005-0000-0000-0000E4250000}"/>
    <cellStyle name="Normal 25 8" xfId="9704" xr:uid="{00000000-0005-0000-0000-0000E5250000}"/>
    <cellStyle name="Normal 25 8 2" xfId="9705" xr:uid="{00000000-0005-0000-0000-0000E6250000}"/>
    <cellStyle name="Normal 25 8 2 2" xfId="9706" xr:uid="{00000000-0005-0000-0000-0000E7250000}"/>
    <cellStyle name="Normal 25 8 2 3" xfId="9707" xr:uid="{00000000-0005-0000-0000-0000E8250000}"/>
    <cellStyle name="Normal 25 8 3" xfId="9708" xr:uid="{00000000-0005-0000-0000-0000E9250000}"/>
    <cellStyle name="Normal 25 8 4" xfId="9709" xr:uid="{00000000-0005-0000-0000-0000EA250000}"/>
    <cellStyle name="Normal 25 9" xfId="9710" xr:uid="{00000000-0005-0000-0000-0000EB250000}"/>
    <cellStyle name="Normal 25 9 2" xfId="9711" xr:uid="{00000000-0005-0000-0000-0000EC250000}"/>
    <cellStyle name="Normal 25 9 2 2" xfId="9712" xr:uid="{00000000-0005-0000-0000-0000ED250000}"/>
    <cellStyle name="Normal 25 9 2 3" xfId="9713" xr:uid="{00000000-0005-0000-0000-0000EE250000}"/>
    <cellStyle name="Normal 25 9 3" xfId="9714" xr:uid="{00000000-0005-0000-0000-0000EF250000}"/>
    <cellStyle name="Normal 25 9 4" xfId="9715" xr:uid="{00000000-0005-0000-0000-0000F0250000}"/>
    <cellStyle name="Normal 26" xfId="9716" xr:uid="{00000000-0005-0000-0000-0000F1250000}"/>
    <cellStyle name="Normal 26 10" xfId="9717" xr:uid="{00000000-0005-0000-0000-0000F2250000}"/>
    <cellStyle name="Normal 26 10 2" xfId="9718" xr:uid="{00000000-0005-0000-0000-0000F3250000}"/>
    <cellStyle name="Normal 26 10 2 2" xfId="9719" xr:uid="{00000000-0005-0000-0000-0000F4250000}"/>
    <cellStyle name="Normal 26 10 2 3" xfId="9720" xr:uid="{00000000-0005-0000-0000-0000F5250000}"/>
    <cellStyle name="Normal 26 10 3" xfId="9721" xr:uid="{00000000-0005-0000-0000-0000F6250000}"/>
    <cellStyle name="Normal 26 10 4" xfId="9722" xr:uid="{00000000-0005-0000-0000-0000F7250000}"/>
    <cellStyle name="Normal 26 11" xfId="9723" xr:uid="{00000000-0005-0000-0000-0000F8250000}"/>
    <cellStyle name="Normal 26 11 2" xfId="9724" xr:uid="{00000000-0005-0000-0000-0000F9250000}"/>
    <cellStyle name="Normal 26 11 2 2" xfId="9725" xr:uid="{00000000-0005-0000-0000-0000FA250000}"/>
    <cellStyle name="Normal 26 11 2 3" xfId="9726" xr:uid="{00000000-0005-0000-0000-0000FB250000}"/>
    <cellStyle name="Normal 26 11 3" xfId="9727" xr:uid="{00000000-0005-0000-0000-0000FC250000}"/>
    <cellStyle name="Normal 26 11 4" xfId="9728" xr:uid="{00000000-0005-0000-0000-0000FD250000}"/>
    <cellStyle name="Normal 26 12" xfId="9729" xr:uid="{00000000-0005-0000-0000-0000FE250000}"/>
    <cellStyle name="Normal 26 12 2" xfId="9730" xr:uid="{00000000-0005-0000-0000-0000FF250000}"/>
    <cellStyle name="Normal 26 12 2 2" xfId="9731" xr:uid="{00000000-0005-0000-0000-000000260000}"/>
    <cellStyle name="Normal 26 12 2 3" xfId="9732" xr:uid="{00000000-0005-0000-0000-000001260000}"/>
    <cellStyle name="Normal 26 12 3" xfId="9733" xr:uid="{00000000-0005-0000-0000-000002260000}"/>
    <cellStyle name="Normal 26 12 4" xfId="9734" xr:uid="{00000000-0005-0000-0000-000003260000}"/>
    <cellStyle name="Normal 26 13" xfId="9735" xr:uid="{00000000-0005-0000-0000-000004260000}"/>
    <cellStyle name="Normal 26 13 2" xfId="9736" xr:uid="{00000000-0005-0000-0000-000005260000}"/>
    <cellStyle name="Normal 26 13 2 2" xfId="9737" xr:uid="{00000000-0005-0000-0000-000006260000}"/>
    <cellStyle name="Normal 26 13 2 3" xfId="9738" xr:uid="{00000000-0005-0000-0000-000007260000}"/>
    <cellStyle name="Normal 26 13 3" xfId="9739" xr:uid="{00000000-0005-0000-0000-000008260000}"/>
    <cellStyle name="Normal 26 13 4" xfId="9740" xr:uid="{00000000-0005-0000-0000-000009260000}"/>
    <cellStyle name="Normal 26 14" xfId="9741" xr:uid="{00000000-0005-0000-0000-00000A260000}"/>
    <cellStyle name="Normal 26 14 2" xfId="9742" xr:uid="{00000000-0005-0000-0000-00000B260000}"/>
    <cellStyle name="Normal 26 14 2 2" xfId="9743" xr:uid="{00000000-0005-0000-0000-00000C260000}"/>
    <cellStyle name="Normal 26 14 2 3" xfId="9744" xr:uid="{00000000-0005-0000-0000-00000D260000}"/>
    <cellStyle name="Normal 26 14 3" xfId="9745" xr:uid="{00000000-0005-0000-0000-00000E260000}"/>
    <cellStyle name="Normal 26 14 4" xfId="9746" xr:uid="{00000000-0005-0000-0000-00000F260000}"/>
    <cellStyle name="Normal 26 15" xfId="9747" xr:uid="{00000000-0005-0000-0000-000010260000}"/>
    <cellStyle name="Normal 26 15 2" xfId="9748" xr:uid="{00000000-0005-0000-0000-000011260000}"/>
    <cellStyle name="Normal 26 15 2 2" xfId="9749" xr:uid="{00000000-0005-0000-0000-000012260000}"/>
    <cellStyle name="Normal 26 15 2 3" xfId="9750" xr:uid="{00000000-0005-0000-0000-000013260000}"/>
    <cellStyle name="Normal 26 15 3" xfId="9751" xr:uid="{00000000-0005-0000-0000-000014260000}"/>
    <cellStyle name="Normal 26 15 4" xfId="9752" xr:uid="{00000000-0005-0000-0000-000015260000}"/>
    <cellStyle name="Normal 26 16" xfId="9753" xr:uid="{00000000-0005-0000-0000-000016260000}"/>
    <cellStyle name="Normal 26 16 2" xfId="9754" xr:uid="{00000000-0005-0000-0000-000017260000}"/>
    <cellStyle name="Normal 26 16 2 2" xfId="9755" xr:uid="{00000000-0005-0000-0000-000018260000}"/>
    <cellStyle name="Normal 26 16 2 3" xfId="9756" xr:uid="{00000000-0005-0000-0000-000019260000}"/>
    <cellStyle name="Normal 26 16 3" xfId="9757" xr:uid="{00000000-0005-0000-0000-00001A260000}"/>
    <cellStyle name="Normal 26 16 4" xfId="9758" xr:uid="{00000000-0005-0000-0000-00001B260000}"/>
    <cellStyle name="Normal 26 17" xfId="9759" xr:uid="{00000000-0005-0000-0000-00001C260000}"/>
    <cellStyle name="Normal 26 17 2" xfId="9760" xr:uid="{00000000-0005-0000-0000-00001D260000}"/>
    <cellStyle name="Normal 26 17 2 2" xfId="9761" xr:uid="{00000000-0005-0000-0000-00001E260000}"/>
    <cellStyle name="Normal 26 17 2 3" xfId="9762" xr:uid="{00000000-0005-0000-0000-00001F260000}"/>
    <cellStyle name="Normal 26 17 3" xfId="9763" xr:uid="{00000000-0005-0000-0000-000020260000}"/>
    <cellStyle name="Normal 26 17 4" xfId="9764" xr:uid="{00000000-0005-0000-0000-000021260000}"/>
    <cellStyle name="Normal 26 18" xfId="9765" xr:uid="{00000000-0005-0000-0000-000022260000}"/>
    <cellStyle name="Normal 26 18 2" xfId="9766" xr:uid="{00000000-0005-0000-0000-000023260000}"/>
    <cellStyle name="Normal 26 18 2 2" xfId="9767" xr:uid="{00000000-0005-0000-0000-000024260000}"/>
    <cellStyle name="Normal 26 18 2 3" xfId="9768" xr:uid="{00000000-0005-0000-0000-000025260000}"/>
    <cellStyle name="Normal 26 18 3" xfId="9769" xr:uid="{00000000-0005-0000-0000-000026260000}"/>
    <cellStyle name="Normal 26 18 4" xfId="9770" xr:uid="{00000000-0005-0000-0000-000027260000}"/>
    <cellStyle name="Normal 26 19" xfId="9771" xr:uid="{00000000-0005-0000-0000-000028260000}"/>
    <cellStyle name="Normal 26 19 2" xfId="9772" xr:uid="{00000000-0005-0000-0000-000029260000}"/>
    <cellStyle name="Normal 26 19 2 2" xfId="9773" xr:uid="{00000000-0005-0000-0000-00002A260000}"/>
    <cellStyle name="Normal 26 19 2 3" xfId="9774" xr:uid="{00000000-0005-0000-0000-00002B260000}"/>
    <cellStyle name="Normal 26 19 3" xfId="9775" xr:uid="{00000000-0005-0000-0000-00002C260000}"/>
    <cellStyle name="Normal 26 19 4" xfId="9776" xr:uid="{00000000-0005-0000-0000-00002D260000}"/>
    <cellStyle name="Normal 26 2" xfId="9777" xr:uid="{00000000-0005-0000-0000-00002E260000}"/>
    <cellStyle name="Normal 26 2 2" xfId="9778" xr:uid="{00000000-0005-0000-0000-00002F260000}"/>
    <cellStyle name="Normal 26 2 3" xfId="9779" xr:uid="{00000000-0005-0000-0000-000030260000}"/>
    <cellStyle name="Normal 26 20" xfId="9780" xr:uid="{00000000-0005-0000-0000-000031260000}"/>
    <cellStyle name="Normal 26 20 2" xfId="9781" xr:uid="{00000000-0005-0000-0000-000032260000}"/>
    <cellStyle name="Normal 26 20 2 2" xfId="9782" xr:uid="{00000000-0005-0000-0000-000033260000}"/>
    <cellStyle name="Normal 26 20 2 3" xfId="9783" xr:uid="{00000000-0005-0000-0000-000034260000}"/>
    <cellStyle name="Normal 26 20 3" xfId="9784" xr:uid="{00000000-0005-0000-0000-000035260000}"/>
    <cellStyle name="Normal 26 20 4" xfId="9785" xr:uid="{00000000-0005-0000-0000-000036260000}"/>
    <cellStyle name="Normal 26 21" xfId="9786" xr:uid="{00000000-0005-0000-0000-000037260000}"/>
    <cellStyle name="Normal 26 21 2" xfId="9787" xr:uid="{00000000-0005-0000-0000-000038260000}"/>
    <cellStyle name="Normal 26 21 2 2" xfId="9788" xr:uid="{00000000-0005-0000-0000-000039260000}"/>
    <cellStyle name="Normal 26 21 2 3" xfId="9789" xr:uid="{00000000-0005-0000-0000-00003A260000}"/>
    <cellStyle name="Normal 26 21 3" xfId="9790" xr:uid="{00000000-0005-0000-0000-00003B260000}"/>
    <cellStyle name="Normal 26 21 4" xfId="9791" xr:uid="{00000000-0005-0000-0000-00003C260000}"/>
    <cellStyle name="Normal 26 22" xfId="9792" xr:uid="{00000000-0005-0000-0000-00003D260000}"/>
    <cellStyle name="Normal 26 22 2" xfId="9793" xr:uid="{00000000-0005-0000-0000-00003E260000}"/>
    <cellStyle name="Normal 26 22 2 2" xfId="9794" xr:uid="{00000000-0005-0000-0000-00003F260000}"/>
    <cellStyle name="Normal 26 22 2 3" xfId="9795" xr:uid="{00000000-0005-0000-0000-000040260000}"/>
    <cellStyle name="Normal 26 22 3" xfId="9796" xr:uid="{00000000-0005-0000-0000-000041260000}"/>
    <cellStyle name="Normal 26 22 4" xfId="9797" xr:uid="{00000000-0005-0000-0000-000042260000}"/>
    <cellStyle name="Normal 26 23" xfId="9798" xr:uid="{00000000-0005-0000-0000-000043260000}"/>
    <cellStyle name="Normal 26 23 2" xfId="9799" xr:uid="{00000000-0005-0000-0000-000044260000}"/>
    <cellStyle name="Normal 26 23 2 2" xfId="9800" xr:uid="{00000000-0005-0000-0000-000045260000}"/>
    <cellStyle name="Normal 26 23 2 3" xfId="9801" xr:uid="{00000000-0005-0000-0000-000046260000}"/>
    <cellStyle name="Normal 26 23 3" xfId="9802" xr:uid="{00000000-0005-0000-0000-000047260000}"/>
    <cellStyle name="Normal 26 23 4" xfId="9803" xr:uid="{00000000-0005-0000-0000-000048260000}"/>
    <cellStyle name="Normal 26 24" xfId="9804" xr:uid="{00000000-0005-0000-0000-000049260000}"/>
    <cellStyle name="Normal 26 24 2" xfId="9805" xr:uid="{00000000-0005-0000-0000-00004A260000}"/>
    <cellStyle name="Normal 26 24 2 2" xfId="9806" xr:uid="{00000000-0005-0000-0000-00004B260000}"/>
    <cellStyle name="Normal 26 24 2 3" xfId="9807" xr:uid="{00000000-0005-0000-0000-00004C260000}"/>
    <cellStyle name="Normal 26 24 3" xfId="9808" xr:uid="{00000000-0005-0000-0000-00004D260000}"/>
    <cellStyle name="Normal 26 24 4" xfId="9809" xr:uid="{00000000-0005-0000-0000-00004E260000}"/>
    <cellStyle name="Normal 26 25" xfId="9810" xr:uid="{00000000-0005-0000-0000-00004F260000}"/>
    <cellStyle name="Normal 26 25 2" xfId="9811" xr:uid="{00000000-0005-0000-0000-000050260000}"/>
    <cellStyle name="Normal 26 25 2 2" xfId="9812" xr:uid="{00000000-0005-0000-0000-000051260000}"/>
    <cellStyle name="Normal 26 25 2 3" xfId="9813" xr:uid="{00000000-0005-0000-0000-000052260000}"/>
    <cellStyle name="Normal 26 25 3" xfId="9814" xr:uid="{00000000-0005-0000-0000-000053260000}"/>
    <cellStyle name="Normal 26 25 4" xfId="9815" xr:uid="{00000000-0005-0000-0000-000054260000}"/>
    <cellStyle name="Normal 26 26" xfId="9816" xr:uid="{00000000-0005-0000-0000-000055260000}"/>
    <cellStyle name="Normal 26 26 2" xfId="9817" xr:uid="{00000000-0005-0000-0000-000056260000}"/>
    <cellStyle name="Normal 26 26 3" xfId="9818" xr:uid="{00000000-0005-0000-0000-000057260000}"/>
    <cellStyle name="Normal 26 27" xfId="9819" xr:uid="{00000000-0005-0000-0000-000058260000}"/>
    <cellStyle name="Normal 26 28" xfId="9820" xr:uid="{00000000-0005-0000-0000-000059260000}"/>
    <cellStyle name="Normal 26 3" xfId="9821" xr:uid="{00000000-0005-0000-0000-00005A260000}"/>
    <cellStyle name="Normal 26 3 2" xfId="9822" xr:uid="{00000000-0005-0000-0000-00005B260000}"/>
    <cellStyle name="Normal 26 3 3" xfId="9823" xr:uid="{00000000-0005-0000-0000-00005C260000}"/>
    <cellStyle name="Normal 26 4" xfId="9824" xr:uid="{00000000-0005-0000-0000-00005D260000}"/>
    <cellStyle name="Normal 26 4 2" xfId="9825" xr:uid="{00000000-0005-0000-0000-00005E260000}"/>
    <cellStyle name="Normal 26 4 2 2" xfId="9826" xr:uid="{00000000-0005-0000-0000-00005F260000}"/>
    <cellStyle name="Normal 26 4 2 3" xfId="9827" xr:uid="{00000000-0005-0000-0000-000060260000}"/>
    <cellStyle name="Normal 26 4 3" xfId="9828" xr:uid="{00000000-0005-0000-0000-000061260000}"/>
    <cellStyle name="Normal 26 4 4" xfId="9829" xr:uid="{00000000-0005-0000-0000-000062260000}"/>
    <cellStyle name="Normal 26 5" xfId="9830" xr:uid="{00000000-0005-0000-0000-000063260000}"/>
    <cellStyle name="Normal 26 5 2" xfId="9831" xr:uid="{00000000-0005-0000-0000-000064260000}"/>
    <cellStyle name="Normal 26 5 2 2" xfId="9832" xr:uid="{00000000-0005-0000-0000-000065260000}"/>
    <cellStyle name="Normal 26 5 2 3" xfId="9833" xr:uid="{00000000-0005-0000-0000-000066260000}"/>
    <cellStyle name="Normal 26 5 3" xfId="9834" xr:uid="{00000000-0005-0000-0000-000067260000}"/>
    <cellStyle name="Normal 26 5 4" xfId="9835" xr:uid="{00000000-0005-0000-0000-000068260000}"/>
    <cellStyle name="Normal 26 6" xfId="9836" xr:uid="{00000000-0005-0000-0000-000069260000}"/>
    <cellStyle name="Normal 26 6 2" xfId="9837" xr:uid="{00000000-0005-0000-0000-00006A260000}"/>
    <cellStyle name="Normal 26 6 2 2" xfId="9838" xr:uid="{00000000-0005-0000-0000-00006B260000}"/>
    <cellStyle name="Normal 26 6 2 3" xfId="9839" xr:uid="{00000000-0005-0000-0000-00006C260000}"/>
    <cellStyle name="Normal 26 6 3" xfId="9840" xr:uid="{00000000-0005-0000-0000-00006D260000}"/>
    <cellStyle name="Normal 26 6 4" xfId="9841" xr:uid="{00000000-0005-0000-0000-00006E260000}"/>
    <cellStyle name="Normal 26 7" xfId="9842" xr:uid="{00000000-0005-0000-0000-00006F260000}"/>
    <cellStyle name="Normal 26 7 2" xfId="9843" xr:uid="{00000000-0005-0000-0000-000070260000}"/>
    <cellStyle name="Normal 26 7 2 2" xfId="9844" xr:uid="{00000000-0005-0000-0000-000071260000}"/>
    <cellStyle name="Normal 26 7 2 3" xfId="9845" xr:uid="{00000000-0005-0000-0000-000072260000}"/>
    <cellStyle name="Normal 26 7 3" xfId="9846" xr:uid="{00000000-0005-0000-0000-000073260000}"/>
    <cellStyle name="Normal 26 7 4" xfId="9847" xr:uid="{00000000-0005-0000-0000-000074260000}"/>
    <cellStyle name="Normal 26 8" xfId="9848" xr:uid="{00000000-0005-0000-0000-000075260000}"/>
    <cellStyle name="Normal 26 8 2" xfId="9849" xr:uid="{00000000-0005-0000-0000-000076260000}"/>
    <cellStyle name="Normal 26 8 2 2" xfId="9850" xr:uid="{00000000-0005-0000-0000-000077260000}"/>
    <cellStyle name="Normal 26 8 2 3" xfId="9851" xr:uid="{00000000-0005-0000-0000-000078260000}"/>
    <cellStyle name="Normal 26 8 3" xfId="9852" xr:uid="{00000000-0005-0000-0000-000079260000}"/>
    <cellStyle name="Normal 26 8 4" xfId="9853" xr:uid="{00000000-0005-0000-0000-00007A260000}"/>
    <cellStyle name="Normal 26 9" xfId="9854" xr:uid="{00000000-0005-0000-0000-00007B260000}"/>
    <cellStyle name="Normal 26 9 2" xfId="9855" xr:uid="{00000000-0005-0000-0000-00007C260000}"/>
    <cellStyle name="Normal 26 9 2 2" xfId="9856" xr:uid="{00000000-0005-0000-0000-00007D260000}"/>
    <cellStyle name="Normal 26 9 2 3" xfId="9857" xr:uid="{00000000-0005-0000-0000-00007E260000}"/>
    <cellStyle name="Normal 26 9 3" xfId="9858" xr:uid="{00000000-0005-0000-0000-00007F260000}"/>
    <cellStyle name="Normal 26 9 4" xfId="9859" xr:uid="{00000000-0005-0000-0000-000080260000}"/>
    <cellStyle name="Normal 27" xfId="9860" xr:uid="{00000000-0005-0000-0000-000081260000}"/>
    <cellStyle name="Normal 27 10" xfId="9861" xr:uid="{00000000-0005-0000-0000-000082260000}"/>
    <cellStyle name="Normal 27 10 2" xfId="9862" xr:uid="{00000000-0005-0000-0000-000083260000}"/>
    <cellStyle name="Normal 27 10 2 2" xfId="9863" xr:uid="{00000000-0005-0000-0000-000084260000}"/>
    <cellStyle name="Normal 27 10 2 3" xfId="9864" xr:uid="{00000000-0005-0000-0000-000085260000}"/>
    <cellStyle name="Normal 27 10 3" xfId="9865" xr:uid="{00000000-0005-0000-0000-000086260000}"/>
    <cellStyle name="Normal 27 10 4" xfId="9866" xr:uid="{00000000-0005-0000-0000-000087260000}"/>
    <cellStyle name="Normal 27 11" xfId="9867" xr:uid="{00000000-0005-0000-0000-000088260000}"/>
    <cellStyle name="Normal 27 11 2" xfId="9868" xr:uid="{00000000-0005-0000-0000-000089260000}"/>
    <cellStyle name="Normal 27 11 2 2" xfId="9869" xr:uid="{00000000-0005-0000-0000-00008A260000}"/>
    <cellStyle name="Normal 27 11 2 3" xfId="9870" xr:uid="{00000000-0005-0000-0000-00008B260000}"/>
    <cellStyle name="Normal 27 11 3" xfId="9871" xr:uid="{00000000-0005-0000-0000-00008C260000}"/>
    <cellStyle name="Normal 27 11 4" xfId="9872" xr:uid="{00000000-0005-0000-0000-00008D260000}"/>
    <cellStyle name="Normal 27 12" xfId="9873" xr:uid="{00000000-0005-0000-0000-00008E260000}"/>
    <cellStyle name="Normal 27 12 2" xfId="9874" xr:uid="{00000000-0005-0000-0000-00008F260000}"/>
    <cellStyle name="Normal 27 12 2 2" xfId="9875" xr:uid="{00000000-0005-0000-0000-000090260000}"/>
    <cellStyle name="Normal 27 12 2 3" xfId="9876" xr:uid="{00000000-0005-0000-0000-000091260000}"/>
    <cellStyle name="Normal 27 12 3" xfId="9877" xr:uid="{00000000-0005-0000-0000-000092260000}"/>
    <cellStyle name="Normal 27 12 4" xfId="9878" xr:uid="{00000000-0005-0000-0000-000093260000}"/>
    <cellStyle name="Normal 27 13" xfId="9879" xr:uid="{00000000-0005-0000-0000-000094260000}"/>
    <cellStyle name="Normal 27 13 2" xfId="9880" xr:uid="{00000000-0005-0000-0000-000095260000}"/>
    <cellStyle name="Normal 27 13 2 2" xfId="9881" xr:uid="{00000000-0005-0000-0000-000096260000}"/>
    <cellStyle name="Normal 27 13 2 3" xfId="9882" xr:uid="{00000000-0005-0000-0000-000097260000}"/>
    <cellStyle name="Normal 27 13 3" xfId="9883" xr:uid="{00000000-0005-0000-0000-000098260000}"/>
    <cellStyle name="Normal 27 13 4" xfId="9884" xr:uid="{00000000-0005-0000-0000-000099260000}"/>
    <cellStyle name="Normal 27 14" xfId="9885" xr:uid="{00000000-0005-0000-0000-00009A260000}"/>
    <cellStyle name="Normal 27 14 2" xfId="9886" xr:uid="{00000000-0005-0000-0000-00009B260000}"/>
    <cellStyle name="Normal 27 14 2 2" xfId="9887" xr:uid="{00000000-0005-0000-0000-00009C260000}"/>
    <cellStyle name="Normal 27 14 2 3" xfId="9888" xr:uid="{00000000-0005-0000-0000-00009D260000}"/>
    <cellStyle name="Normal 27 14 3" xfId="9889" xr:uid="{00000000-0005-0000-0000-00009E260000}"/>
    <cellStyle name="Normal 27 14 4" xfId="9890" xr:uid="{00000000-0005-0000-0000-00009F260000}"/>
    <cellStyle name="Normal 27 15" xfId="9891" xr:uid="{00000000-0005-0000-0000-0000A0260000}"/>
    <cellStyle name="Normal 27 15 2" xfId="9892" xr:uid="{00000000-0005-0000-0000-0000A1260000}"/>
    <cellStyle name="Normal 27 15 2 2" xfId="9893" xr:uid="{00000000-0005-0000-0000-0000A2260000}"/>
    <cellStyle name="Normal 27 15 2 3" xfId="9894" xr:uid="{00000000-0005-0000-0000-0000A3260000}"/>
    <cellStyle name="Normal 27 15 3" xfId="9895" xr:uid="{00000000-0005-0000-0000-0000A4260000}"/>
    <cellStyle name="Normal 27 15 4" xfId="9896" xr:uid="{00000000-0005-0000-0000-0000A5260000}"/>
    <cellStyle name="Normal 27 16" xfId="9897" xr:uid="{00000000-0005-0000-0000-0000A6260000}"/>
    <cellStyle name="Normal 27 16 2" xfId="9898" xr:uid="{00000000-0005-0000-0000-0000A7260000}"/>
    <cellStyle name="Normal 27 16 2 2" xfId="9899" xr:uid="{00000000-0005-0000-0000-0000A8260000}"/>
    <cellStyle name="Normal 27 16 2 3" xfId="9900" xr:uid="{00000000-0005-0000-0000-0000A9260000}"/>
    <cellStyle name="Normal 27 16 3" xfId="9901" xr:uid="{00000000-0005-0000-0000-0000AA260000}"/>
    <cellStyle name="Normal 27 16 4" xfId="9902" xr:uid="{00000000-0005-0000-0000-0000AB260000}"/>
    <cellStyle name="Normal 27 17" xfId="9903" xr:uid="{00000000-0005-0000-0000-0000AC260000}"/>
    <cellStyle name="Normal 27 17 2" xfId="9904" xr:uid="{00000000-0005-0000-0000-0000AD260000}"/>
    <cellStyle name="Normal 27 17 2 2" xfId="9905" xr:uid="{00000000-0005-0000-0000-0000AE260000}"/>
    <cellStyle name="Normal 27 17 2 3" xfId="9906" xr:uid="{00000000-0005-0000-0000-0000AF260000}"/>
    <cellStyle name="Normal 27 17 3" xfId="9907" xr:uid="{00000000-0005-0000-0000-0000B0260000}"/>
    <cellStyle name="Normal 27 17 4" xfId="9908" xr:uid="{00000000-0005-0000-0000-0000B1260000}"/>
    <cellStyle name="Normal 27 18" xfId="9909" xr:uid="{00000000-0005-0000-0000-0000B2260000}"/>
    <cellStyle name="Normal 27 18 2" xfId="9910" xr:uid="{00000000-0005-0000-0000-0000B3260000}"/>
    <cellStyle name="Normal 27 18 2 2" xfId="9911" xr:uid="{00000000-0005-0000-0000-0000B4260000}"/>
    <cellStyle name="Normal 27 18 2 3" xfId="9912" xr:uid="{00000000-0005-0000-0000-0000B5260000}"/>
    <cellStyle name="Normal 27 18 3" xfId="9913" xr:uid="{00000000-0005-0000-0000-0000B6260000}"/>
    <cellStyle name="Normal 27 18 4" xfId="9914" xr:uid="{00000000-0005-0000-0000-0000B7260000}"/>
    <cellStyle name="Normal 27 19" xfId="9915" xr:uid="{00000000-0005-0000-0000-0000B8260000}"/>
    <cellStyle name="Normal 27 19 2" xfId="9916" xr:uid="{00000000-0005-0000-0000-0000B9260000}"/>
    <cellStyle name="Normal 27 19 2 2" xfId="9917" xr:uid="{00000000-0005-0000-0000-0000BA260000}"/>
    <cellStyle name="Normal 27 19 2 3" xfId="9918" xr:uid="{00000000-0005-0000-0000-0000BB260000}"/>
    <cellStyle name="Normal 27 19 3" xfId="9919" xr:uid="{00000000-0005-0000-0000-0000BC260000}"/>
    <cellStyle name="Normal 27 19 4" xfId="9920" xr:uid="{00000000-0005-0000-0000-0000BD260000}"/>
    <cellStyle name="Normal 27 2" xfId="9921" xr:uid="{00000000-0005-0000-0000-0000BE260000}"/>
    <cellStyle name="Normal 27 2 2" xfId="9922" xr:uid="{00000000-0005-0000-0000-0000BF260000}"/>
    <cellStyle name="Normal 27 2 3" xfId="9923" xr:uid="{00000000-0005-0000-0000-0000C0260000}"/>
    <cellStyle name="Normal 27 20" xfId="9924" xr:uid="{00000000-0005-0000-0000-0000C1260000}"/>
    <cellStyle name="Normal 27 20 2" xfId="9925" xr:uid="{00000000-0005-0000-0000-0000C2260000}"/>
    <cellStyle name="Normal 27 20 2 2" xfId="9926" xr:uid="{00000000-0005-0000-0000-0000C3260000}"/>
    <cellStyle name="Normal 27 20 2 3" xfId="9927" xr:uid="{00000000-0005-0000-0000-0000C4260000}"/>
    <cellStyle name="Normal 27 20 3" xfId="9928" xr:uid="{00000000-0005-0000-0000-0000C5260000}"/>
    <cellStyle name="Normal 27 20 4" xfId="9929" xr:uid="{00000000-0005-0000-0000-0000C6260000}"/>
    <cellStyle name="Normal 27 21" xfId="9930" xr:uid="{00000000-0005-0000-0000-0000C7260000}"/>
    <cellStyle name="Normal 27 21 2" xfId="9931" xr:uid="{00000000-0005-0000-0000-0000C8260000}"/>
    <cellStyle name="Normal 27 21 2 2" xfId="9932" xr:uid="{00000000-0005-0000-0000-0000C9260000}"/>
    <cellStyle name="Normal 27 21 2 3" xfId="9933" xr:uid="{00000000-0005-0000-0000-0000CA260000}"/>
    <cellStyle name="Normal 27 21 3" xfId="9934" xr:uid="{00000000-0005-0000-0000-0000CB260000}"/>
    <cellStyle name="Normal 27 21 4" xfId="9935" xr:uid="{00000000-0005-0000-0000-0000CC260000}"/>
    <cellStyle name="Normal 27 22" xfId="9936" xr:uid="{00000000-0005-0000-0000-0000CD260000}"/>
    <cellStyle name="Normal 27 22 2" xfId="9937" xr:uid="{00000000-0005-0000-0000-0000CE260000}"/>
    <cellStyle name="Normal 27 22 2 2" xfId="9938" xr:uid="{00000000-0005-0000-0000-0000CF260000}"/>
    <cellStyle name="Normal 27 22 2 3" xfId="9939" xr:uid="{00000000-0005-0000-0000-0000D0260000}"/>
    <cellStyle name="Normal 27 22 3" xfId="9940" xr:uid="{00000000-0005-0000-0000-0000D1260000}"/>
    <cellStyle name="Normal 27 22 4" xfId="9941" xr:uid="{00000000-0005-0000-0000-0000D2260000}"/>
    <cellStyle name="Normal 27 23" xfId="9942" xr:uid="{00000000-0005-0000-0000-0000D3260000}"/>
    <cellStyle name="Normal 27 23 2" xfId="9943" xr:uid="{00000000-0005-0000-0000-0000D4260000}"/>
    <cellStyle name="Normal 27 23 2 2" xfId="9944" xr:uid="{00000000-0005-0000-0000-0000D5260000}"/>
    <cellStyle name="Normal 27 23 2 3" xfId="9945" xr:uid="{00000000-0005-0000-0000-0000D6260000}"/>
    <cellStyle name="Normal 27 23 3" xfId="9946" xr:uid="{00000000-0005-0000-0000-0000D7260000}"/>
    <cellStyle name="Normal 27 23 4" xfId="9947" xr:uid="{00000000-0005-0000-0000-0000D8260000}"/>
    <cellStyle name="Normal 27 24" xfId="9948" xr:uid="{00000000-0005-0000-0000-0000D9260000}"/>
    <cellStyle name="Normal 27 24 2" xfId="9949" xr:uid="{00000000-0005-0000-0000-0000DA260000}"/>
    <cellStyle name="Normal 27 24 2 2" xfId="9950" xr:uid="{00000000-0005-0000-0000-0000DB260000}"/>
    <cellStyle name="Normal 27 24 2 3" xfId="9951" xr:uid="{00000000-0005-0000-0000-0000DC260000}"/>
    <cellStyle name="Normal 27 24 3" xfId="9952" xr:uid="{00000000-0005-0000-0000-0000DD260000}"/>
    <cellStyle name="Normal 27 24 4" xfId="9953" xr:uid="{00000000-0005-0000-0000-0000DE260000}"/>
    <cellStyle name="Normal 27 25" xfId="9954" xr:uid="{00000000-0005-0000-0000-0000DF260000}"/>
    <cellStyle name="Normal 27 25 2" xfId="9955" xr:uid="{00000000-0005-0000-0000-0000E0260000}"/>
    <cellStyle name="Normal 27 25 2 2" xfId="9956" xr:uid="{00000000-0005-0000-0000-0000E1260000}"/>
    <cellStyle name="Normal 27 25 2 3" xfId="9957" xr:uid="{00000000-0005-0000-0000-0000E2260000}"/>
    <cellStyle name="Normal 27 25 3" xfId="9958" xr:uid="{00000000-0005-0000-0000-0000E3260000}"/>
    <cellStyle name="Normal 27 25 4" xfId="9959" xr:uid="{00000000-0005-0000-0000-0000E4260000}"/>
    <cellStyle name="Normal 27 26" xfId="9960" xr:uid="{00000000-0005-0000-0000-0000E5260000}"/>
    <cellStyle name="Normal 27 26 2" xfId="9961" xr:uid="{00000000-0005-0000-0000-0000E6260000}"/>
    <cellStyle name="Normal 27 26 3" xfId="9962" xr:uid="{00000000-0005-0000-0000-0000E7260000}"/>
    <cellStyle name="Normal 27 27" xfId="9963" xr:uid="{00000000-0005-0000-0000-0000E8260000}"/>
    <cellStyle name="Normal 27 28" xfId="9964" xr:uid="{00000000-0005-0000-0000-0000E9260000}"/>
    <cellStyle name="Normal 27 3" xfId="9965" xr:uid="{00000000-0005-0000-0000-0000EA260000}"/>
    <cellStyle name="Normal 27 3 2" xfId="9966" xr:uid="{00000000-0005-0000-0000-0000EB260000}"/>
    <cellStyle name="Normal 27 3 3" xfId="9967" xr:uid="{00000000-0005-0000-0000-0000EC260000}"/>
    <cellStyle name="Normal 27 4" xfId="9968" xr:uid="{00000000-0005-0000-0000-0000ED260000}"/>
    <cellStyle name="Normal 27 4 2" xfId="9969" xr:uid="{00000000-0005-0000-0000-0000EE260000}"/>
    <cellStyle name="Normal 27 4 2 2" xfId="9970" xr:uid="{00000000-0005-0000-0000-0000EF260000}"/>
    <cellStyle name="Normal 27 4 2 3" xfId="9971" xr:uid="{00000000-0005-0000-0000-0000F0260000}"/>
    <cellStyle name="Normal 27 4 3" xfId="9972" xr:uid="{00000000-0005-0000-0000-0000F1260000}"/>
    <cellStyle name="Normal 27 4 4" xfId="9973" xr:uid="{00000000-0005-0000-0000-0000F2260000}"/>
    <cellStyle name="Normal 27 5" xfId="9974" xr:uid="{00000000-0005-0000-0000-0000F3260000}"/>
    <cellStyle name="Normal 27 5 2" xfId="9975" xr:uid="{00000000-0005-0000-0000-0000F4260000}"/>
    <cellStyle name="Normal 27 5 2 2" xfId="9976" xr:uid="{00000000-0005-0000-0000-0000F5260000}"/>
    <cellStyle name="Normal 27 5 2 3" xfId="9977" xr:uid="{00000000-0005-0000-0000-0000F6260000}"/>
    <cellStyle name="Normal 27 5 3" xfId="9978" xr:uid="{00000000-0005-0000-0000-0000F7260000}"/>
    <cellStyle name="Normal 27 5 4" xfId="9979" xr:uid="{00000000-0005-0000-0000-0000F8260000}"/>
    <cellStyle name="Normal 27 6" xfId="9980" xr:uid="{00000000-0005-0000-0000-0000F9260000}"/>
    <cellStyle name="Normal 27 6 2" xfId="9981" xr:uid="{00000000-0005-0000-0000-0000FA260000}"/>
    <cellStyle name="Normal 27 6 2 2" xfId="9982" xr:uid="{00000000-0005-0000-0000-0000FB260000}"/>
    <cellStyle name="Normal 27 6 2 3" xfId="9983" xr:uid="{00000000-0005-0000-0000-0000FC260000}"/>
    <cellStyle name="Normal 27 6 3" xfId="9984" xr:uid="{00000000-0005-0000-0000-0000FD260000}"/>
    <cellStyle name="Normal 27 6 4" xfId="9985" xr:uid="{00000000-0005-0000-0000-0000FE260000}"/>
    <cellStyle name="Normal 27 7" xfId="9986" xr:uid="{00000000-0005-0000-0000-0000FF260000}"/>
    <cellStyle name="Normal 27 7 2" xfId="9987" xr:uid="{00000000-0005-0000-0000-000000270000}"/>
    <cellStyle name="Normal 27 7 2 2" xfId="9988" xr:uid="{00000000-0005-0000-0000-000001270000}"/>
    <cellStyle name="Normal 27 7 2 3" xfId="9989" xr:uid="{00000000-0005-0000-0000-000002270000}"/>
    <cellStyle name="Normal 27 7 3" xfId="9990" xr:uid="{00000000-0005-0000-0000-000003270000}"/>
    <cellStyle name="Normal 27 7 4" xfId="9991" xr:uid="{00000000-0005-0000-0000-000004270000}"/>
    <cellStyle name="Normal 27 8" xfId="9992" xr:uid="{00000000-0005-0000-0000-000005270000}"/>
    <cellStyle name="Normal 27 8 2" xfId="9993" xr:uid="{00000000-0005-0000-0000-000006270000}"/>
    <cellStyle name="Normal 27 8 2 2" xfId="9994" xr:uid="{00000000-0005-0000-0000-000007270000}"/>
    <cellStyle name="Normal 27 8 2 3" xfId="9995" xr:uid="{00000000-0005-0000-0000-000008270000}"/>
    <cellStyle name="Normal 27 8 3" xfId="9996" xr:uid="{00000000-0005-0000-0000-000009270000}"/>
    <cellStyle name="Normal 27 8 4" xfId="9997" xr:uid="{00000000-0005-0000-0000-00000A270000}"/>
    <cellStyle name="Normal 27 9" xfId="9998" xr:uid="{00000000-0005-0000-0000-00000B270000}"/>
    <cellStyle name="Normal 27 9 2" xfId="9999" xr:uid="{00000000-0005-0000-0000-00000C270000}"/>
    <cellStyle name="Normal 27 9 2 2" xfId="10000" xr:uid="{00000000-0005-0000-0000-00000D270000}"/>
    <cellStyle name="Normal 27 9 2 3" xfId="10001" xr:uid="{00000000-0005-0000-0000-00000E270000}"/>
    <cellStyle name="Normal 27 9 3" xfId="10002" xr:uid="{00000000-0005-0000-0000-00000F270000}"/>
    <cellStyle name="Normal 27 9 4" xfId="10003" xr:uid="{00000000-0005-0000-0000-000010270000}"/>
    <cellStyle name="Normal 28" xfId="10004" xr:uid="{00000000-0005-0000-0000-000011270000}"/>
    <cellStyle name="Normal 28 10" xfId="10005" xr:uid="{00000000-0005-0000-0000-000012270000}"/>
    <cellStyle name="Normal 28 10 2" xfId="10006" xr:uid="{00000000-0005-0000-0000-000013270000}"/>
    <cellStyle name="Normal 28 10 2 2" xfId="10007" xr:uid="{00000000-0005-0000-0000-000014270000}"/>
    <cellStyle name="Normal 28 10 2 3" xfId="10008" xr:uid="{00000000-0005-0000-0000-000015270000}"/>
    <cellStyle name="Normal 28 10 3" xfId="10009" xr:uid="{00000000-0005-0000-0000-000016270000}"/>
    <cellStyle name="Normal 28 10 4" xfId="10010" xr:uid="{00000000-0005-0000-0000-000017270000}"/>
    <cellStyle name="Normal 28 11" xfId="10011" xr:uid="{00000000-0005-0000-0000-000018270000}"/>
    <cellStyle name="Normal 28 11 2" xfId="10012" xr:uid="{00000000-0005-0000-0000-000019270000}"/>
    <cellStyle name="Normal 28 11 2 2" xfId="10013" xr:uid="{00000000-0005-0000-0000-00001A270000}"/>
    <cellStyle name="Normal 28 11 2 3" xfId="10014" xr:uid="{00000000-0005-0000-0000-00001B270000}"/>
    <cellStyle name="Normal 28 11 3" xfId="10015" xr:uid="{00000000-0005-0000-0000-00001C270000}"/>
    <cellStyle name="Normal 28 11 4" xfId="10016" xr:uid="{00000000-0005-0000-0000-00001D270000}"/>
    <cellStyle name="Normal 28 12" xfId="10017" xr:uid="{00000000-0005-0000-0000-00001E270000}"/>
    <cellStyle name="Normal 28 12 2" xfId="10018" xr:uid="{00000000-0005-0000-0000-00001F270000}"/>
    <cellStyle name="Normal 28 12 2 2" xfId="10019" xr:uid="{00000000-0005-0000-0000-000020270000}"/>
    <cellStyle name="Normal 28 12 2 3" xfId="10020" xr:uid="{00000000-0005-0000-0000-000021270000}"/>
    <cellStyle name="Normal 28 12 3" xfId="10021" xr:uid="{00000000-0005-0000-0000-000022270000}"/>
    <cellStyle name="Normal 28 12 4" xfId="10022" xr:uid="{00000000-0005-0000-0000-000023270000}"/>
    <cellStyle name="Normal 28 13" xfId="10023" xr:uid="{00000000-0005-0000-0000-000024270000}"/>
    <cellStyle name="Normal 28 13 2" xfId="10024" xr:uid="{00000000-0005-0000-0000-000025270000}"/>
    <cellStyle name="Normal 28 13 2 2" xfId="10025" xr:uid="{00000000-0005-0000-0000-000026270000}"/>
    <cellStyle name="Normal 28 13 2 3" xfId="10026" xr:uid="{00000000-0005-0000-0000-000027270000}"/>
    <cellStyle name="Normal 28 13 3" xfId="10027" xr:uid="{00000000-0005-0000-0000-000028270000}"/>
    <cellStyle name="Normal 28 13 4" xfId="10028" xr:uid="{00000000-0005-0000-0000-000029270000}"/>
    <cellStyle name="Normal 28 14" xfId="10029" xr:uid="{00000000-0005-0000-0000-00002A270000}"/>
    <cellStyle name="Normal 28 14 2" xfId="10030" xr:uid="{00000000-0005-0000-0000-00002B270000}"/>
    <cellStyle name="Normal 28 14 2 2" xfId="10031" xr:uid="{00000000-0005-0000-0000-00002C270000}"/>
    <cellStyle name="Normal 28 14 2 3" xfId="10032" xr:uid="{00000000-0005-0000-0000-00002D270000}"/>
    <cellStyle name="Normal 28 14 3" xfId="10033" xr:uid="{00000000-0005-0000-0000-00002E270000}"/>
    <cellStyle name="Normal 28 14 4" xfId="10034" xr:uid="{00000000-0005-0000-0000-00002F270000}"/>
    <cellStyle name="Normal 28 15" xfId="10035" xr:uid="{00000000-0005-0000-0000-000030270000}"/>
    <cellStyle name="Normal 28 15 2" xfId="10036" xr:uid="{00000000-0005-0000-0000-000031270000}"/>
    <cellStyle name="Normal 28 15 2 2" xfId="10037" xr:uid="{00000000-0005-0000-0000-000032270000}"/>
    <cellStyle name="Normal 28 15 2 3" xfId="10038" xr:uid="{00000000-0005-0000-0000-000033270000}"/>
    <cellStyle name="Normal 28 15 3" xfId="10039" xr:uid="{00000000-0005-0000-0000-000034270000}"/>
    <cellStyle name="Normal 28 15 4" xfId="10040" xr:uid="{00000000-0005-0000-0000-000035270000}"/>
    <cellStyle name="Normal 28 16" xfId="10041" xr:uid="{00000000-0005-0000-0000-000036270000}"/>
    <cellStyle name="Normal 28 16 2" xfId="10042" xr:uid="{00000000-0005-0000-0000-000037270000}"/>
    <cellStyle name="Normal 28 16 2 2" xfId="10043" xr:uid="{00000000-0005-0000-0000-000038270000}"/>
    <cellStyle name="Normal 28 16 2 3" xfId="10044" xr:uid="{00000000-0005-0000-0000-000039270000}"/>
    <cellStyle name="Normal 28 16 3" xfId="10045" xr:uid="{00000000-0005-0000-0000-00003A270000}"/>
    <cellStyle name="Normal 28 16 4" xfId="10046" xr:uid="{00000000-0005-0000-0000-00003B270000}"/>
    <cellStyle name="Normal 28 17" xfId="10047" xr:uid="{00000000-0005-0000-0000-00003C270000}"/>
    <cellStyle name="Normal 28 17 2" xfId="10048" xr:uid="{00000000-0005-0000-0000-00003D270000}"/>
    <cellStyle name="Normal 28 17 2 2" xfId="10049" xr:uid="{00000000-0005-0000-0000-00003E270000}"/>
    <cellStyle name="Normal 28 17 2 3" xfId="10050" xr:uid="{00000000-0005-0000-0000-00003F270000}"/>
    <cellStyle name="Normal 28 17 3" xfId="10051" xr:uid="{00000000-0005-0000-0000-000040270000}"/>
    <cellStyle name="Normal 28 17 4" xfId="10052" xr:uid="{00000000-0005-0000-0000-000041270000}"/>
    <cellStyle name="Normal 28 18" xfId="10053" xr:uid="{00000000-0005-0000-0000-000042270000}"/>
    <cellStyle name="Normal 28 18 2" xfId="10054" xr:uid="{00000000-0005-0000-0000-000043270000}"/>
    <cellStyle name="Normal 28 18 2 2" xfId="10055" xr:uid="{00000000-0005-0000-0000-000044270000}"/>
    <cellStyle name="Normal 28 18 2 3" xfId="10056" xr:uid="{00000000-0005-0000-0000-000045270000}"/>
    <cellStyle name="Normal 28 18 3" xfId="10057" xr:uid="{00000000-0005-0000-0000-000046270000}"/>
    <cellStyle name="Normal 28 18 4" xfId="10058" xr:uid="{00000000-0005-0000-0000-000047270000}"/>
    <cellStyle name="Normal 28 19" xfId="10059" xr:uid="{00000000-0005-0000-0000-000048270000}"/>
    <cellStyle name="Normal 28 19 2" xfId="10060" xr:uid="{00000000-0005-0000-0000-000049270000}"/>
    <cellStyle name="Normal 28 19 2 2" xfId="10061" xr:uid="{00000000-0005-0000-0000-00004A270000}"/>
    <cellStyle name="Normal 28 19 2 3" xfId="10062" xr:uid="{00000000-0005-0000-0000-00004B270000}"/>
    <cellStyle name="Normal 28 19 3" xfId="10063" xr:uid="{00000000-0005-0000-0000-00004C270000}"/>
    <cellStyle name="Normal 28 19 4" xfId="10064" xr:uid="{00000000-0005-0000-0000-00004D270000}"/>
    <cellStyle name="Normal 28 2" xfId="10065" xr:uid="{00000000-0005-0000-0000-00004E270000}"/>
    <cellStyle name="Normal 28 2 2" xfId="10066" xr:uid="{00000000-0005-0000-0000-00004F270000}"/>
    <cellStyle name="Normal 28 2 3" xfId="10067" xr:uid="{00000000-0005-0000-0000-000050270000}"/>
    <cellStyle name="Normal 28 20" xfId="10068" xr:uid="{00000000-0005-0000-0000-000051270000}"/>
    <cellStyle name="Normal 28 20 2" xfId="10069" xr:uid="{00000000-0005-0000-0000-000052270000}"/>
    <cellStyle name="Normal 28 20 2 2" xfId="10070" xr:uid="{00000000-0005-0000-0000-000053270000}"/>
    <cellStyle name="Normal 28 20 2 3" xfId="10071" xr:uid="{00000000-0005-0000-0000-000054270000}"/>
    <cellStyle name="Normal 28 20 3" xfId="10072" xr:uid="{00000000-0005-0000-0000-000055270000}"/>
    <cellStyle name="Normal 28 20 4" xfId="10073" xr:uid="{00000000-0005-0000-0000-000056270000}"/>
    <cellStyle name="Normal 28 21" xfId="10074" xr:uid="{00000000-0005-0000-0000-000057270000}"/>
    <cellStyle name="Normal 28 21 2" xfId="10075" xr:uid="{00000000-0005-0000-0000-000058270000}"/>
    <cellStyle name="Normal 28 21 2 2" xfId="10076" xr:uid="{00000000-0005-0000-0000-000059270000}"/>
    <cellStyle name="Normal 28 21 2 3" xfId="10077" xr:uid="{00000000-0005-0000-0000-00005A270000}"/>
    <cellStyle name="Normal 28 21 3" xfId="10078" xr:uid="{00000000-0005-0000-0000-00005B270000}"/>
    <cellStyle name="Normal 28 21 4" xfId="10079" xr:uid="{00000000-0005-0000-0000-00005C270000}"/>
    <cellStyle name="Normal 28 22" xfId="10080" xr:uid="{00000000-0005-0000-0000-00005D270000}"/>
    <cellStyle name="Normal 28 22 2" xfId="10081" xr:uid="{00000000-0005-0000-0000-00005E270000}"/>
    <cellStyle name="Normal 28 22 2 2" xfId="10082" xr:uid="{00000000-0005-0000-0000-00005F270000}"/>
    <cellStyle name="Normal 28 22 2 3" xfId="10083" xr:uid="{00000000-0005-0000-0000-000060270000}"/>
    <cellStyle name="Normal 28 22 3" xfId="10084" xr:uid="{00000000-0005-0000-0000-000061270000}"/>
    <cellStyle name="Normal 28 22 4" xfId="10085" xr:uid="{00000000-0005-0000-0000-000062270000}"/>
    <cellStyle name="Normal 28 23" xfId="10086" xr:uid="{00000000-0005-0000-0000-000063270000}"/>
    <cellStyle name="Normal 28 23 2" xfId="10087" xr:uid="{00000000-0005-0000-0000-000064270000}"/>
    <cellStyle name="Normal 28 23 2 2" xfId="10088" xr:uid="{00000000-0005-0000-0000-000065270000}"/>
    <cellStyle name="Normal 28 23 2 3" xfId="10089" xr:uid="{00000000-0005-0000-0000-000066270000}"/>
    <cellStyle name="Normal 28 23 3" xfId="10090" xr:uid="{00000000-0005-0000-0000-000067270000}"/>
    <cellStyle name="Normal 28 23 4" xfId="10091" xr:uid="{00000000-0005-0000-0000-000068270000}"/>
    <cellStyle name="Normal 28 24" xfId="10092" xr:uid="{00000000-0005-0000-0000-000069270000}"/>
    <cellStyle name="Normal 28 24 2" xfId="10093" xr:uid="{00000000-0005-0000-0000-00006A270000}"/>
    <cellStyle name="Normal 28 24 2 2" xfId="10094" xr:uid="{00000000-0005-0000-0000-00006B270000}"/>
    <cellStyle name="Normal 28 24 2 3" xfId="10095" xr:uid="{00000000-0005-0000-0000-00006C270000}"/>
    <cellStyle name="Normal 28 24 3" xfId="10096" xr:uid="{00000000-0005-0000-0000-00006D270000}"/>
    <cellStyle name="Normal 28 24 4" xfId="10097" xr:uid="{00000000-0005-0000-0000-00006E270000}"/>
    <cellStyle name="Normal 28 25" xfId="10098" xr:uid="{00000000-0005-0000-0000-00006F270000}"/>
    <cellStyle name="Normal 28 25 2" xfId="10099" xr:uid="{00000000-0005-0000-0000-000070270000}"/>
    <cellStyle name="Normal 28 25 2 2" xfId="10100" xr:uid="{00000000-0005-0000-0000-000071270000}"/>
    <cellStyle name="Normal 28 25 2 3" xfId="10101" xr:uid="{00000000-0005-0000-0000-000072270000}"/>
    <cellStyle name="Normal 28 25 3" xfId="10102" xr:uid="{00000000-0005-0000-0000-000073270000}"/>
    <cellStyle name="Normal 28 25 4" xfId="10103" xr:uid="{00000000-0005-0000-0000-000074270000}"/>
    <cellStyle name="Normal 28 26" xfId="10104" xr:uid="{00000000-0005-0000-0000-000075270000}"/>
    <cellStyle name="Normal 28 26 2" xfId="10105" xr:uid="{00000000-0005-0000-0000-000076270000}"/>
    <cellStyle name="Normal 28 26 3" xfId="10106" xr:uid="{00000000-0005-0000-0000-000077270000}"/>
    <cellStyle name="Normal 28 27" xfId="10107" xr:uid="{00000000-0005-0000-0000-000078270000}"/>
    <cellStyle name="Normal 28 28" xfId="10108" xr:uid="{00000000-0005-0000-0000-000079270000}"/>
    <cellStyle name="Normal 28 3" xfId="10109" xr:uid="{00000000-0005-0000-0000-00007A270000}"/>
    <cellStyle name="Normal 28 3 2" xfId="10110" xr:uid="{00000000-0005-0000-0000-00007B270000}"/>
    <cellStyle name="Normal 28 3 3" xfId="10111" xr:uid="{00000000-0005-0000-0000-00007C270000}"/>
    <cellStyle name="Normal 28 4" xfId="10112" xr:uid="{00000000-0005-0000-0000-00007D270000}"/>
    <cellStyle name="Normal 28 4 2" xfId="10113" xr:uid="{00000000-0005-0000-0000-00007E270000}"/>
    <cellStyle name="Normal 28 4 2 2" xfId="10114" xr:uid="{00000000-0005-0000-0000-00007F270000}"/>
    <cellStyle name="Normal 28 4 2 3" xfId="10115" xr:uid="{00000000-0005-0000-0000-000080270000}"/>
    <cellStyle name="Normal 28 4 3" xfId="10116" xr:uid="{00000000-0005-0000-0000-000081270000}"/>
    <cellStyle name="Normal 28 4 4" xfId="10117" xr:uid="{00000000-0005-0000-0000-000082270000}"/>
    <cellStyle name="Normal 28 5" xfId="10118" xr:uid="{00000000-0005-0000-0000-000083270000}"/>
    <cellStyle name="Normal 28 5 2" xfId="10119" xr:uid="{00000000-0005-0000-0000-000084270000}"/>
    <cellStyle name="Normal 28 5 2 2" xfId="10120" xr:uid="{00000000-0005-0000-0000-000085270000}"/>
    <cellStyle name="Normal 28 5 2 3" xfId="10121" xr:uid="{00000000-0005-0000-0000-000086270000}"/>
    <cellStyle name="Normal 28 5 3" xfId="10122" xr:uid="{00000000-0005-0000-0000-000087270000}"/>
    <cellStyle name="Normal 28 5 4" xfId="10123" xr:uid="{00000000-0005-0000-0000-000088270000}"/>
    <cellStyle name="Normal 28 6" xfId="10124" xr:uid="{00000000-0005-0000-0000-000089270000}"/>
    <cellStyle name="Normal 28 6 2" xfId="10125" xr:uid="{00000000-0005-0000-0000-00008A270000}"/>
    <cellStyle name="Normal 28 6 2 2" xfId="10126" xr:uid="{00000000-0005-0000-0000-00008B270000}"/>
    <cellStyle name="Normal 28 6 2 3" xfId="10127" xr:uid="{00000000-0005-0000-0000-00008C270000}"/>
    <cellStyle name="Normal 28 6 3" xfId="10128" xr:uid="{00000000-0005-0000-0000-00008D270000}"/>
    <cellStyle name="Normal 28 6 4" xfId="10129" xr:uid="{00000000-0005-0000-0000-00008E270000}"/>
    <cellStyle name="Normal 28 7" xfId="10130" xr:uid="{00000000-0005-0000-0000-00008F270000}"/>
    <cellStyle name="Normal 28 7 2" xfId="10131" xr:uid="{00000000-0005-0000-0000-000090270000}"/>
    <cellStyle name="Normal 28 7 2 2" xfId="10132" xr:uid="{00000000-0005-0000-0000-000091270000}"/>
    <cellStyle name="Normal 28 7 2 3" xfId="10133" xr:uid="{00000000-0005-0000-0000-000092270000}"/>
    <cellStyle name="Normal 28 7 3" xfId="10134" xr:uid="{00000000-0005-0000-0000-000093270000}"/>
    <cellStyle name="Normal 28 7 4" xfId="10135" xr:uid="{00000000-0005-0000-0000-000094270000}"/>
    <cellStyle name="Normal 28 8" xfId="10136" xr:uid="{00000000-0005-0000-0000-000095270000}"/>
    <cellStyle name="Normal 28 8 2" xfId="10137" xr:uid="{00000000-0005-0000-0000-000096270000}"/>
    <cellStyle name="Normal 28 8 2 2" xfId="10138" xr:uid="{00000000-0005-0000-0000-000097270000}"/>
    <cellStyle name="Normal 28 8 2 3" xfId="10139" xr:uid="{00000000-0005-0000-0000-000098270000}"/>
    <cellStyle name="Normal 28 8 3" xfId="10140" xr:uid="{00000000-0005-0000-0000-000099270000}"/>
    <cellStyle name="Normal 28 8 4" xfId="10141" xr:uid="{00000000-0005-0000-0000-00009A270000}"/>
    <cellStyle name="Normal 28 9" xfId="10142" xr:uid="{00000000-0005-0000-0000-00009B270000}"/>
    <cellStyle name="Normal 28 9 2" xfId="10143" xr:uid="{00000000-0005-0000-0000-00009C270000}"/>
    <cellStyle name="Normal 28 9 2 2" xfId="10144" xr:uid="{00000000-0005-0000-0000-00009D270000}"/>
    <cellStyle name="Normal 28 9 2 3" xfId="10145" xr:uid="{00000000-0005-0000-0000-00009E270000}"/>
    <cellStyle name="Normal 28 9 3" xfId="10146" xr:uid="{00000000-0005-0000-0000-00009F270000}"/>
    <cellStyle name="Normal 28 9 4" xfId="10147" xr:uid="{00000000-0005-0000-0000-0000A0270000}"/>
    <cellStyle name="Normal 29" xfId="10148" xr:uid="{00000000-0005-0000-0000-0000A1270000}"/>
    <cellStyle name="Normal 29 10" xfId="10149" xr:uid="{00000000-0005-0000-0000-0000A2270000}"/>
    <cellStyle name="Normal 29 10 2" xfId="10150" xr:uid="{00000000-0005-0000-0000-0000A3270000}"/>
    <cellStyle name="Normal 29 10 2 2" xfId="10151" xr:uid="{00000000-0005-0000-0000-0000A4270000}"/>
    <cellStyle name="Normal 29 10 2 3" xfId="10152" xr:uid="{00000000-0005-0000-0000-0000A5270000}"/>
    <cellStyle name="Normal 29 10 3" xfId="10153" xr:uid="{00000000-0005-0000-0000-0000A6270000}"/>
    <cellStyle name="Normal 29 10 4" xfId="10154" xr:uid="{00000000-0005-0000-0000-0000A7270000}"/>
    <cellStyle name="Normal 29 11" xfId="10155" xr:uid="{00000000-0005-0000-0000-0000A8270000}"/>
    <cellStyle name="Normal 29 11 2" xfId="10156" xr:uid="{00000000-0005-0000-0000-0000A9270000}"/>
    <cellStyle name="Normal 29 11 2 2" xfId="10157" xr:uid="{00000000-0005-0000-0000-0000AA270000}"/>
    <cellStyle name="Normal 29 11 2 3" xfId="10158" xr:uid="{00000000-0005-0000-0000-0000AB270000}"/>
    <cellStyle name="Normal 29 11 3" xfId="10159" xr:uid="{00000000-0005-0000-0000-0000AC270000}"/>
    <cellStyle name="Normal 29 11 4" xfId="10160" xr:uid="{00000000-0005-0000-0000-0000AD270000}"/>
    <cellStyle name="Normal 29 12" xfId="10161" xr:uid="{00000000-0005-0000-0000-0000AE270000}"/>
    <cellStyle name="Normal 29 12 2" xfId="10162" xr:uid="{00000000-0005-0000-0000-0000AF270000}"/>
    <cellStyle name="Normal 29 12 2 2" xfId="10163" xr:uid="{00000000-0005-0000-0000-0000B0270000}"/>
    <cellStyle name="Normal 29 12 2 3" xfId="10164" xr:uid="{00000000-0005-0000-0000-0000B1270000}"/>
    <cellStyle name="Normal 29 12 3" xfId="10165" xr:uid="{00000000-0005-0000-0000-0000B2270000}"/>
    <cellStyle name="Normal 29 12 4" xfId="10166" xr:uid="{00000000-0005-0000-0000-0000B3270000}"/>
    <cellStyle name="Normal 29 13" xfId="10167" xr:uid="{00000000-0005-0000-0000-0000B4270000}"/>
    <cellStyle name="Normal 29 13 2" xfId="10168" xr:uid="{00000000-0005-0000-0000-0000B5270000}"/>
    <cellStyle name="Normal 29 13 2 2" xfId="10169" xr:uid="{00000000-0005-0000-0000-0000B6270000}"/>
    <cellStyle name="Normal 29 13 2 3" xfId="10170" xr:uid="{00000000-0005-0000-0000-0000B7270000}"/>
    <cellStyle name="Normal 29 13 3" xfId="10171" xr:uid="{00000000-0005-0000-0000-0000B8270000}"/>
    <cellStyle name="Normal 29 13 4" xfId="10172" xr:uid="{00000000-0005-0000-0000-0000B9270000}"/>
    <cellStyle name="Normal 29 14" xfId="10173" xr:uid="{00000000-0005-0000-0000-0000BA270000}"/>
    <cellStyle name="Normal 29 14 2" xfId="10174" xr:uid="{00000000-0005-0000-0000-0000BB270000}"/>
    <cellStyle name="Normal 29 14 2 2" xfId="10175" xr:uid="{00000000-0005-0000-0000-0000BC270000}"/>
    <cellStyle name="Normal 29 14 2 3" xfId="10176" xr:uid="{00000000-0005-0000-0000-0000BD270000}"/>
    <cellStyle name="Normal 29 14 3" xfId="10177" xr:uid="{00000000-0005-0000-0000-0000BE270000}"/>
    <cellStyle name="Normal 29 14 4" xfId="10178" xr:uid="{00000000-0005-0000-0000-0000BF270000}"/>
    <cellStyle name="Normal 29 15" xfId="10179" xr:uid="{00000000-0005-0000-0000-0000C0270000}"/>
    <cellStyle name="Normal 29 15 2" xfId="10180" xr:uid="{00000000-0005-0000-0000-0000C1270000}"/>
    <cellStyle name="Normal 29 15 2 2" xfId="10181" xr:uid="{00000000-0005-0000-0000-0000C2270000}"/>
    <cellStyle name="Normal 29 15 2 3" xfId="10182" xr:uid="{00000000-0005-0000-0000-0000C3270000}"/>
    <cellStyle name="Normal 29 15 3" xfId="10183" xr:uid="{00000000-0005-0000-0000-0000C4270000}"/>
    <cellStyle name="Normal 29 15 4" xfId="10184" xr:uid="{00000000-0005-0000-0000-0000C5270000}"/>
    <cellStyle name="Normal 29 16" xfId="10185" xr:uid="{00000000-0005-0000-0000-0000C6270000}"/>
    <cellStyle name="Normal 29 16 2" xfId="10186" xr:uid="{00000000-0005-0000-0000-0000C7270000}"/>
    <cellStyle name="Normal 29 16 2 2" xfId="10187" xr:uid="{00000000-0005-0000-0000-0000C8270000}"/>
    <cellStyle name="Normal 29 16 2 3" xfId="10188" xr:uid="{00000000-0005-0000-0000-0000C9270000}"/>
    <cellStyle name="Normal 29 16 3" xfId="10189" xr:uid="{00000000-0005-0000-0000-0000CA270000}"/>
    <cellStyle name="Normal 29 16 4" xfId="10190" xr:uid="{00000000-0005-0000-0000-0000CB270000}"/>
    <cellStyle name="Normal 29 17" xfId="10191" xr:uid="{00000000-0005-0000-0000-0000CC270000}"/>
    <cellStyle name="Normal 29 17 2" xfId="10192" xr:uid="{00000000-0005-0000-0000-0000CD270000}"/>
    <cellStyle name="Normal 29 17 2 2" xfId="10193" xr:uid="{00000000-0005-0000-0000-0000CE270000}"/>
    <cellStyle name="Normal 29 17 2 3" xfId="10194" xr:uid="{00000000-0005-0000-0000-0000CF270000}"/>
    <cellStyle name="Normal 29 17 3" xfId="10195" xr:uid="{00000000-0005-0000-0000-0000D0270000}"/>
    <cellStyle name="Normal 29 17 4" xfId="10196" xr:uid="{00000000-0005-0000-0000-0000D1270000}"/>
    <cellStyle name="Normal 29 18" xfId="10197" xr:uid="{00000000-0005-0000-0000-0000D2270000}"/>
    <cellStyle name="Normal 29 18 2" xfId="10198" xr:uid="{00000000-0005-0000-0000-0000D3270000}"/>
    <cellStyle name="Normal 29 18 2 2" xfId="10199" xr:uid="{00000000-0005-0000-0000-0000D4270000}"/>
    <cellStyle name="Normal 29 18 2 3" xfId="10200" xr:uid="{00000000-0005-0000-0000-0000D5270000}"/>
    <cellStyle name="Normal 29 18 3" xfId="10201" xr:uid="{00000000-0005-0000-0000-0000D6270000}"/>
    <cellStyle name="Normal 29 18 4" xfId="10202" xr:uid="{00000000-0005-0000-0000-0000D7270000}"/>
    <cellStyle name="Normal 29 19" xfId="10203" xr:uid="{00000000-0005-0000-0000-0000D8270000}"/>
    <cellStyle name="Normal 29 19 2" xfId="10204" xr:uid="{00000000-0005-0000-0000-0000D9270000}"/>
    <cellStyle name="Normal 29 19 2 2" xfId="10205" xr:uid="{00000000-0005-0000-0000-0000DA270000}"/>
    <cellStyle name="Normal 29 19 2 3" xfId="10206" xr:uid="{00000000-0005-0000-0000-0000DB270000}"/>
    <cellStyle name="Normal 29 19 3" xfId="10207" xr:uid="{00000000-0005-0000-0000-0000DC270000}"/>
    <cellStyle name="Normal 29 19 4" xfId="10208" xr:uid="{00000000-0005-0000-0000-0000DD270000}"/>
    <cellStyle name="Normal 29 2" xfId="10209" xr:uid="{00000000-0005-0000-0000-0000DE270000}"/>
    <cellStyle name="Normal 29 2 2" xfId="10210" xr:uid="{00000000-0005-0000-0000-0000DF270000}"/>
    <cellStyle name="Normal 29 2 3" xfId="10211" xr:uid="{00000000-0005-0000-0000-0000E0270000}"/>
    <cellStyle name="Normal 29 20" xfId="10212" xr:uid="{00000000-0005-0000-0000-0000E1270000}"/>
    <cellStyle name="Normal 29 20 2" xfId="10213" xr:uid="{00000000-0005-0000-0000-0000E2270000}"/>
    <cellStyle name="Normal 29 20 2 2" xfId="10214" xr:uid="{00000000-0005-0000-0000-0000E3270000}"/>
    <cellStyle name="Normal 29 20 2 3" xfId="10215" xr:uid="{00000000-0005-0000-0000-0000E4270000}"/>
    <cellStyle name="Normal 29 20 3" xfId="10216" xr:uid="{00000000-0005-0000-0000-0000E5270000}"/>
    <cellStyle name="Normal 29 20 4" xfId="10217" xr:uid="{00000000-0005-0000-0000-0000E6270000}"/>
    <cellStyle name="Normal 29 21" xfId="10218" xr:uid="{00000000-0005-0000-0000-0000E7270000}"/>
    <cellStyle name="Normal 29 21 2" xfId="10219" xr:uid="{00000000-0005-0000-0000-0000E8270000}"/>
    <cellStyle name="Normal 29 21 2 2" xfId="10220" xr:uid="{00000000-0005-0000-0000-0000E9270000}"/>
    <cellStyle name="Normal 29 21 2 3" xfId="10221" xr:uid="{00000000-0005-0000-0000-0000EA270000}"/>
    <cellStyle name="Normal 29 21 3" xfId="10222" xr:uid="{00000000-0005-0000-0000-0000EB270000}"/>
    <cellStyle name="Normal 29 21 4" xfId="10223" xr:uid="{00000000-0005-0000-0000-0000EC270000}"/>
    <cellStyle name="Normal 29 22" xfId="10224" xr:uid="{00000000-0005-0000-0000-0000ED270000}"/>
    <cellStyle name="Normal 29 22 2" xfId="10225" xr:uid="{00000000-0005-0000-0000-0000EE270000}"/>
    <cellStyle name="Normal 29 22 2 2" xfId="10226" xr:uid="{00000000-0005-0000-0000-0000EF270000}"/>
    <cellStyle name="Normal 29 22 2 3" xfId="10227" xr:uid="{00000000-0005-0000-0000-0000F0270000}"/>
    <cellStyle name="Normal 29 22 3" xfId="10228" xr:uid="{00000000-0005-0000-0000-0000F1270000}"/>
    <cellStyle name="Normal 29 22 4" xfId="10229" xr:uid="{00000000-0005-0000-0000-0000F2270000}"/>
    <cellStyle name="Normal 29 23" xfId="10230" xr:uid="{00000000-0005-0000-0000-0000F3270000}"/>
    <cellStyle name="Normal 29 23 2" xfId="10231" xr:uid="{00000000-0005-0000-0000-0000F4270000}"/>
    <cellStyle name="Normal 29 23 2 2" xfId="10232" xr:uid="{00000000-0005-0000-0000-0000F5270000}"/>
    <cellStyle name="Normal 29 23 2 3" xfId="10233" xr:uid="{00000000-0005-0000-0000-0000F6270000}"/>
    <cellStyle name="Normal 29 23 3" xfId="10234" xr:uid="{00000000-0005-0000-0000-0000F7270000}"/>
    <cellStyle name="Normal 29 23 4" xfId="10235" xr:uid="{00000000-0005-0000-0000-0000F8270000}"/>
    <cellStyle name="Normal 29 24" xfId="10236" xr:uid="{00000000-0005-0000-0000-0000F9270000}"/>
    <cellStyle name="Normal 29 24 2" xfId="10237" xr:uid="{00000000-0005-0000-0000-0000FA270000}"/>
    <cellStyle name="Normal 29 24 2 2" xfId="10238" xr:uid="{00000000-0005-0000-0000-0000FB270000}"/>
    <cellStyle name="Normal 29 24 2 3" xfId="10239" xr:uid="{00000000-0005-0000-0000-0000FC270000}"/>
    <cellStyle name="Normal 29 24 3" xfId="10240" xr:uid="{00000000-0005-0000-0000-0000FD270000}"/>
    <cellStyle name="Normal 29 24 4" xfId="10241" xr:uid="{00000000-0005-0000-0000-0000FE270000}"/>
    <cellStyle name="Normal 29 25" xfId="10242" xr:uid="{00000000-0005-0000-0000-0000FF270000}"/>
    <cellStyle name="Normal 29 25 2" xfId="10243" xr:uid="{00000000-0005-0000-0000-000000280000}"/>
    <cellStyle name="Normal 29 25 2 2" xfId="10244" xr:uid="{00000000-0005-0000-0000-000001280000}"/>
    <cellStyle name="Normal 29 25 2 3" xfId="10245" xr:uid="{00000000-0005-0000-0000-000002280000}"/>
    <cellStyle name="Normal 29 25 3" xfId="10246" xr:uid="{00000000-0005-0000-0000-000003280000}"/>
    <cellStyle name="Normal 29 25 4" xfId="10247" xr:uid="{00000000-0005-0000-0000-000004280000}"/>
    <cellStyle name="Normal 29 26" xfId="10248" xr:uid="{00000000-0005-0000-0000-000005280000}"/>
    <cellStyle name="Normal 29 26 2" xfId="10249" xr:uid="{00000000-0005-0000-0000-000006280000}"/>
    <cellStyle name="Normal 29 26 3" xfId="10250" xr:uid="{00000000-0005-0000-0000-000007280000}"/>
    <cellStyle name="Normal 29 27" xfId="10251" xr:uid="{00000000-0005-0000-0000-000008280000}"/>
    <cellStyle name="Normal 29 28" xfId="10252" xr:uid="{00000000-0005-0000-0000-000009280000}"/>
    <cellStyle name="Normal 29 3" xfId="10253" xr:uid="{00000000-0005-0000-0000-00000A280000}"/>
    <cellStyle name="Normal 29 3 2" xfId="10254" xr:uid="{00000000-0005-0000-0000-00000B280000}"/>
    <cellStyle name="Normal 29 3 3" xfId="10255" xr:uid="{00000000-0005-0000-0000-00000C280000}"/>
    <cellStyle name="Normal 29 4" xfId="10256" xr:uid="{00000000-0005-0000-0000-00000D280000}"/>
    <cellStyle name="Normal 29 4 2" xfId="10257" xr:uid="{00000000-0005-0000-0000-00000E280000}"/>
    <cellStyle name="Normal 29 4 2 2" xfId="10258" xr:uid="{00000000-0005-0000-0000-00000F280000}"/>
    <cellStyle name="Normal 29 4 2 3" xfId="10259" xr:uid="{00000000-0005-0000-0000-000010280000}"/>
    <cellStyle name="Normal 29 4 3" xfId="10260" xr:uid="{00000000-0005-0000-0000-000011280000}"/>
    <cellStyle name="Normal 29 4 4" xfId="10261" xr:uid="{00000000-0005-0000-0000-000012280000}"/>
    <cellStyle name="Normal 29 5" xfId="10262" xr:uid="{00000000-0005-0000-0000-000013280000}"/>
    <cellStyle name="Normal 29 5 2" xfId="10263" xr:uid="{00000000-0005-0000-0000-000014280000}"/>
    <cellStyle name="Normal 29 5 2 2" xfId="10264" xr:uid="{00000000-0005-0000-0000-000015280000}"/>
    <cellStyle name="Normal 29 5 2 3" xfId="10265" xr:uid="{00000000-0005-0000-0000-000016280000}"/>
    <cellStyle name="Normal 29 5 3" xfId="10266" xr:uid="{00000000-0005-0000-0000-000017280000}"/>
    <cellStyle name="Normal 29 5 4" xfId="10267" xr:uid="{00000000-0005-0000-0000-000018280000}"/>
    <cellStyle name="Normal 29 6" xfId="10268" xr:uid="{00000000-0005-0000-0000-000019280000}"/>
    <cellStyle name="Normal 29 6 2" xfId="10269" xr:uid="{00000000-0005-0000-0000-00001A280000}"/>
    <cellStyle name="Normal 29 6 2 2" xfId="10270" xr:uid="{00000000-0005-0000-0000-00001B280000}"/>
    <cellStyle name="Normal 29 6 2 3" xfId="10271" xr:uid="{00000000-0005-0000-0000-00001C280000}"/>
    <cellStyle name="Normal 29 6 3" xfId="10272" xr:uid="{00000000-0005-0000-0000-00001D280000}"/>
    <cellStyle name="Normal 29 6 4" xfId="10273" xr:uid="{00000000-0005-0000-0000-00001E280000}"/>
    <cellStyle name="Normal 29 7" xfId="10274" xr:uid="{00000000-0005-0000-0000-00001F280000}"/>
    <cellStyle name="Normal 29 7 2" xfId="10275" xr:uid="{00000000-0005-0000-0000-000020280000}"/>
    <cellStyle name="Normal 29 7 2 2" xfId="10276" xr:uid="{00000000-0005-0000-0000-000021280000}"/>
    <cellStyle name="Normal 29 7 2 3" xfId="10277" xr:uid="{00000000-0005-0000-0000-000022280000}"/>
    <cellStyle name="Normal 29 7 3" xfId="10278" xr:uid="{00000000-0005-0000-0000-000023280000}"/>
    <cellStyle name="Normal 29 7 4" xfId="10279" xr:uid="{00000000-0005-0000-0000-000024280000}"/>
    <cellStyle name="Normal 29 8" xfId="10280" xr:uid="{00000000-0005-0000-0000-000025280000}"/>
    <cellStyle name="Normal 29 8 2" xfId="10281" xr:uid="{00000000-0005-0000-0000-000026280000}"/>
    <cellStyle name="Normal 29 8 2 2" xfId="10282" xr:uid="{00000000-0005-0000-0000-000027280000}"/>
    <cellStyle name="Normal 29 8 2 3" xfId="10283" xr:uid="{00000000-0005-0000-0000-000028280000}"/>
    <cellStyle name="Normal 29 8 3" xfId="10284" xr:uid="{00000000-0005-0000-0000-000029280000}"/>
    <cellStyle name="Normal 29 8 4" xfId="10285" xr:uid="{00000000-0005-0000-0000-00002A280000}"/>
    <cellStyle name="Normal 29 9" xfId="10286" xr:uid="{00000000-0005-0000-0000-00002B280000}"/>
    <cellStyle name="Normal 29 9 2" xfId="10287" xr:uid="{00000000-0005-0000-0000-00002C280000}"/>
    <cellStyle name="Normal 29 9 2 2" xfId="10288" xr:uid="{00000000-0005-0000-0000-00002D280000}"/>
    <cellStyle name="Normal 29 9 2 3" xfId="10289" xr:uid="{00000000-0005-0000-0000-00002E280000}"/>
    <cellStyle name="Normal 29 9 3" xfId="10290" xr:uid="{00000000-0005-0000-0000-00002F280000}"/>
    <cellStyle name="Normal 29 9 4" xfId="10291" xr:uid="{00000000-0005-0000-0000-000030280000}"/>
    <cellStyle name="Normal 3" xfId="10292" xr:uid="{00000000-0005-0000-0000-000031280000}"/>
    <cellStyle name="Normal 3 10" xfId="10293" xr:uid="{00000000-0005-0000-0000-000032280000}"/>
    <cellStyle name="Normal 3 10 2" xfId="10294" xr:uid="{00000000-0005-0000-0000-000033280000}"/>
    <cellStyle name="Normal 3 11" xfId="10295" xr:uid="{00000000-0005-0000-0000-000034280000}"/>
    <cellStyle name="Normal 3 11 2" xfId="10296" xr:uid="{00000000-0005-0000-0000-000035280000}"/>
    <cellStyle name="Normal 3 12" xfId="10297" xr:uid="{00000000-0005-0000-0000-000036280000}"/>
    <cellStyle name="Normal 3 12 2" xfId="10298" xr:uid="{00000000-0005-0000-0000-000037280000}"/>
    <cellStyle name="Normal 3 13" xfId="10299" xr:uid="{00000000-0005-0000-0000-000038280000}"/>
    <cellStyle name="Normal 3 13 2" xfId="10300" xr:uid="{00000000-0005-0000-0000-000039280000}"/>
    <cellStyle name="Normal 3 14" xfId="10301" xr:uid="{00000000-0005-0000-0000-00003A280000}"/>
    <cellStyle name="Normal 3 14 2" xfId="10302" xr:uid="{00000000-0005-0000-0000-00003B280000}"/>
    <cellStyle name="Normal 3 15" xfId="10303" xr:uid="{00000000-0005-0000-0000-00003C280000}"/>
    <cellStyle name="Normal 3 15 2" xfId="10304" xr:uid="{00000000-0005-0000-0000-00003D280000}"/>
    <cellStyle name="Normal 3 16" xfId="10305" xr:uid="{00000000-0005-0000-0000-00003E280000}"/>
    <cellStyle name="Normal 3 16 2" xfId="10306" xr:uid="{00000000-0005-0000-0000-00003F280000}"/>
    <cellStyle name="Normal 3 17" xfId="10307" xr:uid="{00000000-0005-0000-0000-000040280000}"/>
    <cellStyle name="Normal 3 17 2" xfId="10308" xr:uid="{00000000-0005-0000-0000-000041280000}"/>
    <cellStyle name="Normal 3 18" xfId="10309" xr:uid="{00000000-0005-0000-0000-000042280000}"/>
    <cellStyle name="Normal 3 18 2" xfId="10310" xr:uid="{00000000-0005-0000-0000-000043280000}"/>
    <cellStyle name="Normal 3 19" xfId="10311" xr:uid="{00000000-0005-0000-0000-000044280000}"/>
    <cellStyle name="Normal 3 19 2" xfId="10312" xr:uid="{00000000-0005-0000-0000-000045280000}"/>
    <cellStyle name="Normal 3 2" xfId="10313" xr:uid="{00000000-0005-0000-0000-000046280000}"/>
    <cellStyle name="Normal 3 2 10" xfId="10314" xr:uid="{00000000-0005-0000-0000-000047280000}"/>
    <cellStyle name="Normal 3 2 11" xfId="10315" xr:uid="{00000000-0005-0000-0000-000048280000}"/>
    <cellStyle name="Normal 3 2 12" xfId="10316" xr:uid="{00000000-0005-0000-0000-000049280000}"/>
    <cellStyle name="Normal 3 2 2" xfId="10317" xr:uid="{00000000-0005-0000-0000-00004A280000}"/>
    <cellStyle name="Normal 3 2 2 2" xfId="10318" xr:uid="{00000000-0005-0000-0000-00004B280000}"/>
    <cellStyle name="Normal 3 2 2 2 2" xfId="10319" xr:uid="{00000000-0005-0000-0000-00004C280000}"/>
    <cellStyle name="Normal 3 2 2 2 2 2" xfId="10320" xr:uid="{00000000-0005-0000-0000-00004D280000}"/>
    <cellStyle name="Normal 3 2 2 2 3" xfId="10321" xr:uid="{00000000-0005-0000-0000-00004E280000}"/>
    <cellStyle name="Normal 3 2 2 3" xfId="10322" xr:uid="{00000000-0005-0000-0000-00004F280000}"/>
    <cellStyle name="Normal 3 2 2 3 2" xfId="10323" xr:uid="{00000000-0005-0000-0000-000050280000}"/>
    <cellStyle name="Normal 3 2 2 3 3" xfId="10324" xr:uid="{00000000-0005-0000-0000-000051280000}"/>
    <cellStyle name="Normal 3 2 2 4" xfId="10325" xr:uid="{00000000-0005-0000-0000-000052280000}"/>
    <cellStyle name="Normal 3 2 2 4 2" xfId="10326" xr:uid="{00000000-0005-0000-0000-000053280000}"/>
    <cellStyle name="Normal 3 2 2 4 3" xfId="10327" xr:uid="{00000000-0005-0000-0000-000054280000}"/>
    <cellStyle name="Normal 3 2 2 5" xfId="10328" xr:uid="{00000000-0005-0000-0000-000055280000}"/>
    <cellStyle name="Normal 3 2 2 5 2" xfId="10329" xr:uid="{00000000-0005-0000-0000-000056280000}"/>
    <cellStyle name="Normal 3 2 2 6" xfId="10330" xr:uid="{00000000-0005-0000-0000-000057280000}"/>
    <cellStyle name="Normal 3 2 2 6 2" xfId="10331" xr:uid="{00000000-0005-0000-0000-000058280000}"/>
    <cellStyle name="Normal 3 2 2 7" xfId="10332" xr:uid="{00000000-0005-0000-0000-000059280000}"/>
    <cellStyle name="Normal 3 2 2 7 2" xfId="10333" xr:uid="{00000000-0005-0000-0000-00005A280000}"/>
    <cellStyle name="Normal 3 2 2 8" xfId="10334" xr:uid="{00000000-0005-0000-0000-00005B280000}"/>
    <cellStyle name="Normal 3 2 2 8 2" xfId="10335" xr:uid="{00000000-0005-0000-0000-00005C280000}"/>
    <cellStyle name="Normal 3 2 2 9" xfId="10336" xr:uid="{00000000-0005-0000-0000-00005D280000}"/>
    <cellStyle name="Normal 3 2 3" xfId="10337" xr:uid="{00000000-0005-0000-0000-00005E280000}"/>
    <cellStyle name="Normal 3 2 3 2" xfId="10338" xr:uid="{00000000-0005-0000-0000-00005F280000}"/>
    <cellStyle name="Normal 3 2 3 3" xfId="10339" xr:uid="{00000000-0005-0000-0000-000060280000}"/>
    <cellStyle name="Normal 3 2 3 4" xfId="10340" xr:uid="{00000000-0005-0000-0000-000061280000}"/>
    <cellStyle name="Normal 3 2 4" xfId="10341" xr:uid="{00000000-0005-0000-0000-000062280000}"/>
    <cellStyle name="Normal 3 2 4 2" xfId="10342" xr:uid="{00000000-0005-0000-0000-000063280000}"/>
    <cellStyle name="Normal 3 2 5" xfId="10343" xr:uid="{00000000-0005-0000-0000-000064280000}"/>
    <cellStyle name="Normal 3 2 5 2" xfId="10344" xr:uid="{00000000-0005-0000-0000-000065280000}"/>
    <cellStyle name="Normal 3 2 6" xfId="10345" xr:uid="{00000000-0005-0000-0000-000066280000}"/>
    <cellStyle name="Normal 3 2 7" xfId="10346" xr:uid="{00000000-0005-0000-0000-000067280000}"/>
    <cellStyle name="Normal 3 2 8" xfId="10347" xr:uid="{00000000-0005-0000-0000-000068280000}"/>
    <cellStyle name="Normal 3 2 9" xfId="10348" xr:uid="{00000000-0005-0000-0000-000069280000}"/>
    <cellStyle name="Normal 3 20" xfId="10349" xr:uid="{00000000-0005-0000-0000-00006A280000}"/>
    <cellStyle name="Normal 3 20 2" xfId="10350" xr:uid="{00000000-0005-0000-0000-00006B280000}"/>
    <cellStyle name="Normal 3 21" xfId="10351" xr:uid="{00000000-0005-0000-0000-00006C280000}"/>
    <cellStyle name="Normal 3 21 2" xfId="10352" xr:uid="{00000000-0005-0000-0000-00006D280000}"/>
    <cellStyle name="Normal 3 22" xfId="10353" xr:uid="{00000000-0005-0000-0000-00006E280000}"/>
    <cellStyle name="Normal 3 22 2" xfId="10354" xr:uid="{00000000-0005-0000-0000-00006F280000}"/>
    <cellStyle name="Normal 3 23" xfId="10355" xr:uid="{00000000-0005-0000-0000-000070280000}"/>
    <cellStyle name="Normal 3 23 2" xfId="10356" xr:uid="{00000000-0005-0000-0000-000071280000}"/>
    <cellStyle name="Normal 3 24" xfId="10357" xr:uid="{00000000-0005-0000-0000-000072280000}"/>
    <cellStyle name="Normal 3 24 2" xfId="10358" xr:uid="{00000000-0005-0000-0000-000073280000}"/>
    <cellStyle name="Normal 3 25" xfId="10359" xr:uid="{00000000-0005-0000-0000-000074280000}"/>
    <cellStyle name="Normal 3 25 2" xfId="10360" xr:uid="{00000000-0005-0000-0000-000075280000}"/>
    <cellStyle name="Normal 3 26" xfId="10361" xr:uid="{00000000-0005-0000-0000-000076280000}"/>
    <cellStyle name="Normal 3 26 2" xfId="10362" xr:uid="{00000000-0005-0000-0000-000077280000}"/>
    <cellStyle name="Normal 3 27" xfId="10363" xr:uid="{00000000-0005-0000-0000-000078280000}"/>
    <cellStyle name="Normal 3 27 2" xfId="10364" xr:uid="{00000000-0005-0000-0000-000079280000}"/>
    <cellStyle name="Normal 3 28" xfId="10365" xr:uid="{00000000-0005-0000-0000-00007A280000}"/>
    <cellStyle name="Normal 3 28 2" xfId="10366" xr:uid="{00000000-0005-0000-0000-00007B280000}"/>
    <cellStyle name="Normal 3 29" xfId="10367" xr:uid="{00000000-0005-0000-0000-00007C280000}"/>
    <cellStyle name="Normal 3 29 2" xfId="10368" xr:uid="{00000000-0005-0000-0000-00007D280000}"/>
    <cellStyle name="Normal 3 3" xfId="10369" xr:uid="{00000000-0005-0000-0000-00007E280000}"/>
    <cellStyle name="Normal 3 3 2" xfId="10370" xr:uid="{00000000-0005-0000-0000-00007F280000}"/>
    <cellStyle name="Normal 3 3 2 2" xfId="10371" xr:uid="{00000000-0005-0000-0000-000080280000}"/>
    <cellStyle name="Normal 3 3 2 3" xfId="10372" xr:uid="{00000000-0005-0000-0000-000081280000}"/>
    <cellStyle name="Normal 3 3 3" xfId="10373" xr:uid="{00000000-0005-0000-0000-000082280000}"/>
    <cellStyle name="Normal 3 3 3 2" xfId="10374" xr:uid="{00000000-0005-0000-0000-000083280000}"/>
    <cellStyle name="Normal 3 3 3 3" xfId="10375" xr:uid="{00000000-0005-0000-0000-000084280000}"/>
    <cellStyle name="Normal 3 3 4" xfId="10376" xr:uid="{00000000-0005-0000-0000-000085280000}"/>
    <cellStyle name="Normal 3 30" xfId="10377" xr:uid="{00000000-0005-0000-0000-000086280000}"/>
    <cellStyle name="Normal 3 30 2" xfId="10378" xr:uid="{00000000-0005-0000-0000-000087280000}"/>
    <cellStyle name="Normal 3 31" xfId="10379" xr:uid="{00000000-0005-0000-0000-000088280000}"/>
    <cellStyle name="Normal 3 31 2" xfId="10380" xr:uid="{00000000-0005-0000-0000-000089280000}"/>
    <cellStyle name="Normal 3 32" xfId="10381" xr:uid="{00000000-0005-0000-0000-00008A280000}"/>
    <cellStyle name="Normal 3 32 2" xfId="10382" xr:uid="{00000000-0005-0000-0000-00008B280000}"/>
    <cellStyle name="Normal 3 33" xfId="10383" xr:uid="{00000000-0005-0000-0000-00008C280000}"/>
    <cellStyle name="Normal 3 33 2" xfId="10384" xr:uid="{00000000-0005-0000-0000-00008D280000}"/>
    <cellStyle name="Normal 3 34" xfId="10385" xr:uid="{00000000-0005-0000-0000-00008E280000}"/>
    <cellStyle name="Normal 3 34 2" xfId="10386" xr:uid="{00000000-0005-0000-0000-00008F280000}"/>
    <cellStyle name="Normal 3 35" xfId="10387" xr:uid="{00000000-0005-0000-0000-000090280000}"/>
    <cellStyle name="Normal 3 35 2" xfId="10388" xr:uid="{00000000-0005-0000-0000-000091280000}"/>
    <cellStyle name="Normal 3 36" xfId="10389" xr:uid="{00000000-0005-0000-0000-000092280000}"/>
    <cellStyle name="Normal 3 36 2" xfId="10390" xr:uid="{00000000-0005-0000-0000-000093280000}"/>
    <cellStyle name="Normal 3 37" xfId="10391" xr:uid="{00000000-0005-0000-0000-000094280000}"/>
    <cellStyle name="Normal 3 37 2" xfId="10392" xr:uid="{00000000-0005-0000-0000-000095280000}"/>
    <cellStyle name="Normal 3 38" xfId="10393" xr:uid="{00000000-0005-0000-0000-000096280000}"/>
    <cellStyle name="Normal 3 38 2" xfId="10394" xr:uid="{00000000-0005-0000-0000-000097280000}"/>
    <cellStyle name="Normal 3 39" xfId="10395" xr:uid="{00000000-0005-0000-0000-000098280000}"/>
    <cellStyle name="Normal 3 39 2" xfId="10396" xr:uid="{00000000-0005-0000-0000-000099280000}"/>
    <cellStyle name="Normal 3 4" xfId="5" xr:uid="{00000000-0005-0000-0000-00009A280000}"/>
    <cellStyle name="Normal 3 4 2" xfId="10397" xr:uid="{00000000-0005-0000-0000-00009B280000}"/>
    <cellStyle name="Normal 3 4 2 2" xfId="10398" xr:uid="{00000000-0005-0000-0000-00009C280000}"/>
    <cellStyle name="Normal 3 4 2 3" xfId="10399" xr:uid="{00000000-0005-0000-0000-00009D280000}"/>
    <cellStyle name="Normal 3 4 3" xfId="10400" xr:uid="{00000000-0005-0000-0000-00009E280000}"/>
    <cellStyle name="Normal 3 4 3 2" xfId="10401" xr:uid="{00000000-0005-0000-0000-00009F280000}"/>
    <cellStyle name="Normal 3 4 3 3" xfId="10402" xr:uid="{00000000-0005-0000-0000-0000A0280000}"/>
    <cellStyle name="Normal 3 4 4" xfId="10403" xr:uid="{00000000-0005-0000-0000-0000A1280000}"/>
    <cellStyle name="Normal 3 40" xfId="10404" xr:uid="{00000000-0005-0000-0000-0000A2280000}"/>
    <cellStyle name="Normal 3 40 2" xfId="10405" xr:uid="{00000000-0005-0000-0000-0000A3280000}"/>
    <cellStyle name="Normal 3 41" xfId="10406" xr:uid="{00000000-0005-0000-0000-0000A4280000}"/>
    <cellStyle name="Normal 3 41 2" xfId="10407" xr:uid="{00000000-0005-0000-0000-0000A5280000}"/>
    <cellStyle name="Normal 3 42" xfId="10408" xr:uid="{00000000-0005-0000-0000-0000A6280000}"/>
    <cellStyle name="Normal 3 42 2" xfId="10409" xr:uid="{00000000-0005-0000-0000-0000A7280000}"/>
    <cellStyle name="Normal 3 43" xfId="10410" xr:uid="{00000000-0005-0000-0000-0000A8280000}"/>
    <cellStyle name="Normal 3 43 2" xfId="10411" xr:uid="{00000000-0005-0000-0000-0000A9280000}"/>
    <cellStyle name="Normal 3 44" xfId="10412" xr:uid="{00000000-0005-0000-0000-0000AA280000}"/>
    <cellStyle name="Normal 3 44 2" xfId="10413" xr:uid="{00000000-0005-0000-0000-0000AB280000}"/>
    <cellStyle name="Normal 3 45" xfId="10414" xr:uid="{00000000-0005-0000-0000-0000AC280000}"/>
    <cellStyle name="Normal 3 45 2" xfId="10415" xr:uid="{00000000-0005-0000-0000-0000AD280000}"/>
    <cellStyle name="Normal 3 46" xfId="10416" xr:uid="{00000000-0005-0000-0000-0000AE280000}"/>
    <cellStyle name="Normal 3 46 2" xfId="10417" xr:uid="{00000000-0005-0000-0000-0000AF280000}"/>
    <cellStyle name="Normal 3 47" xfId="10418" xr:uid="{00000000-0005-0000-0000-0000B0280000}"/>
    <cellStyle name="Normal 3 47 2" xfId="10419" xr:uid="{00000000-0005-0000-0000-0000B1280000}"/>
    <cellStyle name="Normal 3 48" xfId="10420" xr:uid="{00000000-0005-0000-0000-0000B2280000}"/>
    <cellStyle name="Normal 3 48 2" xfId="10421" xr:uid="{00000000-0005-0000-0000-0000B3280000}"/>
    <cellStyle name="Normal 3 49" xfId="10422" xr:uid="{00000000-0005-0000-0000-0000B4280000}"/>
    <cellStyle name="Normal 3 49 2" xfId="10423" xr:uid="{00000000-0005-0000-0000-0000B5280000}"/>
    <cellStyle name="Normal 3 5" xfId="10424" xr:uid="{00000000-0005-0000-0000-0000B6280000}"/>
    <cellStyle name="Normal 3 5 2" xfId="10425" xr:uid="{00000000-0005-0000-0000-0000B7280000}"/>
    <cellStyle name="Normal 3 50" xfId="10426" xr:uid="{00000000-0005-0000-0000-0000B8280000}"/>
    <cellStyle name="Normal 3 50 2" xfId="10427" xr:uid="{00000000-0005-0000-0000-0000B9280000}"/>
    <cellStyle name="Normal 3 51" xfId="10428" xr:uid="{00000000-0005-0000-0000-0000BA280000}"/>
    <cellStyle name="Normal 3 51 2" xfId="10429" xr:uid="{00000000-0005-0000-0000-0000BB280000}"/>
    <cellStyle name="Normal 3 52" xfId="10430" xr:uid="{00000000-0005-0000-0000-0000BC280000}"/>
    <cellStyle name="Normal 3 52 2" xfId="10431" xr:uid="{00000000-0005-0000-0000-0000BD280000}"/>
    <cellStyle name="Normal 3 53" xfId="10432" xr:uid="{00000000-0005-0000-0000-0000BE280000}"/>
    <cellStyle name="Normal 3 53 2" xfId="10433" xr:uid="{00000000-0005-0000-0000-0000BF280000}"/>
    <cellStyle name="Normal 3 54" xfId="10434" xr:uid="{00000000-0005-0000-0000-0000C0280000}"/>
    <cellStyle name="Normal 3 54 2" xfId="10435" xr:uid="{00000000-0005-0000-0000-0000C1280000}"/>
    <cellStyle name="Normal 3 55" xfId="10436" xr:uid="{00000000-0005-0000-0000-0000C2280000}"/>
    <cellStyle name="Normal 3 55 2" xfId="10437" xr:uid="{00000000-0005-0000-0000-0000C3280000}"/>
    <cellStyle name="Normal 3 56" xfId="10438" xr:uid="{00000000-0005-0000-0000-0000C4280000}"/>
    <cellStyle name="Normal 3 56 2" xfId="10439" xr:uid="{00000000-0005-0000-0000-0000C5280000}"/>
    <cellStyle name="Normal 3 57" xfId="10440" xr:uid="{00000000-0005-0000-0000-0000C6280000}"/>
    <cellStyle name="Normal 3 57 2" xfId="10441" xr:uid="{00000000-0005-0000-0000-0000C7280000}"/>
    <cellStyle name="Normal 3 58" xfId="10442" xr:uid="{00000000-0005-0000-0000-0000C8280000}"/>
    <cellStyle name="Normal 3 58 2" xfId="10443" xr:uid="{00000000-0005-0000-0000-0000C9280000}"/>
    <cellStyle name="Normal 3 59" xfId="10444" xr:uid="{00000000-0005-0000-0000-0000CA280000}"/>
    <cellStyle name="Normal 3 59 2" xfId="10445" xr:uid="{00000000-0005-0000-0000-0000CB280000}"/>
    <cellStyle name="Normal 3 6" xfId="10446" xr:uid="{00000000-0005-0000-0000-0000CC280000}"/>
    <cellStyle name="Normal 3 6 2" xfId="10447" xr:uid="{00000000-0005-0000-0000-0000CD280000}"/>
    <cellStyle name="Normal 3 60" xfId="10448" xr:uid="{00000000-0005-0000-0000-0000CE280000}"/>
    <cellStyle name="Normal 3 60 2" xfId="10449" xr:uid="{00000000-0005-0000-0000-0000CF280000}"/>
    <cellStyle name="Normal 3 61" xfId="10450" xr:uid="{00000000-0005-0000-0000-0000D0280000}"/>
    <cellStyle name="Normal 3 61 2" xfId="10451" xr:uid="{00000000-0005-0000-0000-0000D1280000}"/>
    <cellStyle name="Normal 3 62" xfId="10452" xr:uid="{00000000-0005-0000-0000-0000D2280000}"/>
    <cellStyle name="Normal 3 62 2" xfId="10453" xr:uid="{00000000-0005-0000-0000-0000D3280000}"/>
    <cellStyle name="Normal 3 63" xfId="10454" xr:uid="{00000000-0005-0000-0000-0000D4280000}"/>
    <cellStyle name="Normal 3 63 2" xfId="10455" xr:uid="{00000000-0005-0000-0000-0000D5280000}"/>
    <cellStyle name="Normal 3 64" xfId="10456" xr:uid="{00000000-0005-0000-0000-0000D6280000}"/>
    <cellStyle name="Normal 3 64 2" xfId="10457" xr:uid="{00000000-0005-0000-0000-0000D7280000}"/>
    <cellStyle name="Normal 3 65" xfId="10458" xr:uid="{00000000-0005-0000-0000-0000D8280000}"/>
    <cellStyle name="Normal 3 65 2" xfId="10459" xr:uid="{00000000-0005-0000-0000-0000D9280000}"/>
    <cellStyle name="Normal 3 66" xfId="10460" xr:uid="{00000000-0005-0000-0000-0000DA280000}"/>
    <cellStyle name="Normal 3 66 2" xfId="10461" xr:uid="{00000000-0005-0000-0000-0000DB280000}"/>
    <cellStyle name="Normal 3 67" xfId="10462" xr:uid="{00000000-0005-0000-0000-0000DC280000}"/>
    <cellStyle name="Normal 3 67 2" xfId="10463" xr:uid="{00000000-0005-0000-0000-0000DD280000}"/>
    <cellStyle name="Normal 3 68" xfId="10464" xr:uid="{00000000-0005-0000-0000-0000DE280000}"/>
    <cellStyle name="Normal 3 68 2" xfId="10465" xr:uid="{00000000-0005-0000-0000-0000DF280000}"/>
    <cellStyle name="Normal 3 69" xfId="10466" xr:uid="{00000000-0005-0000-0000-0000E0280000}"/>
    <cellStyle name="Normal 3 69 2" xfId="10467" xr:uid="{00000000-0005-0000-0000-0000E1280000}"/>
    <cellStyle name="Normal 3 7" xfId="10468" xr:uid="{00000000-0005-0000-0000-0000E2280000}"/>
    <cellStyle name="Normal 3 7 2" xfId="10469" xr:uid="{00000000-0005-0000-0000-0000E3280000}"/>
    <cellStyle name="Normal 3 70" xfId="10470" xr:uid="{00000000-0005-0000-0000-0000E4280000}"/>
    <cellStyle name="Normal 3 70 2" xfId="10471" xr:uid="{00000000-0005-0000-0000-0000E5280000}"/>
    <cellStyle name="Normal 3 71" xfId="10472" xr:uid="{00000000-0005-0000-0000-0000E6280000}"/>
    <cellStyle name="Normal 3 71 2" xfId="10473" xr:uid="{00000000-0005-0000-0000-0000E7280000}"/>
    <cellStyle name="Normal 3 72" xfId="10474" xr:uid="{00000000-0005-0000-0000-0000E8280000}"/>
    <cellStyle name="Normal 3 72 2" xfId="10475" xr:uid="{00000000-0005-0000-0000-0000E9280000}"/>
    <cellStyle name="Normal 3 73" xfId="10476" xr:uid="{00000000-0005-0000-0000-0000EA280000}"/>
    <cellStyle name="Normal 3 73 2" xfId="10477" xr:uid="{00000000-0005-0000-0000-0000EB280000}"/>
    <cellStyle name="Normal 3 74" xfId="10478" xr:uid="{00000000-0005-0000-0000-0000EC280000}"/>
    <cellStyle name="Normal 3 74 2" xfId="10479" xr:uid="{00000000-0005-0000-0000-0000ED280000}"/>
    <cellStyle name="Normal 3 75" xfId="10480" xr:uid="{00000000-0005-0000-0000-0000EE280000}"/>
    <cellStyle name="Normal 3 75 2" xfId="10481" xr:uid="{00000000-0005-0000-0000-0000EF280000}"/>
    <cellStyle name="Normal 3 76" xfId="10482" xr:uid="{00000000-0005-0000-0000-0000F0280000}"/>
    <cellStyle name="Normal 3 76 2" xfId="10483" xr:uid="{00000000-0005-0000-0000-0000F1280000}"/>
    <cellStyle name="Normal 3 77" xfId="10484" xr:uid="{00000000-0005-0000-0000-0000F2280000}"/>
    <cellStyle name="Normal 3 77 2" xfId="10485" xr:uid="{00000000-0005-0000-0000-0000F3280000}"/>
    <cellStyle name="Normal 3 78" xfId="10486" xr:uid="{00000000-0005-0000-0000-0000F4280000}"/>
    <cellStyle name="Normal 3 78 2" xfId="10487" xr:uid="{00000000-0005-0000-0000-0000F5280000}"/>
    <cellStyle name="Normal 3 79" xfId="10488" xr:uid="{00000000-0005-0000-0000-0000F6280000}"/>
    <cellStyle name="Normal 3 79 2" xfId="10489" xr:uid="{00000000-0005-0000-0000-0000F7280000}"/>
    <cellStyle name="Normal 3 8" xfId="10490" xr:uid="{00000000-0005-0000-0000-0000F8280000}"/>
    <cellStyle name="Normal 3 8 2" xfId="10491" xr:uid="{00000000-0005-0000-0000-0000F9280000}"/>
    <cellStyle name="Normal 3 80" xfId="10492" xr:uid="{00000000-0005-0000-0000-0000FA280000}"/>
    <cellStyle name="Normal 3 80 2" xfId="10493" xr:uid="{00000000-0005-0000-0000-0000FB280000}"/>
    <cellStyle name="Normal 3 81" xfId="10494" xr:uid="{00000000-0005-0000-0000-0000FC280000}"/>
    <cellStyle name="Normal 3 81 2" xfId="10495" xr:uid="{00000000-0005-0000-0000-0000FD280000}"/>
    <cellStyle name="Normal 3 82" xfId="10496" xr:uid="{00000000-0005-0000-0000-0000FE280000}"/>
    <cellStyle name="Normal 3 82 2" xfId="10497" xr:uid="{00000000-0005-0000-0000-0000FF280000}"/>
    <cellStyle name="Normal 3 82 3" xfId="10498" xr:uid="{00000000-0005-0000-0000-000000290000}"/>
    <cellStyle name="Normal 3 82 4" xfId="10499" xr:uid="{00000000-0005-0000-0000-000001290000}"/>
    <cellStyle name="Normal 3 83" xfId="10500" xr:uid="{00000000-0005-0000-0000-000002290000}"/>
    <cellStyle name="Normal 3 83 2" xfId="10501" xr:uid="{00000000-0005-0000-0000-000003290000}"/>
    <cellStyle name="Normal 3 83 3" xfId="10502" xr:uid="{00000000-0005-0000-0000-000004290000}"/>
    <cellStyle name="Normal 3 84" xfId="10503" xr:uid="{00000000-0005-0000-0000-000005290000}"/>
    <cellStyle name="Normal 3 84 2" xfId="10504" xr:uid="{00000000-0005-0000-0000-000006290000}"/>
    <cellStyle name="Normal 3 85" xfId="10505" xr:uid="{00000000-0005-0000-0000-000007290000}"/>
    <cellStyle name="Normal 3 85 2" xfId="10506" xr:uid="{00000000-0005-0000-0000-000008290000}"/>
    <cellStyle name="Normal 3 86" xfId="10507" xr:uid="{00000000-0005-0000-0000-000009290000}"/>
    <cellStyle name="Normal 3 86 2" xfId="10508" xr:uid="{00000000-0005-0000-0000-00000A290000}"/>
    <cellStyle name="Normal 3 87" xfId="10509" xr:uid="{00000000-0005-0000-0000-00000B290000}"/>
    <cellStyle name="Normal 3 87 2" xfId="10510" xr:uid="{00000000-0005-0000-0000-00000C290000}"/>
    <cellStyle name="Normal 3 88" xfId="10511" xr:uid="{00000000-0005-0000-0000-00000D290000}"/>
    <cellStyle name="Normal 3 88 2" xfId="10512" xr:uid="{00000000-0005-0000-0000-00000E290000}"/>
    <cellStyle name="Normal 3 89" xfId="10513" xr:uid="{00000000-0005-0000-0000-00000F290000}"/>
    <cellStyle name="Normal 3 9" xfId="10514" xr:uid="{00000000-0005-0000-0000-000010290000}"/>
    <cellStyle name="Normal 3 9 2" xfId="10515" xr:uid="{00000000-0005-0000-0000-000011290000}"/>
    <cellStyle name="Normal 3 90" xfId="10516" xr:uid="{00000000-0005-0000-0000-000012290000}"/>
    <cellStyle name="Normal 3 91" xfId="10517" xr:uid="{00000000-0005-0000-0000-000013290000}"/>
    <cellStyle name="Normal 3 91 2" xfId="10518" xr:uid="{00000000-0005-0000-0000-000014290000}"/>
    <cellStyle name="Normal 3 91 3" xfId="10519" xr:uid="{00000000-0005-0000-0000-000015290000}"/>
    <cellStyle name="Normal 3 92" xfId="10520" xr:uid="{00000000-0005-0000-0000-000016290000}"/>
    <cellStyle name="Normal 3 93" xfId="10521" xr:uid="{00000000-0005-0000-0000-000017290000}"/>
    <cellStyle name="Normal 3 94" xfId="10522" xr:uid="{00000000-0005-0000-0000-000018290000}"/>
    <cellStyle name="Normal 3 95" xfId="10523" xr:uid="{00000000-0005-0000-0000-000019290000}"/>
    <cellStyle name="Normal 30" xfId="10524" xr:uid="{00000000-0005-0000-0000-00001A290000}"/>
    <cellStyle name="Normal 30 10" xfId="10525" xr:uid="{00000000-0005-0000-0000-00001B290000}"/>
    <cellStyle name="Normal 30 10 2" xfId="10526" xr:uid="{00000000-0005-0000-0000-00001C290000}"/>
    <cellStyle name="Normal 30 10 2 2" xfId="10527" xr:uid="{00000000-0005-0000-0000-00001D290000}"/>
    <cellStyle name="Normal 30 10 2 3" xfId="10528" xr:uid="{00000000-0005-0000-0000-00001E290000}"/>
    <cellStyle name="Normal 30 10 3" xfId="10529" xr:uid="{00000000-0005-0000-0000-00001F290000}"/>
    <cellStyle name="Normal 30 10 4" xfId="10530" xr:uid="{00000000-0005-0000-0000-000020290000}"/>
    <cellStyle name="Normal 30 11" xfId="10531" xr:uid="{00000000-0005-0000-0000-000021290000}"/>
    <cellStyle name="Normal 30 11 2" xfId="10532" xr:uid="{00000000-0005-0000-0000-000022290000}"/>
    <cellStyle name="Normal 30 11 2 2" xfId="10533" xr:uid="{00000000-0005-0000-0000-000023290000}"/>
    <cellStyle name="Normal 30 11 2 3" xfId="10534" xr:uid="{00000000-0005-0000-0000-000024290000}"/>
    <cellStyle name="Normal 30 11 3" xfId="10535" xr:uid="{00000000-0005-0000-0000-000025290000}"/>
    <cellStyle name="Normal 30 11 4" xfId="10536" xr:uid="{00000000-0005-0000-0000-000026290000}"/>
    <cellStyle name="Normal 30 12" xfId="10537" xr:uid="{00000000-0005-0000-0000-000027290000}"/>
    <cellStyle name="Normal 30 12 2" xfId="10538" xr:uid="{00000000-0005-0000-0000-000028290000}"/>
    <cellStyle name="Normal 30 12 2 2" xfId="10539" xr:uid="{00000000-0005-0000-0000-000029290000}"/>
    <cellStyle name="Normal 30 12 2 3" xfId="10540" xr:uid="{00000000-0005-0000-0000-00002A290000}"/>
    <cellStyle name="Normal 30 12 3" xfId="10541" xr:uid="{00000000-0005-0000-0000-00002B290000}"/>
    <cellStyle name="Normal 30 12 4" xfId="10542" xr:uid="{00000000-0005-0000-0000-00002C290000}"/>
    <cellStyle name="Normal 30 13" xfId="10543" xr:uid="{00000000-0005-0000-0000-00002D290000}"/>
    <cellStyle name="Normal 30 13 2" xfId="10544" xr:uid="{00000000-0005-0000-0000-00002E290000}"/>
    <cellStyle name="Normal 30 13 2 2" xfId="10545" xr:uid="{00000000-0005-0000-0000-00002F290000}"/>
    <cellStyle name="Normal 30 13 2 3" xfId="10546" xr:uid="{00000000-0005-0000-0000-000030290000}"/>
    <cellStyle name="Normal 30 13 3" xfId="10547" xr:uid="{00000000-0005-0000-0000-000031290000}"/>
    <cellStyle name="Normal 30 13 4" xfId="10548" xr:uid="{00000000-0005-0000-0000-000032290000}"/>
    <cellStyle name="Normal 30 14" xfId="10549" xr:uid="{00000000-0005-0000-0000-000033290000}"/>
    <cellStyle name="Normal 30 14 2" xfId="10550" xr:uid="{00000000-0005-0000-0000-000034290000}"/>
    <cellStyle name="Normal 30 14 2 2" xfId="10551" xr:uid="{00000000-0005-0000-0000-000035290000}"/>
    <cellStyle name="Normal 30 14 2 3" xfId="10552" xr:uid="{00000000-0005-0000-0000-000036290000}"/>
    <cellStyle name="Normal 30 14 3" xfId="10553" xr:uid="{00000000-0005-0000-0000-000037290000}"/>
    <cellStyle name="Normal 30 14 4" xfId="10554" xr:uid="{00000000-0005-0000-0000-000038290000}"/>
    <cellStyle name="Normal 30 15" xfId="10555" xr:uid="{00000000-0005-0000-0000-000039290000}"/>
    <cellStyle name="Normal 30 15 2" xfId="10556" xr:uid="{00000000-0005-0000-0000-00003A290000}"/>
    <cellStyle name="Normal 30 15 2 2" xfId="10557" xr:uid="{00000000-0005-0000-0000-00003B290000}"/>
    <cellStyle name="Normal 30 15 2 3" xfId="10558" xr:uid="{00000000-0005-0000-0000-00003C290000}"/>
    <cellStyle name="Normal 30 15 3" xfId="10559" xr:uid="{00000000-0005-0000-0000-00003D290000}"/>
    <cellStyle name="Normal 30 15 4" xfId="10560" xr:uid="{00000000-0005-0000-0000-00003E290000}"/>
    <cellStyle name="Normal 30 16" xfId="10561" xr:uid="{00000000-0005-0000-0000-00003F290000}"/>
    <cellStyle name="Normal 30 16 2" xfId="10562" xr:uid="{00000000-0005-0000-0000-000040290000}"/>
    <cellStyle name="Normal 30 16 2 2" xfId="10563" xr:uid="{00000000-0005-0000-0000-000041290000}"/>
    <cellStyle name="Normal 30 16 2 3" xfId="10564" xr:uid="{00000000-0005-0000-0000-000042290000}"/>
    <cellStyle name="Normal 30 16 3" xfId="10565" xr:uid="{00000000-0005-0000-0000-000043290000}"/>
    <cellStyle name="Normal 30 16 4" xfId="10566" xr:uid="{00000000-0005-0000-0000-000044290000}"/>
    <cellStyle name="Normal 30 17" xfId="10567" xr:uid="{00000000-0005-0000-0000-000045290000}"/>
    <cellStyle name="Normal 30 17 2" xfId="10568" xr:uid="{00000000-0005-0000-0000-000046290000}"/>
    <cellStyle name="Normal 30 17 2 2" xfId="10569" xr:uid="{00000000-0005-0000-0000-000047290000}"/>
    <cellStyle name="Normal 30 17 2 3" xfId="10570" xr:uid="{00000000-0005-0000-0000-000048290000}"/>
    <cellStyle name="Normal 30 17 3" xfId="10571" xr:uid="{00000000-0005-0000-0000-000049290000}"/>
    <cellStyle name="Normal 30 17 4" xfId="10572" xr:uid="{00000000-0005-0000-0000-00004A290000}"/>
    <cellStyle name="Normal 30 18" xfId="10573" xr:uid="{00000000-0005-0000-0000-00004B290000}"/>
    <cellStyle name="Normal 30 18 2" xfId="10574" xr:uid="{00000000-0005-0000-0000-00004C290000}"/>
    <cellStyle name="Normal 30 18 2 2" xfId="10575" xr:uid="{00000000-0005-0000-0000-00004D290000}"/>
    <cellStyle name="Normal 30 18 2 3" xfId="10576" xr:uid="{00000000-0005-0000-0000-00004E290000}"/>
    <cellStyle name="Normal 30 18 3" xfId="10577" xr:uid="{00000000-0005-0000-0000-00004F290000}"/>
    <cellStyle name="Normal 30 18 4" xfId="10578" xr:uid="{00000000-0005-0000-0000-000050290000}"/>
    <cellStyle name="Normal 30 19" xfId="10579" xr:uid="{00000000-0005-0000-0000-000051290000}"/>
    <cellStyle name="Normal 30 19 2" xfId="10580" xr:uid="{00000000-0005-0000-0000-000052290000}"/>
    <cellStyle name="Normal 30 19 2 2" xfId="10581" xr:uid="{00000000-0005-0000-0000-000053290000}"/>
    <cellStyle name="Normal 30 19 2 3" xfId="10582" xr:uid="{00000000-0005-0000-0000-000054290000}"/>
    <cellStyle name="Normal 30 19 3" xfId="10583" xr:uid="{00000000-0005-0000-0000-000055290000}"/>
    <cellStyle name="Normal 30 19 4" xfId="10584" xr:uid="{00000000-0005-0000-0000-000056290000}"/>
    <cellStyle name="Normal 30 2" xfId="10585" xr:uid="{00000000-0005-0000-0000-000057290000}"/>
    <cellStyle name="Normal 30 2 2" xfId="10586" xr:uid="{00000000-0005-0000-0000-000058290000}"/>
    <cellStyle name="Normal 30 2 3" xfId="10587" xr:uid="{00000000-0005-0000-0000-000059290000}"/>
    <cellStyle name="Normal 30 20" xfId="10588" xr:uid="{00000000-0005-0000-0000-00005A290000}"/>
    <cellStyle name="Normal 30 20 2" xfId="10589" xr:uid="{00000000-0005-0000-0000-00005B290000}"/>
    <cellStyle name="Normal 30 20 2 2" xfId="10590" xr:uid="{00000000-0005-0000-0000-00005C290000}"/>
    <cellStyle name="Normal 30 20 2 3" xfId="10591" xr:uid="{00000000-0005-0000-0000-00005D290000}"/>
    <cellStyle name="Normal 30 20 3" xfId="10592" xr:uid="{00000000-0005-0000-0000-00005E290000}"/>
    <cellStyle name="Normal 30 20 4" xfId="10593" xr:uid="{00000000-0005-0000-0000-00005F290000}"/>
    <cellStyle name="Normal 30 21" xfId="10594" xr:uid="{00000000-0005-0000-0000-000060290000}"/>
    <cellStyle name="Normal 30 21 2" xfId="10595" xr:uid="{00000000-0005-0000-0000-000061290000}"/>
    <cellStyle name="Normal 30 21 2 2" xfId="10596" xr:uid="{00000000-0005-0000-0000-000062290000}"/>
    <cellStyle name="Normal 30 21 2 3" xfId="10597" xr:uid="{00000000-0005-0000-0000-000063290000}"/>
    <cellStyle name="Normal 30 21 3" xfId="10598" xr:uid="{00000000-0005-0000-0000-000064290000}"/>
    <cellStyle name="Normal 30 21 4" xfId="10599" xr:uid="{00000000-0005-0000-0000-000065290000}"/>
    <cellStyle name="Normal 30 22" xfId="10600" xr:uid="{00000000-0005-0000-0000-000066290000}"/>
    <cellStyle name="Normal 30 22 2" xfId="10601" xr:uid="{00000000-0005-0000-0000-000067290000}"/>
    <cellStyle name="Normal 30 22 2 2" xfId="10602" xr:uid="{00000000-0005-0000-0000-000068290000}"/>
    <cellStyle name="Normal 30 22 2 3" xfId="10603" xr:uid="{00000000-0005-0000-0000-000069290000}"/>
    <cellStyle name="Normal 30 22 3" xfId="10604" xr:uid="{00000000-0005-0000-0000-00006A290000}"/>
    <cellStyle name="Normal 30 22 4" xfId="10605" xr:uid="{00000000-0005-0000-0000-00006B290000}"/>
    <cellStyle name="Normal 30 23" xfId="10606" xr:uid="{00000000-0005-0000-0000-00006C290000}"/>
    <cellStyle name="Normal 30 23 2" xfId="10607" xr:uid="{00000000-0005-0000-0000-00006D290000}"/>
    <cellStyle name="Normal 30 23 2 2" xfId="10608" xr:uid="{00000000-0005-0000-0000-00006E290000}"/>
    <cellStyle name="Normal 30 23 2 3" xfId="10609" xr:uid="{00000000-0005-0000-0000-00006F290000}"/>
    <cellStyle name="Normal 30 23 3" xfId="10610" xr:uid="{00000000-0005-0000-0000-000070290000}"/>
    <cellStyle name="Normal 30 23 4" xfId="10611" xr:uid="{00000000-0005-0000-0000-000071290000}"/>
    <cellStyle name="Normal 30 24" xfId="10612" xr:uid="{00000000-0005-0000-0000-000072290000}"/>
    <cellStyle name="Normal 30 24 2" xfId="10613" xr:uid="{00000000-0005-0000-0000-000073290000}"/>
    <cellStyle name="Normal 30 24 2 2" xfId="10614" xr:uid="{00000000-0005-0000-0000-000074290000}"/>
    <cellStyle name="Normal 30 24 2 3" xfId="10615" xr:uid="{00000000-0005-0000-0000-000075290000}"/>
    <cellStyle name="Normal 30 24 3" xfId="10616" xr:uid="{00000000-0005-0000-0000-000076290000}"/>
    <cellStyle name="Normal 30 24 4" xfId="10617" xr:uid="{00000000-0005-0000-0000-000077290000}"/>
    <cellStyle name="Normal 30 25" xfId="10618" xr:uid="{00000000-0005-0000-0000-000078290000}"/>
    <cellStyle name="Normal 30 25 2" xfId="10619" xr:uid="{00000000-0005-0000-0000-000079290000}"/>
    <cellStyle name="Normal 30 25 2 2" xfId="10620" xr:uid="{00000000-0005-0000-0000-00007A290000}"/>
    <cellStyle name="Normal 30 25 2 3" xfId="10621" xr:uid="{00000000-0005-0000-0000-00007B290000}"/>
    <cellStyle name="Normal 30 25 3" xfId="10622" xr:uid="{00000000-0005-0000-0000-00007C290000}"/>
    <cellStyle name="Normal 30 25 4" xfId="10623" xr:uid="{00000000-0005-0000-0000-00007D290000}"/>
    <cellStyle name="Normal 30 26" xfId="10624" xr:uid="{00000000-0005-0000-0000-00007E290000}"/>
    <cellStyle name="Normal 30 26 2" xfId="10625" xr:uid="{00000000-0005-0000-0000-00007F290000}"/>
    <cellStyle name="Normal 30 26 3" xfId="10626" xr:uid="{00000000-0005-0000-0000-000080290000}"/>
    <cellStyle name="Normal 30 27" xfId="10627" xr:uid="{00000000-0005-0000-0000-000081290000}"/>
    <cellStyle name="Normal 30 28" xfId="10628" xr:uid="{00000000-0005-0000-0000-000082290000}"/>
    <cellStyle name="Normal 30 3" xfId="10629" xr:uid="{00000000-0005-0000-0000-000083290000}"/>
    <cellStyle name="Normal 30 3 2" xfId="10630" xr:uid="{00000000-0005-0000-0000-000084290000}"/>
    <cellStyle name="Normal 30 3 3" xfId="10631" xr:uid="{00000000-0005-0000-0000-000085290000}"/>
    <cellStyle name="Normal 30 4" xfId="10632" xr:uid="{00000000-0005-0000-0000-000086290000}"/>
    <cellStyle name="Normal 30 4 2" xfId="10633" xr:uid="{00000000-0005-0000-0000-000087290000}"/>
    <cellStyle name="Normal 30 4 2 2" xfId="10634" xr:uid="{00000000-0005-0000-0000-000088290000}"/>
    <cellStyle name="Normal 30 4 2 3" xfId="10635" xr:uid="{00000000-0005-0000-0000-000089290000}"/>
    <cellStyle name="Normal 30 4 3" xfId="10636" xr:uid="{00000000-0005-0000-0000-00008A290000}"/>
    <cellStyle name="Normal 30 4 4" xfId="10637" xr:uid="{00000000-0005-0000-0000-00008B290000}"/>
    <cellStyle name="Normal 30 5" xfId="10638" xr:uid="{00000000-0005-0000-0000-00008C290000}"/>
    <cellStyle name="Normal 30 5 2" xfId="10639" xr:uid="{00000000-0005-0000-0000-00008D290000}"/>
    <cellStyle name="Normal 30 5 2 2" xfId="10640" xr:uid="{00000000-0005-0000-0000-00008E290000}"/>
    <cellStyle name="Normal 30 5 2 3" xfId="10641" xr:uid="{00000000-0005-0000-0000-00008F290000}"/>
    <cellStyle name="Normal 30 5 3" xfId="10642" xr:uid="{00000000-0005-0000-0000-000090290000}"/>
    <cellStyle name="Normal 30 5 4" xfId="10643" xr:uid="{00000000-0005-0000-0000-000091290000}"/>
    <cellStyle name="Normal 30 6" xfId="10644" xr:uid="{00000000-0005-0000-0000-000092290000}"/>
    <cellStyle name="Normal 30 6 2" xfId="10645" xr:uid="{00000000-0005-0000-0000-000093290000}"/>
    <cellStyle name="Normal 30 6 2 2" xfId="10646" xr:uid="{00000000-0005-0000-0000-000094290000}"/>
    <cellStyle name="Normal 30 6 2 3" xfId="10647" xr:uid="{00000000-0005-0000-0000-000095290000}"/>
    <cellStyle name="Normal 30 6 3" xfId="10648" xr:uid="{00000000-0005-0000-0000-000096290000}"/>
    <cellStyle name="Normal 30 6 4" xfId="10649" xr:uid="{00000000-0005-0000-0000-000097290000}"/>
    <cellStyle name="Normal 30 7" xfId="10650" xr:uid="{00000000-0005-0000-0000-000098290000}"/>
    <cellStyle name="Normal 30 7 2" xfId="10651" xr:uid="{00000000-0005-0000-0000-000099290000}"/>
    <cellStyle name="Normal 30 7 2 2" xfId="10652" xr:uid="{00000000-0005-0000-0000-00009A290000}"/>
    <cellStyle name="Normal 30 7 2 3" xfId="10653" xr:uid="{00000000-0005-0000-0000-00009B290000}"/>
    <cellStyle name="Normal 30 7 3" xfId="10654" xr:uid="{00000000-0005-0000-0000-00009C290000}"/>
    <cellStyle name="Normal 30 7 4" xfId="10655" xr:uid="{00000000-0005-0000-0000-00009D290000}"/>
    <cellStyle name="Normal 30 8" xfId="10656" xr:uid="{00000000-0005-0000-0000-00009E290000}"/>
    <cellStyle name="Normal 30 8 2" xfId="10657" xr:uid="{00000000-0005-0000-0000-00009F290000}"/>
    <cellStyle name="Normal 30 8 2 2" xfId="10658" xr:uid="{00000000-0005-0000-0000-0000A0290000}"/>
    <cellStyle name="Normal 30 8 2 3" xfId="10659" xr:uid="{00000000-0005-0000-0000-0000A1290000}"/>
    <cellStyle name="Normal 30 8 3" xfId="10660" xr:uid="{00000000-0005-0000-0000-0000A2290000}"/>
    <cellStyle name="Normal 30 8 4" xfId="10661" xr:uid="{00000000-0005-0000-0000-0000A3290000}"/>
    <cellStyle name="Normal 30 9" xfId="10662" xr:uid="{00000000-0005-0000-0000-0000A4290000}"/>
    <cellStyle name="Normal 30 9 2" xfId="10663" xr:uid="{00000000-0005-0000-0000-0000A5290000}"/>
    <cellStyle name="Normal 30 9 2 2" xfId="10664" xr:uid="{00000000-0005-0000-0000-0000A6290000}"/>
    <cellStyle name="Normal 30 9 2 3" xfId="10665" xr:uid="{00000000-0005-0000-0000-0000A7290000}"/>
    <cellStyle name="Normal 30 9 3" xfId="10666" xr:uid="{00000000-0005-0000-0000-0000A8290000}"/>
    <cellStyle name="Normal 30 9 4" xfId="10667" xr:uid="{00000000-0005-0000-0000-0000A9290000}"/>
    <cellStyle name="Normal 31" xfId="10668" xr:uid="{00000000-0005-0000-0000-0000AA290000}"/>
    <cellStyle name="Normal 31 10" xfId="10669" xr:uid="{00000000-0005-0000-0000-0000AB290000}"/>
    <cellStyle name="Normal 31 10 2" xfId="10670" xr:uid="{00000000-0005-0000-0000-0000AC290000}"/>
    <cellStyle name="Normal 31 10 2 2" xfId="10671" xr:uid="{00000000-0005-0000-0000-0000AD290000}"/>
    <cellStyle name="Normal 31 10 2 3" xfId="10672" xr:uid="{00000000-0005-0000-0000-0000AE290000}"/>
    <cellStyle name="Normal 31 10 3" xfId="10673" xr:uid="{00000000-0005-0000-0000-0000AF290000}"/>
    <cellStyle name="Normal 31 10 4" xfId="10674" xr:uid="{00000000-0005-0000-0000-0000B0290000}"/>
    <cellStyle name="Normal 31 11" xfId="10675" xr:uid="{00000000-0005-0000-0000-0000B1290000}"/>
    <cellStyle name="Normal 31 11 2" xfId="10676" xr:uid="{00000000-0005-0000-0000-0000B2290000}"/>
    <cellStyle name="Normal 31 11 2 2" xfId="10677" xr:uid="{00000000-0005-0000-0000-0000B3290000}"/>
    <cellStyle name="Normal 31 11 2 3" xfId="10678" xr:uid="{00000000-0005-0000-0000-0000B4290000}"/>
    <cellStyle name="Normal 31 11 3" xfId="10679" xr:uid="{00000000-0005-0000-0000-0000B5290000}"/>
    <cellStyle name="Normal 31 11 4" xfId="10680" xr:uid="{00000000-0005-0000-0000-0000B6290000}"/>
    <cellStyle name="Normal 31 12" xfId="10681" xr:uid="{00000000-0005-0000-0000-0000B7290000}"/>
    <cellStyle name="Normal 31 12 2" xfId="10682" xr:uid="{00000000-0005-0000-0000-0000B8290000}"/>
    <cellStyle name="Normal 31 12 2 2" xfId="10683" xr:uid="{00000000-0005-0000-0000-0000B9290000}"/>
    <cellStyle name="Normal 31 12 2 3" xfId="10684" xr:uid="{00000000-0005-0000-0000-0000BA290000}"/>
    <cellStyle name="Normal 31 12 3" xfId="10685" xr:uid="{00000000-0005-0000-0000-0000BB290000}"/>
    <cellStyle name="Normal 31 12 4" xfId="10686" xr:uid="{00000000-0005-0000-0000-0000BC290000}"/>
    <cellStyle name="Normal 31 13" xfId="10687" xr:uid="{00000000-0005-0000-0000-0000BD290000}"/>
    <cellStyle name="Normal 31 13 2" xfId="10688" xr:uid="{00000000-0005-0000-0000-0000BE290000}"/>
    <cellStyle name="Normal 31 13 2 2" xfId="10689" xr:uid="{00000000-0005-0000-0000-0000BF290000}"/>
    <cellStyle name="Normal 31 13 2 3" xfId="10690" xr:uid="{00000000-0005-0000-0000-0000C0290000}"/>
    <cellStyle name="Normal 31 13 3" xfId="10691" xr:uid="{00000000-0005-0000-0000-0000C1290000}"/>
    <cellStyle name="Normal 31 13 4" xfId="10692" xr:uid="{00000000-0005-0000-0000-0000C2290000}"/>
    <cellStyle name="Normal 31 14" xfId="10693" xr:uid="{00000000-0005-0000-0000-0000C3290000}"/>
    <cellStyle name="Normal 31 14 2" xfId="10694" xr:uid="{00000000-0005-0000-0000-0000C4290000}"/>
    <cellStyle name="Normal 31 14 2 2" xfId="10695" xr:uid="{00000000-0005-0000-0000-0000C5290000}"/>
    <cellStyle name="Normal 31 14 2 3" xfId="10696" xr:uid="{00000000-0005-0000-0000-0000C6290000}"/>
    <cellStyle name="Normal 31 14 3" xfId="10697" xr:uid="{00000000-0005-0000-0000-0000C7290000}"/>
    <cellStyle name="Normal 31 14 4" xfId="10698" xr:uid="{00000000-0005-0000-0000-0000C8290000}"/>
    <cellStyle name="Normal 31 15" xfId="10699" xr:uid="{00000000-0005-0000-0000-0000C9290000}"/>
    <cellStyle name="Normal 31 15 2" xfId="10700" xr:uid="{00000000-0005-0000-0000-0000CA290000}"/>
    <cellStyle name="Normal 31 15 2 2" xfId="10701" xr:uid="{00000000-0005-0000-0000-0000CB290000}"/>
    <cellStyle name="Normal 31 15 2 3" xfId="10702" xr:uid="{00000000-0005-0000-0000-0000CC290000}"/>
    <cellStyle name="Normal 31 15 3" xfId="10703" xr:uid="{00000000-0005-0000-0000-0000CD290000}"/>
    <cellStyle name="Normal 31 15 4" xfId="10704" xr:uid="{00000000-0005-0000-0000-0000CE290000}"/>
    <cellStyle name="Normal 31 16" xfId="10705" xr:uid="{00000000-0005-0000-0000-0000CF290000}"/>
    <cellStyle name="Normal 31 16 2" xfId="10706" xr:uid="{00000000-0005-0000-0000-0000D0290000}"/>
    <cellStyle name="Normal 31 16 2 2" xfId="10707" xr:uid="{00000000-0005-0000-0000-0000D1290000}"/>
    <cellStyle name="Normal 31 16 2 3" xfId="10708" xr:uid="{00000000-0005-0000-0000-0000D2290000}"/>
    <cellStyle name="Normal 31 16 3" xfId="10709" xr:uid="{00000000-0005-0000-0000-0000D3290000}"/>
    <cellStyle name="Normal 31 16 4" xfId="10710" xr:uid="{00000000-0005-0000-0000-0000D4290000}"/>
    <cellStyle name="Normal 31 17" xfId="10711" xr:uid="{00000000-0005-0000-0000-0000D5290000}"/>
    <cellStyle name="Normal 31 17 2" xfId="10712" xr:uid="{00000000-0005-0000-0000-0000D6290000}"/>
    <cellStyle name="Normal 31 17 2 2" xfId="10713" xr:uid="{00000000-0005-0000-0000-0000D7290000}"/>
    <cellStyle name="Normal 31 17 2 3" xfId="10714" xr:uid="{00000000-0005-0000-0000-0000D8290000}"/>
    <cellStyle name="Normal 31 17 3" xfId="10715" xr:uid="{00000000-0005-0000-0000-0000D9290000}"/>
    <cellStyle name="Normal 31 17 4" xfId="10716" xr:uid="{00000000-0005-0000-0000-0000DA290000}"/>
    <cellStyle name="Normal 31 18" xfId="10717" xr:uid="{00000000-0005-0000-0000-0000DB290000}"/>
    <cellStyle name="Normal 31 18 2" xfId="10718" xr:uid="{00000000-0005-0000-0000-0000DC290000}"/>
    <cellStyle name="Normal 31 18 2 2" xfId="10719" xr:uid="{00000000-0005-0000-0000-0000DD290000}"/>
    <cellStyle name="Normal 31 18 2 3" xfId="10720" xr:uid="{00000000-0005-0000-0000-0000DE290000}"/>
    <cellStyle name="Normal 31 18 3" xfId="10721" xr:uid="{00000000-0005-0000-0000-0000DF290000}"/>
    <cellStyle name="Normal 31 18 4" xfId="10722" xr:uid="{00000000-0005-0000-0000-0000E0290000}"/>
    <cellStyle name="Normal 31 19" xfId="10723" xr:uid="{00000000-0005-0000-0000-0000E1290000}"/>
    <cellStyle name="Normal 31 19 2" xfId="10724" xr:uid="{00000000-0005-0000-0000-0000E2290000}"/>
    <cellStyle name="Normal 31 19 2 2" xfId="10725" xr:uid="{00000000-0005-0000-0000-0000E3290000}"/>
    <cellStyle name="Normal 31 19 2 3" xfId="10726" xr:uid="{00000000-0005-0000-0000-0000E4290000}"/>
    <cellStyle name="Normal 31 19 3" xfId="10727" xr:uid="{00000000-0005-0000-0000-0000E5290000}"/>
    <cellStyle name="Normal 31 19 4" xfId="10728" xr:uid="{00000000-0005-0000-0000-0000E6290000}"/>
    <cellStyle name="Normal 31 2" xfId="10729" xr:uid="{00000000-0005-0000-0000-0000E7290000}"/>
    <cellStyle name="Normal 31 2 10" xfId="10730" xr:uid="{00000000-0005-0000-0000-0000E8290000}"/>
    <cellStyle name="Normal 31 2 10 2" xfId="10731" xr:uid="{00000000-0005-0000-0000-0000E9290000}"/>
    <cellStyle name="Normal 31 2 10 3" xfId="10732" xr:uid="{00000000-0005-0000-0000-0000EA290000}"/>
    <cellStyle name="Normal 31 2 11" xfId="10733" xr:uid="{00000000-0005-0000-0000-0000EB290000}"/>
    <cellStyle name="Normal 31 2 12" xfId="10734" xr:uid="{00000000-0005-0000-0000-0000EC290000}"/>
    <cellStyle name="Normal 31 2 2" xfId="10735" xr:uid="{00000000-0005-0000-0000-0000ED290000}"/>
    <cellStyle name="Normal 31 2 2 2" xfId="10736" xr:uid="{00000000-0005-0000-0000-0000EE290000}"/>
    <cellStyle name="Normal 31 2 3" xfId="10737" xr:uid="{00000000-0005-0000-0000-0000EF290000}"/>
    <cellStyle name="Normal 31 2 3 2" xfId="10738" xr:uid="{00000000-0005-0000-0000-0000F0290000}"/>
    <cellStyle name="Normal 31 2 4" xfId="10739" xr:uid="{00000000-0005-0000-0000-0000F1290000}"/>
    <cellStyle name="Normal 31 2 4 2" xfId="10740" xr:uid="{00000000-0005-0000-0000-0000F2290000}"/>
    <cellStyle name="Normal 31 2 5" xfId="10741" xr:uid="{00000000-0005-0000-0000-0000F3290000}"/>
    <cellStyle name="Normal 31 2 5 2" xfId="10742" xr:uid="{00000000-0005-0000-0000-0000F4290000}"/>
    <cellStyle name="Normal 31 2 6" xfId="10743" xr:uid="{00000000-0005-0000-0000-0000F5290000}"/>
    <cellStyle name="Normal 31 2 6 2" xfId="10744" xr:uid="{00000000-0005-0000-0000-0000F6290000}"/>
    <cellStyle name="Normal 31 2 7" xfId="10745" xr:uid="{00000000-0005-0000-0000-0000F7290000}"/>
    <cellStyle name="Normal 31 2 7 2" xfId="10746" xr:uid="{00000000-0005-0000-0000-0000F8290000}"/>
    <cellStyle name="Normal 31 2 8" xfId="10747" xr:uid="{00000000-0005-0000-0000-0000F9290000}"/>
    <cellStyle name="Normal 31 2 8 2" xfId="10748" xr:uid="{00000000-0005-0000-0000-0000FA290000}"/>
    <cellStyle name="Normal 31 2 9" xfId="10749" xr:uid="{00000000-0005-0000-0000-0000FB290000}"/>
    <cellStyle name="Normal 31 20" xfId="10750" xr:uid="{00000000-0005-0000-0000-0000FC290000}"/>
    <cellStyle name="Normal 31 20 2" xfId="10751" xr:uid="{00000000-0005-0000-0000-0000FD290000}"/>
    <cellStyle name="Normal 31 20 2 2" xfId="10752" xr:uid="{00000000-0005-0000-0000-0000FE290000}"/>
    <cellStyle name="Normal 31 20 2 3" xfId="10753" xr:uid="{00000000-0005-0000-0000-0000FF290000}"/>
    <cellStyle name="Normal 31 20 3" xfId="10754" xr:uid="{00000000-0005-0000-0000-0000002A0000}"/>
    <cellStyle name="Normal 31 20 4" xfId="10755" xr:uid="{00000000-0005-0000-0000-0000012A0000}"/>
    <cellStyle name="Normal 31 21" xfId="10756" xr:uid="{00000000-0005-0000-0000-0000022A0000}"/>
    <cellStyle name="Normal 31 21 2" xfId="10757" xr:uid="{00000000-0005-0000-0000-0000032A0000}"/>
    <cellStyle name="Normal 31 21 2 2" xfId="10758" xr:uid="{00000000-0005-0000-0000-0000042A0000}"/>
    <cellStyle name="Normal 31 21 2 3" xfId="10759" xr:uid="{00000000-0005-0000-0000-0000052A0000}"/>
    <cellStyle name="Normal 31 21 3" xfId="10760" xr:uid="{00000000-0005-0000-0000-0000062A0000}"/>
    <cellStyle name="Normal 31 21 4" xfId="10761" xr:uid="{00000000-0005-0000-0000-0000072A0000}"/>
    <cellStyle name="Normal 31 22" xfId="10762" xr:uid="{00000000-0005-0000-0000-0000082A0000}"/>
    <cellStyle name="Normal 31 22 2" xfId="10763" xr:uid="{00000000-0005-0000-0000-0000092A0000}"/>
    <cellStyle name="Normal 31 22 2 2" xfId="10764" xr:uid="{00000000-0005-0000-0000-00000A2A0000}"/>
    <cellStyle name="Normal 31 22 2 3" xfId="10765" xr:uid="{00000000-0005-0000-0000-00000B2A0000}"/>
    <cellStyle name="Normal 31 22 3" xfId="10766" xr:uid="{00000000-0005-0000-0000-00000C2A0000}"/>
    <cellStyle name="Normal 31 22 4" xfId="10767" xr:uid="{00000000-0005-0000-0000-00000D2A0000}"/>
    <cellStyle name="Normal 31 23" xfId="10768" xr:uid="{00000000-0005-0000-0000-00000E2A0000}"/>
    <cellStyle name="Normal 31 23 2" xfId="10769" xr:uid="{00000000-0005-0000-0000-00000F2A0000}"/>
    <cellStyle name="Normal 31 23 2 2" xfId="10770" xr:uid="{00000000-0005-0000-0000-0000102A0000}"/>
    <cellStyle name="Normal 31 23 2 3" xfId="10771" xr:uid="{00000000-0005-0000-0000-0000112A0000}"/>
    <cellStyle name="Normal 31 23 3" xfId="10772" xr:uid="{00000000-0005-0000-0000-0000122A0000}"/>
    <cellStyle name="Normal 31 23 4" xfId="10773" xr:uid="{00000000-0005-0000-0000-0000132A0000}"/>
    <cellStyle name="Normal 31 24" xfId="10774" xr:uid="{00000000-0005-0000-0000-0000142A0000}"/>
    <cellStyle name="Normal 31 24 2" xfId="10775" xr:uid="{00000000-0005-0000-0000-0000152A0000}"/>
    <cellStyle name="Normal 31 24 2 2" xfId="10776" xr:uid="{00000000-0005-0000-0000-0000162A0000}"/>
    <cellStyle name="Normal 31 24 2 3" xfId="10777" xr:uid="{00000000-0005-0000-0000-0000172A0000}"/>
    <cellStyle name="Normal 31 24 3" xfId="10778" xr:uid="{00000000-0005-0000-0000-0000182A0000}"/>
    <cellStyle name="Normal 31 24 4" xfId="10779" xr:uid="{00000000-0005-0000-0000-0000192A0000}"/>
    <cellStyle name="Normal 31 25" xfId="10780" xr:uid="{00000000-0005-0000-0000-00001A2A0000}"/>
    <cellStyle name="Normal 31 25 2" xfId="10781" xr:uid="{00000000-0005-0000-0000-00001B2A0000}"/>
    <cellStyle name="Normal 31 25 2 2" xfId="10782" xr:uid="{00000000-0005-0000-0000-00001C2A0000}"/>
    <cellStyle name="Normal 31 25 2 3" xfId="10783" xr:uid="{00000000-0005-0000-0000-00001D2A0000}"/>
    <cellStyle name="Normal 31 25 3" xfId="10784" xr:uid="{00000000-0005-0000-0000-00001E2A0000}"/>
    <cellStyle name="Normal 31 25 4" xfId="10785" xr:uid="{00000000-0005-0000-0000-00001F2A0000}"/>
    <cellStyle name="Normal 31 26" xfId="10786" xr:uid="{00000000-0005-0000-0000-0000202A0000}"/>
    <cellStyle name="Normal 31 26 2" xfId="10787" xr:uid="{00000000-0005-0000-0000-0000212A0000}"/>
    <cellStyle name="Normal 31 26 2 2" xfId="10788" xr:uid="{00000000-0005-0000-0000-0000222A0000}"/>
    <cellStyle name="Normal 31 26 2 3" xfId="10789" xr:uid="{00000000-0005-0000-0000-0000232A0000}"/>
    <cellStyle name="Normal 31 26 3" xfId="10790" xr:uid="{00000000-0005-0000-0000-0000242A0000}"/>
    <cellStyle name="Normal 31 26 4" xfId="10791" xr:uid="{00000000-0005-0000-0000-0000252A0000}"/>
    <cellStyle name="Normal 31 27" xfId="10792" xr:uid="{00000000-0005-0000-0000-0000262A0000}"/>
    <cellStyle name="Normal 31 27 2" xfId="10793" xr:uid="{00000000-0005-0000-0000-0000272A0000}"/>
    <cellStyle name="Normal 31 27 3" xfId="10794" xr:uid="{00000000-0005-0000-0000-0000282A0000}"/>
    <cellStyle name="Normal 31 28" xfId="10795" xr:uid="{00000000-0005-0000-0000-0000292A0000}"/>
    <cellStyle name="Normal 31 29" xfId="10796" xr:uid="{00000000-0005-0000-0000-00002A2A0000}"/>
    <cellStyle name="Normal 31 3" xfId="10797" xr:uid="{00000000-0005-0000-0000-00002B2A0000}"/>
    <cellStyle name="Normal 31 3 10" xfId="10798" xr:uid="{00000000-0005-0000-0000-00002C2A0000}"/>
    <cellStyle name="Normal 31 3 10 2" xfId="10799" xr:uid="{00000000-0005-0000-0000-00002D2A0000}"/>
    <cellStyle name="Normal 31 3 10 3" xfId="10800" xr:uid="{00000000-0005-0000-0000-00002E2A0000}"/>
    <cellStyle name="Normal 31 3 11" xfId="10801" xr:uid="{00000000-0005-0000-0000-00002F2A0000}"/>
    <cellStyle name="Normal 31 3 12" xfId="10802" xr:uid="{00000000-0005-0000-0000-0000302A0000}"/>
    <cellStyle name="Normal 31 3 2" xfId="10803" xr:uid="{00000000-0005-0000-0000-0000312A0000}"/>
    <cellStyle name="Normal 31 3 2 2" xfId="10804" xr:uid="{00000000-0005-0000-0000-0000322A0000}"/>
    <cellStyle name="Normal 31 3 3" xfId="10805" xr:uid="{00000000-0005-0000-0000-0000332A0000}"/>
    <cellStyle name="Normal 31 3 3 2" xfId="10806" xr:uid="{00000000-0005-0000-0000-0000342A0000}"/>
    <cellStyle name="Normal 31 3 4" xfId="10807" xr:uid="{00000000-0005-0000-0000-0000352A0000}"/>
    <cellStyle name="Normal 31 3 4 2" xfId="10808" xr:uid="{00000000-0005-0000-0000-0000362A0000}"/>
    <cellStyle name="Normal 31 3 5" xfId="10809" xr:uid="{00000000-0005-0000-0000-0000372A0000}"/>
    <cellStyle name="Normal 31 3 5 2" xfId="10810" xr:uid="{00000000-0005-0000-0000-0000382A0000}"/>
    <cellStyle name="Normal 31 3 6" xfId="10811" xr:uid="{00000000-0005-0000-0000-0000392A0000}"/>
    <cellStyle name="Normal 31 3 6 2" xfId="10812" xr:uid="{00000000-0005-0000-0000-00003A2A0000}"/>
    <cellStyle name="Normal 31 3 7" xfId="10813" xr:uid="{00000000-0005-0000-0000-00003B2A0000}"/>
    <cellStyle name="Normal 31 3 7 2" xfId="10814" xr:uid="{00000000-0005-0000-0000-00003C2A0000}"/>
    <cellStyle name="Normal 31 3 8" xfId="10815" xr:uid="{00000000-0005-0000-0000-00003D2A0000}"/>
    <cellStyle name="Normal 31 3 8 2" xfId="10816" xr:uid="{00000000-0005-0000-0000-00003E2A0000}"/>
    <cellStyle name="Normal 31 3 9" xfId="10817" xr:uid="{00000000-0005-0000-0000-00003F2A0000}"/>
    <cellStyle name="Normal 31 4" xfId="10818" xr:uid="{00000000-0005-0000-0000-0000402A0000}"/>
    <cellStyle name="Normal 31 4 2" xfId="10819" xr:uid="{00000000-0005-0000-0000-0000412A0000}"/>
    <cellStyle name="Normal 31 4 2 2" xfId="10820" xr:uid="{00000000-0005-0000-0000-0000422A0000}"/>
    <cellStyle name="Normal 31 4 2 2 2" xfId="10821" xr:uid="{00000000-0005-0000-0000-0000432A0000}"/>
    <cellStyle name="Normal 31 4 2 2 3" xfId="10822" xr:uid="{00000000-0005-0000-0000-0000442A0000}"/>
    <cellStyle name="Normal 31 4 2 3" xfId="10823" xr:uid="{00000000-0005-0000-0000-0000452A0000}"/>
    <cellStyle name="Normal 31 4 2 4" xfId="10824" xr:uid="{00000000-0005-0000-0000-0000462A0000}"/>
    <cellStyle name="Normal 31 4 3" xfId="10825" xr:uid="{00000000-0005-0000-0000-0000472A0000}"/>
    <cellStyle name="Normal 31 4 3 2" xfId="10826" xr:uid="{00000000-0005-0000-0000-0000482A0000}"/>
    <cellStyle name="Normal 31 4 3 3" xfId="10827" xr:uid="{00000000-0005-0000-0000-0000492A0000}"/>
    <cellStyle name="Normal 31 4 4" xfId="10828" xr:uid="{00000000-0005-0000-0000-00004A2A0000}"/>
    <cellStyle name="Normal 31 4 5" xfId="10829" xr:uid="{00000000-0005-0000-0000-00004B2A0000}"/>
    <cellStyle name="Normal 31 5" xfId="10830" xr:uid="{00000000-0005-0000-0000-00004C2A0000}"/>
    <cellStyle name="Normal 31 5 2" xfId="10831" xr:uid="{00000000-0005-0000-0000-00004D2A0000}"/>
    <cellStyle name="Normal 31 5 2 2" xfId="10832" xr:uid="{00000000-0005-0000-0000-00004E2A0000}"/>
    <cellStyle name="Normal 31 5 2 2 2" xfId="10833" xr:uid="{00000000-0005-0000-0000-00004F2A0000}"/>
    <cellStyle name="Normal 31 5 2 2 3" xfId="10834" xr:uid="{00000000-0005-0000-0000-0000502A0000}"/>
    <cellStyle name="Normal 31 5 2 3" xfId="10835" xr:uid="{00000000-0005-0000-0000-0000512A0000}"/>
    <cellStyle name="Normal 31 5 2 4" xfId="10836" xr:uid="{00000000-0005-0000-0000-0000522A0000}"/>
    <cellStyle name="Normal 31 5 3" xfId="10837" xr:uid="{00000000-0005-0000-0000-0000532A0000}"/>
    <cellStyle name="Normal 31 5 3 2" xfId="10838" xr:uid="{00000000-0005-0000-0000-0000542A0000}"/>
    <cellStyle name="Normal 31 5 3 3" xfId="10839" xr:uid="{00000000-0005-0000-0000-0000552A0000}"/>
    <cellStyle name="Normal 31 5 4" xfId="10840" xr:uid="{00000000-0005-0000-0000-0000562A0000}"/>
    <cellStyle name="Normal 31 5 5" xfId="10841" xr:uid="{00000000-0005-0000-0000-0000572A0000}"/>
    <cellStyle name="Normal 31 6" xfId="10842" xr:uid="{00000000-0005-0000-0000-0000582A0000}"/>
    <cellStyle name="Normal 31 6 2" xfId="10843" xr:uid="{00000000-0005-0000-0000-0000592A0000}"/>
    <cellStyle name="Normal 31 6 2 2" xfId="10844" xr:uid="{00000000-0005-0000-0000-00005A2A0000}"/>
    <cellStyle name="Normal 31 6 2 3" xfId="10845" xr:uid="{00000000-0005-0000-0000-00005B2A0000}"/>
    <cellStyle name="Normal 31 6 3" xfId="10846" xr:uid="{00000000-0005-0000-0000-00005C2A0000}"/>
    <cellStyle name="Normal 31 6 4" xfId="10847" xr:uid="{00000000-0005-0000-0000-00005D2A0000}"/>
    <cellStyle name="Normal 31 7" xfId="10848" xr:uid="{00000000-0005-0000-0000-00005E2A0000}"/>
    <cellStyle name="Normal 31 7 2" xfId="10849" xr:uid="{00000000-0005-0000-0000-00005F2A0000}"/>
    <cellStyle name="Normal 31 7 2 2" xfId="10850" xr:uid="{00000000-0005-0000-0000-0000602A0000}"/>
    <cellStyle name="Normal 31 7 2 3" xfId="10851" xr:uid="{00000000-0005-0000-0000-0000612A0000}"/>
    <cellStyle name="Normal 31 7 3" xfId="10852" xr:uid="{00000000-0005-0000-0000-0000622A0000}"/>
    <cellStyle name="Normal 31 7 4" xfId="10853" xr:uid="{00000000-0005-0000-0000-0000632A0000}"/>
    <cellStyle name="Normal 31 8" xfId="10854" xr:uid="{00000000-0005-0000-0000-0000642A0000}"/>
    <cellStyle name="Normal 31 8 2" xfId="10855" xr:uid="{00000000-0005-0000-0000-0000652A0000}"/>
    <cellStyle name="Normal 31 8 2 2" xfId="10856" xr:uid="{00000000-0005-0000-0000-0000662A0000}"/>
    <cellStyle name="Normal 31 8 2 3" xfId="10857" xr:uid="{00000000-0005-0000-0000-0000672A0000}"/>
    <cellStyle name="Normal 31 8 3" xfId="10858" xr:uid="{00000000-0005-0000-0000-0000682A0000}"/>
    <cellStyle name="Normal 31 8 4" xfId="10859" xr:uid="{00000000-0005-0000-0000-0000692A0000}"/>
    <cellStyle name="Normal 31 9" xfId="10860" xr:uid="{00000000-0005-0000-0000-00006A2A0000}"/>
    <cellStyle name="Normal 31 9 2" xfId="10861" xr:uid="{00000000-0005-0000-0000-00006B2A0000}"/>
    <cellStyle name="Normal 31 9 2 2" xfId="10862" xr:uid="{00000000-0005-0000-0000-00006C2A0000}"/>
    <cellStyle name="Normal 31 9 2 3" xfId="10863" xr:uid="{00000000-0005-0000-0000-00006D2A0000}"/>
    <cellStyle name="Normal 31 9 3" xfId="10864" xr:uid="{00000000-0005-0000-0000-00006E2A0000}"/>
    <cellStyle name="Normal 31 9 4" xfId="10865" xr:uid="{00000000-0005-0000-0000-00006F2A0000}"/>
    <cellStyle name="Normal 32" xfId="10866" xr:uid="{00000000-0005-0000-0000-0000702A0000}"/>
    <cellStyle name="Normal 32 10" xfId="10867" xr:uid="{00000000-0005-0000-0000-0000712A0000}"/>
    <cellStyle name="Normal 32 10 2" xfId="10868" xr:uid="{00000000-0005-0000-0000-0000722A0000}"/>
    <cellStyle name="Normal 32 10 2 2" xfId="10869" xr:uid="{00000000-0005-0000-0000-0000732A0000}"/>
    <cellStyle name="Normal 32 10 2 3" xfId="10870" xr:uid="{00000000-0005-0000-0000-0000742A0000}"/>
    <cellStyle name="Normal 32 10 3" xfId="10871" xr:uid="{00000000-0005-0000-0000-0000752A0000}"/>
    <cellStyle name="Normal 32 10 4" xfId="10872" xr:uid="{00000000-0005-0000-0000-0000762A0000}"/>
    <cellStyle name="Normal 32 11" xfId="10873" xr:uid="{00000000-0005-0000-0000-0000772A0000}"/>
    <cellStyle name="Normal 32 11 2" xfId="10874" xr:uid="{00000000-0005-0000-0000-0000782A0000}"/>
    <cellStyle name="Normal 32 11 2 2" xfId="10875" xr:uid="{00000000-0005-0000-0000-0000792A0000}"/>
    <cellStyle name="Normal 32 11 2 3" xfId="10876" xr:uid="{00000000-0005-0000-0000-00007A2A0000}"/>
    <cellStyle name="Normal 32 11 3" xfId="10877" xr:uid="{00000000-0005-0000-0000-00007B2A0000}"/>
    <cellStyle name="Normal 32 11 4" xfId="10878" xr:uid="{00000000-0005-0000-0000-00007C2A0000}"/>
    <cellStyle name="Normal 32 12" xfId="10879" xr:uid="{00000000-0005-0000-0000-00007D2A0000}"/>
    <cellStyle name="Normal 32 12 2" xfId="10880" xr:uid="{00000000-0005-0000-0000-00007E2A0000}"/>
    <cellStyle name="Normal 32 12 2 2" xfId="10881" xr:uid="{00000000-0005-0000-0000-00007F2A0000}"/>
    <cellStyle name="Normal 32 12 2 3" xfId="10882" xr:uid="{00000000-0005-0000-0000-0000802A0000}"/>
    <cellStyle name="Normal 32 12 3" xfId="10883" xr:uid="{00000000-0005-0000-0000-0000812A0000}"/>
    <cellStyle name="Normal 32 12 4" xfId="10884" xr:uid="{00000000-0005-0000-0000-0000822A0000}"/>
    <cellStyle name="Normal 32 13" xfId="10885" xr:uid="{00000000-0005-0000-0000-0000832A0000}"/>
    <cellStyle name="Normal 32 13 2" xfId="10886" xr:uid="{00000000-0005-0000-0000-0000842A0000}"/>
    <cellStyle name="Normal 32 13 2 2" xfId="10887" xr:uid="{00000000-0005-0000-0000-0000852A0000}"/>
    <cellStyle name="Normal 32 13 2 3" xfId="10888" xr:uid="{00000000-0005-0000-0000-0000862A0000}"/>
    <cellStyle name="Normal 32 13 3" xfId="10889" xr:uid="{00000000-0005-0000-0000-0000872A0000}"/>
    <cellStyle name="Normal 32 13 4" xfId="10890" xr:uid="{00000000-0005-0000-0000-0000882A0000}"/>
    <cellStyle name="Normal 32 14" xfId="10891" xr:uid="{00000000-0005-0000-0000-0000892A0000}"/>
    <cellStyle name="Normal 32 14 2" xfId="10892" xr:uid="{00000000-0005-0000-0000-00008A2A0000}"/>
    <cellStyle name="Normal 32 14 2 2" xfId="10893" xr:uid="{00000000-0005-0000-0000-00008B2A0000}"/>
    <cellStyle name="Normal 32 14 2 3" xfId="10894" xr:uid="{00000000-0005-0000-0000-00008C2A0000}"/>
    <cellStyle name="Normal 32 14 3" xfId="10895" xr:uid="{00000000-0005-0000-0000-00008D2A0000}"/>
    <cellStyle name="Normal 32 14 4" xfId="10896" xr:uid="{00000000-0005-0000-0000-00008E2A0000}"/>
    <cellStyle name="Normal 32 15" xfId="10897" xr:uid="{00000000-0005-0000-0000-00008F2A0000}"/>
    <cellStyle name="Normal 32 15 2" xfId="10898" xr:uid="{00000000-0005-0000-0000-0000902A0000}"/>
    <cellStyle name="Normal 32 15 2 2" xfId="10899" xr:uid="{00000000-0005-0000-0000-0000912A0000}"/>
    <cellStyle name="Normal 32 15 2 3" xfId="10900" xr:uid="{00000000-0005-0000-0000-0000922A0000}"/>
    <cellStyle name="Normal 32 15 3" xfId="10901" xr:uid="{00000000-0005-0000-0000-0000932A0000}"/>
    <cellStyle name="Normal 32 15 4" xfId="10902" xr:uid="{00000000-0005-0000-0000-0000942A0000}"/>
    <cellStyle name="Normal 32 16" xfId="10903" xr:uid="{00000000-0005-0000-0000-0000952A0000}"/>
    <cellStyle name="Normal 32 16 2" xfId="10904" xr:uid="{00000000-0005-0000-0000-0000962A0000}"/>
    <cellStyle name="Normal 32 16 2 2" xfId="10905" xr:uid="{00000000-0005-0000-0000-0000972A0000}"/>
    <cellStyle name="Normal 32 16 2 3" xfId="10906" xr:uid="{00000000-0005-0000-0000-0000982A0000}"/>
    <cellStyle name="Normal 32 16 3" xfId="10907" xr:uid="{00000000-0005-0000-0000-0000992A0000}"/>
    <cellStyle name="Normal 32 16 4" xfId="10908" xr:uid="{00000000-0005-0000-0000-00009A2A0000}"/>
    <cellStyle name="Normal 32 17" xfId="10909" xr:uid="{00000000-0005-0000-0000-00009B2A0000}"/>
    <cellStyle name="Normal 32 17 2" xfId="10910" xr:uid="{00000000-0005-0000-0000-00009C2A0000}"/>
    <cellStyle name="Normal 32 17 2 2" xfId="10911" xr:uid="{00000000-0005-0000-0000-00009D2A0000}"/>
    <cellStyle name="Normal 32 17 2 3" xfId="10912" xr:uid="{00000000-0005-0000-0000-00009E2A0000}"/>
    <cellStyle name="Normal 32 17 3" xfId="10913" xr:uid="{00000000-0005-0000-0000-00009F2A0000}"/>
    <cellStyle name="Normal 32 17 4" xfId="10914" xr:uid="{00000000-0005-0000-0000-0000A02A0000}"/>
    <cellStyle name="Normal 32 18" xfId="10915" xr:uid="{00000000-0005-0000-0000-0000A12A0000}"/>
    <cellStyle name="Normal 32 18 2" xfId="10916" xr:uid="{00000000-0005-0000-0000-0000A22A0000}"/>
    <cellStyle name="Normal 32 18 2 2" xfId="10917" xr:uid="{00000000-0005-0000-0000-0000A32A0000}"/>
    <cellStyle name="Normal 32 18 2 3" xfId="10918" xr:uid="{00000000-0005-0000-0000-0000A42A0000}"/>
    <cellStyle name="Normal 32 18 3" xfId="10919" xr:uid="{00000000-0005-0000-0000-0000A52A0000}"/>
    <cellStyle name="Normal 32 18 4" xfId="10920" xr:uid="{00000000-0005-0000-0000-0000A62A0000}"/>
    <cellStyle name="Normal 32 19" xfId="10921" xr:uid="{00000000-0005-0000-0000-0000A72A0000}"/>
    <cellStyle name="Normal 32 19 2" xfId="10922" xr:uid="{00000000-0005-0000-0000-0000A82A0000}"/>
    <cellStyle name="Normal 32 19 2 2" xfId="10923" xr:uid="{00000000-0005-0000-0000-0000A92A0000}"/>
    <cellStyle name="Normal 32 19 2 3" xfId="10924" xr:uid="{00000000-0005-0000-0000-0000AA2A0000}"/>
    <cellStyle name="Normal 32 19 3" xfId="10925" xr:uid="{00000000-0005-0000-0000-0000AB2A0000}"/>
    <cellStyle name="Normal 32 19 4" xfId="10926" xr:uid="{00000000-0005-0000-0000-0000AC2A0000}"/>
    <cellStyle name="Normal 32 2" xfId="10927" xr:uid="{00000000-0005-0000-0000-0000AD2A0000}"/>
    <cellStyle name="Normal 32 2 10" xfId="10928" xr:uid="{00000000-0005-0000-0000-0000AE2A0000}"/>
    <cellStyle name="Normal 32 2 10 2" xfId="10929" xr:uid="{00000000-0005-0000-0000-0000AF2A0000}"/>
    <cellStyle name="Normal 32 2 10 3" xfId="10930" xr:uid="{00000000-0005-0000-0000-0000B02A0000}"/>
    <cellStyle name="Normal 32 2 11" xfId="10931" xr:uid="{00000000-0005-0000-0000-0000B12A0000}"/>
    <cellStyle name="Normal 32 2 12" xfId="10932" xr:uid="{00000000-0005-0000-0000-0000B22A0000}"/>
    <cellStyle name="Normal 32 2 2" xfId="10933" xr:uid="{00000000-0005-0000-0000-0000B32A0000}"/>
    <cellStyle name="Normal 32 2 2 2" xfId="10934" xr:uid="{00000000-0005-0000-0000-0000B42A0000}"/>
    <cellStyle name="Normal 32 2 3" xfId="10935" xr:uid="{00000000-0005-0000-0000-0000B52A0000}"/>
    <cellStyle name="Normal 32 2 3 2" xfId="10936" xr:uid="{00000000-0005-0000-0000-0000B62A0000}"/>
    <cellStyle name="Normal 32 2 4" xfId="10937" xr:uid="{00000000-0005-0000-0000-0000B72A0000}"/>
    <cellStyle name="Normal 32 2 4 2" xfId="10938" xr:uid="{00000000-0005-0000-0000-0000B82A0000}"/>
    <cellStyle name="Normal 32 2 5" xfId="10939" xr:uid="{00000000-0005-0000-0000-0000B92A0000}"/>
    <cellStyle name="Normal 32 2 5 2" xfId="10940" xr:uid="{00000000-0005-0000-0000-0000BA2A0000}"/>
    <cellStyle name="Normal 32 2 6" xfId="10941" xr:uid="{00000000-0005-0000-0000-0000BB2A0000}"/>
    <cellStyle name="Normal 32 2 6 2" xfId="10942" xr:uid="{00000000-0005-0000-0000-0000BC2A0000}"/>
    <cellStyle name="Normal 32 2 7" xfId="10943" xr:uid="{00000000-0005-0000-0000-0000BD2A0000}"/>
    <cellStyle name="Normal 32 2 7 2" xfId="10944" xr:uid="{00000000-0005-0000-0000-0000BE2A0000}"/>
    <cellStyle name="Normal 32 2 8" xfId="10945" xr:uid="{00000000-0005-0000-0000-0000BF2A0000}"/>
    <cellStyle name="Normal 32 2 8 2" xfId="10946" xr:uid="{00000000-0005-0000-0000-0000C02A0000}"/>
    <cellStyle name="Normal 32 2 9" xfId="10947" xr:uid="{00000000-0005-0000-0000-0000C12A0000}"/>
    <cellStyle name="Normal 32 20" xfId="10948" xr:uid="{00000000-0005-0000-0000-0000C22A0000}"/>
    <cellStyle name="Normal 32 20 2" xfId="10949" xr:uid="{00000000-0005-0000-0000-0000C32A0000}"/>
    <cellStyle name="Normal 32 20 2 2" xfId="10950" xr:uid="{00000000-0005-0000-0000-0000C42A0000}"/>
    <cellStyle name="Normal 32 20 2 3" xfId="10951" xr:uid="{00000000-0005-0000-0000-0000C52A0000}"/>
    <cellStyle name="Normal 32 20 3" xfId="10952" xr:uid="{00000000-0005-0000-0000-0000C62A0000}"/>
    <cellStyle name="Normal 32 20 4" xfId="10953" xr:uid="{00000000-0005-0000-0000-0000C72A0000}"/>
    <cellStyle name="Normal 32 21" xfId="10954" xr:uid="{00000000-0005-0000-0000-0000C82A0000}"/>
    <cellStyle name="Normal 32 21 2" xfId="10955" xr:uid="{00000000-0005-0000-0000-0000C92A0000}"/>
    <cellStyle name="Normal 32 21 2 2" xfId="10956" xr:uid="{00000000-0005-0000-0000-0000CA2A0000}"/>
    <cellStyle name="Normal 32 21 2 3" xfId="10957" xr:uid="{00000000-0005-0000-0000-0000CB2A0000}"/>
    <cellStyle name="Normal 32 21 3" xfId="10958" xr:uid="{00000000-0005-0000-0000-0000CC2A0000}"/>
    <cellStyle name="Normal 32 21 4" xfId="10959" xr:uid="{00000000-0005-0000-0000-0000CD2A0000}"/>
    <cellStyle name="Normal 32 22" xfId="10960" xr:uid="{00000000-0005-0000-0000-0000CE2A0000}"/>
    <cellStyle name="Normal 32 22 2" xfId="10961" xr:uid="{00000000-0005-0000-0000-0000CF2A0000}"/>
    <cellStyle name="Normal 32 22 2 2" xfId="10962" xr:uid="{00000000-0005-0000-0000-0000D02A0000}"/>
    <cellStyle name="Normal 32 22 2 3" xfId="10963" xr:uid="{00000000-0005-0000-0000-0000D12A0000}"/>
    <cellStyle name="Normal 32 22 3" xfId="10964" xr:uid="{00000000-0005-0000-0000-0000D22A0000}"/>
    <cellStyle name="Normal 32 22 4" xfId="10965" xr:uid="{00000000-0005-0000-0000-0000D32A0000}"/>
    <cellStyle name="Normal 32 23" xfId="10966" xr:uid="{00000000-0005-0000-0000-0000D42A0000}"/>
    <cellStyle name="Normal 32 23 2" xfId="10967" xr:uid="{00000000-0005-0000-0000-0000D52A0000}"/>
    <cellStyle name="Normal 32 23 2 2" xfId="10968" xr:uid="{00000000-0005-0000-0000-0000D62A0000}"/>
    <cellStyle name="Normal 32 23 2 3" xfId="10969" xr:uid="{00000000-0005-0000-0000-0000D72A0000}"/>
    <cellStyle name="Normal 32 23 3" xfId="10970" xr:uid="{00000000-0005-0000-0000-0000D82A0000}"/>
    <cellStyle name="Normal 32 23 4" xfId="10971" xr:uid="{00000000-0005-0000-0000-0000D92A0000}"/>
    <cellStyle name="Normal 32 24" xfId="10972" xr:uid="{00000000-0005-0000-0000-0000DA2A0000}"/>
    <cellStyle name="Normal 32 24 2" xfId="10973" xr:uid="{00000000-0005-0000-0000-0000DB2A0000}"/>
    <cellStyle name="Normal 32 24 2 2" xfId="10974" xr:uid="{00000000-0005-0000-0000-0000DC2A0000}"/>
    <cellStyle name="Normal 32 24 2 3" xfId="10975" xr:uid="{00000000-0005-0000-0000-0000DD2A0000}"/>
    <cellStyle name="Normal 32 24 3" xfId="10976" xr:uid="{00000000-0005-0000-0000-0000DE2A0000}"/>
    <cellStyle name="Normal 32 24 4" xfId="10977" xr:uid="{00000000-0005-0000-0000-0000DF2A0000}"/>
    <cellStyle name="Normal 32 25" xfId="10978" xr:uid="{00000000-0005-0000-0000-0000E02A0000}"/>
    <cellStyle name="Normal 32 25 2" xfId="10979" xr:uid="{00000000-0005-0000-0000-0000E12A0000}"/>
    <cellStyle name="Normal 32 25 2 2" xfId="10980" xr:uid="{00000000-0005-0000-0000-0000E22A0000}"/>
    <cellStyle name="Normal 32 25 2 3" xfId="10981" xr:uid="{00000000-0005-0000-0000-0000E32A0000}"/>
    <cellStyle name="Normal 32 25 3" xfId="10982" xr:uid="{00000000-0005-0000-0000-0000E42A0000}"/>
    <cellStyle name="Normal 32 25 4" xfId="10983" xr:uid="{00000000-0005-0000-0000-0000E52A0000}"/>
    <cellStyle name="Normal 32 26" xfId="10984" xr:uid="{00000000-0005-0000-0000-0000E62A0000}"/>
    <cellStyle name="Normal 32 26 2" xfId="10985" xr:uid="{00000000-0005-0000-0000-0000E72A0000}"/>
    <cellStyle name="Normal 32 26 2 2" xfId="10986" xr:uid="{00000000-0005-0000-0000-0000E82A0000}"/>
    <cellStyle name="Normal 32 26 2 3" xfId="10987" xr:uid="{00000000-0005-0000-0000-0000E92A0000}"/>
    <cellStyle name="Normal 32 26 3" xfId="10988" xr:uid="{00000000-0005-0000-0000-0000EA2A0000}"/>
    <cellStyle name="Normal 32 26 4" xfId="10989" xr:uid="{00000000-0005-0000-0000-0000EB2A0000}"/>
    <cellStyle name="Normal 32 27" xfId="10990" xr:uid="{00000000-0005-0000-0000-0000EC2A0000}"/>
    <cellStyle name="Normal 32 27 2" xfId="10991" xr:uid="{00000000-0005-0000-0000-0000ED2A0000}"/>
    <cellStyle name="Normal 32 27 3" xfId="10992" xr:uid="{00000000-0005-0000-0000-0000EE2A0000}"/>
    <cellStyle name="Normal 32 28" xfId="10993" xr:uid="{00000000-0005-0000-0000-0000EF2A0000}"/>
    <cellStyle name="Normal 32 29" xfId="10994" xr:uid="{00000000-0005-0000-0000-0000F02A0000}"/>
    <cellStyle name="Normal 32 3" xfId="10995" xr:uid="{00000000-0005-0000-0000-0000F12A0000}"/>
    <cellStyle name="Normal 32 3 10" xfId="10996" xr:uid="{00000000-0005-0000-0000-0000F22A0000}"/>
    <cellStyle name="Normal 32 3 11" xfId="10997" xr:uid="{00000000-0005-0000-0000-0000F32A0000}"/>
    <cellStyle name="Normal 32 3 11 2" xfId="10998" xr:uid="{00000000-0005-0000-0000-0000F42A0000}"/>
    <cellStyle name="Normal 32 3 11 3" xfId="10999" xr:uid="{00000000-0005-0000-0000-0000F52A0000}"/>
    <cellStyle name="Normal 32 3 12" xfId="11000" xr:uid="{00000000-0005-0000-0000-0000F62A0000}"/>
    <cellStyle name="Normal 32 3 13" xfId="11001" xr:uid="{00000000-0005-0000-0000-0000F72A0000}"/>
    <cellStyle name="Normal 32 3 2" xfId="11002" xr:uid="{00000000-0005-0000-0000-0000F82A0000}"/>
    <cellStyle name="Normal 32 3 2 2" xfId="11003" xr:uid="{00000000-0005-0000-0000-0000F92A0000}"/>
    <cellStyle name="Normal 32 3 3" xfId="11004" xr:uid="{00000000-0005-0000-0000-0000FA2A0000}"/>
    <cellStyle name="Normal 32 3 3 2" xfId="11005" xr:uid="{00000000-0005-0000-0000-0000FB2A0000}"/>
    <cellStyle name="Normal 32 3 4" xfId="11006" xr:uid="{00000000-0005-0000-0000-0000FC2A0000}"/>
    <cellStyle name="Normal 32 3 4 2" xfId="11007" xr:uid="{00000000-0005-0000-0000-0000FD2A0000}"/>
    <cellStyle name="Normal 32 3 5" xfId="11008" xr:uid="{00000000-0005-0000-0000-0000FE2A0000}"/>
    <cellStyle name="Normal 32 3 5 2" xfId="11009" xr:uid="{00000000-0005-0000-0000-0000FF2A0000}"/>
    <cellStyle name="Normal 32 3 6" xfId="11010" xr:uid="{00000000-0005-0000-0000-0000002B0000}"/>
    <cellStyle name="Normal 32 3 6 2" xfId="11011" xr:uid="{00000000-0005-0000-0000-0000012B0000}"/>
    <cellStyle name="Normal 32 3 7" xfId="11012" xr:uid="{00000000-0005-0000-0000-0000022B0000}"/>
    <cellStyle name="Normal 32 3 7 2" xfId="11013" xr:uid="{00000000-0005-0000-0000-0000032B0000}"/>
    <cellStyle name="Normal 32 3 8" xfId="11014" xr:uid="{00000000-0005-0000-0000-0000042B0000}"/>
    <cellStyle name="Normal 32 3 8 2" xfId="11015" xr:uid="{00000000-0005-0000-0000-0000052B0000}"/>
    <cellStyle name="Normal 32 3 9" xfId="11016" xr:uid="{00000000-0005-0000-0000-0000062B0000}"/>
    <cellStyle name="Normal 32 3 9 2" xfId="11017" xr:uid="{00000000-0005-0000-0000-0000072B0000}"/>
    <cellStyle name="Normal 32 3 9 2 2" xfId="11018" xr:uid="{00000000-0005-0000-0000-0000082B0000}"/>
    <cellStyle name="Normal 32 3 9 2 3" xfId="11019" xr:uid="{00000000-0005-0000-0000-0000092B0000}"/>
    <cellStyle name="Normal 32 3 9 3" xfId="11020" xr:uid="{00000000-0005-0000-0000-00000A2B0000}"/>
    <cellStyle name="Normal 32 3 9 4" xfId="11021" xr:uid="{00000000-0005-0000-0000-00000B2B0000}"/>
    <cellStyle name="Normal 32 4" xfId="11022" xr:uid="{00000000-0005-0000-0000-00000C2B0000}"/>
    <cellStyle name="Normal 32 4 2" xfId="11023" xr:uid="{00000000-0005-0000-0000-00000D2B0000}"/>
    <cellStyle name="Normal 32 4 2 2" xfId="11024" xr:uid="{00000000-0005-0000-0000-00000E2B0000}"/>
    <cellStyle name="Normal 32 4 2 2 2" xfId="11025" xr:uid="{00000000-0005-0000-0000-00000F2B0000}"/>
    <cellStyle name="Normal 32 4 2 2 3" xfId="11026" xr:uid="{00000000-0005-0000-0000-0000102B0000}"/>
    <cellStyle name="Normal 32 4 2 3" xfId="11027" xr:uid="{00000000-0005-0000-0000-0000112B0000}"/>
    <cellStyle name="Normal 32 4 2 4" xfId="11028" xr:uid="{00000000-0005-0000-0000-0000122B0000}"/>
    <cellStyle name="Normal 32 4 3" xfId="11029" xr:uid="{00000000-0005-0000-0000-0000132B0000}"/>
    <cellStyle name="Normal 32 4 3 2" xfId="11030" xr:uid="{00000000-0005-0000-0000-0000142B0000}"/>
    <cellStyle name="Normal 32 4 3 2 2" xfId="11031" xr:uid="{00000000-0005-0000-0000-0000152B0000}"/>
    <cellStyle name="Normal 32 4 3 2 3" xfId="11032" xr:uid="{00000000-0005-0000-0000-0000162B0000}"/>
    <cellStyle name="Normal 32 4 3 3" xfId="11033" xr:uid="{00000000-0005-0000-0000-0000172B0000}"/>
    <cellStyle name="Normal 32 4 3 4" xfId="11034" xr:uid="{00000000-0005-0000-0000-0000182B0000}"/>
    <cellStyle name="Normal 32 4 4" xfId="11035" xr:uid="{00000000-0005-0000-0000-0000192B0000}"/>
    <cellStyle name="Normal 32 4 4 2" xfId="11036" xr:uid="{00000000-0005-0000-0000-00001A2B0000}"/>
    <cellStyle name="Normal 32 4 4 3" xfId="11037" xr:uid="{00000000-0005-0000-0000-00001B2B0000}"/>
    <cellStyle name="Normal 32 4 5" xfId="11038" xr:uid="{00000000-0005-0000-0000-00001C2B0000}"/>
    <cellStyle name="Normal 32 4 6" xfId="11039" xr:uid="{00000000-0005-0000-0000-00001D2B0000}"/>
    <cellStyle name="Normal 32 5" xfId="11040" xr:uid="{00000000-0005-0000-0000-00001E2B0000}"/>
    <cellStyle name="Normal 32 5 2" xfId="11041" xr:uid="{00000000-0005-0000-0000-00001F2B0000}"/>
    <cellStyle name="Normal 32 5 2 2" xfId="11042" xr:uid="{00000000-0005-0000-0000-0000202B0000}"/>
    <cellStyle name="Normal 32 5 2 2 2" xfId="11043" xr:uid="{00000000-0005-0000-0000-0000212B0000}"/>
    <cellStyle name="Normal 32 5 2 2 3" xfId="11044" xr:uid="{00000000-0005-0000-0000-0000222B0000}"/>
    <cellStyle name="Normal 32 5 2 3" xfId="11045" xr:uid="{00000000-0005-0000-0000-0000232B0000}"/>
    <cellStyle name="Normal 32 5 2 4" xfId="11046" xr:uid="{00000000-0005-0000-0000-0000242B0000}"/>
    <cellStyle name="Normal 32 5 3" xfId="11047" xr:uid="{00000000-0005-0000-0000-0000252B0000}"/>
    <cellStyle name="Normal 32 5 3 2" xfId="11048" xr:uid="{00000000-0005-0000-0000-0000262B0000}"/>
    <cellStyle name="Normal 32 5 3 2 2" xfId="11049" xr:uid="{00000000-0005-0000-0000-0000272B0000}"/>
    <cellStyle name="Normal 32 5 3 2 3" xfId="11050" xr:uid="{00000000-0005-0000-0000-0000282B0000}"/>
    <cellStyle name="Normal 32 5 3 3" xfId="11051" xr:uid="{00000000-0005-0000-0000-0000292B0000}"/>
    <cellStyle name="Normal 32 5 3 4" xfId="11052" xr:uid="{00000000-0005-0000-0000-00002A2B0000}"/>
    <cellStyle name="Normal 32 5 4" xfId="11053" xr:uid="{00000000-0005-0000-0000-00002B2B0000}"/>
    <cellStyle name="Normal 32 5 4 2" xfId="11054" xr:uid="{00000000-0005-0000-0000-00002C2B0000}"/>
    <cellStyle name="Normal 32 5 4 3" xfId="11055" xr:uid="{00000000-0005-0000-0000-00002D2B0000}"/>
    <cellStyle name="Normal 32 5 5" xfId="11056" xr:uid="{00000000-0005-0000-0000-00002E2B0000}"/>
    <cellStyle name="Normal 32 5 6" xfId="11057" xr:uid="{00000000-0005-0000-0000-00002F2B0000}"/>
    <cellStyle name="Normal 32 6" xfId="11058" xr:uid="{00000000-0005-0000-0000-0000302B0000}"/>
    <cellStyle name="Normal 32 6 2" xfId="11059" xr:uid="{00000000-0005-0000-0000-0000312B0000}"/>
    <cellStyle name="Normal 32 6 2 2" xfId="11060" xr:uid="{00000000-0005-0000-0000-0000322B0000}"/>
    <cellStyle name="Normal 32 6 2 2 2" xfId="11061" xr:uid="{00000000-0005-0000-0000-0000332B0000}"/>
    <cellStyle name="Normal 32 6 2 2 3" xfId="11062" xr:uid="{00000000-0005-0000-0000-0000342B0000}"/>
    <cellStyle name="Normal 32 6 2 3" xfId="11063" xr:uid="{00000000-0005-0000-0000-0000352B0000}"/>
    <cellStyle name="Normal 32 6 2 4" xfId="11064" xr:uid="{00000000-0005-0000-0000-0000362B0000}"/>
    <cellStyle name="Normal 32 6 3" xfId="11065" xr:uid="{00000000-0005-0000-0000-0000372B0000}"/>
    <cellStyle name="Normal 32 6 3 2" xfId="11066" xr:uid="{00000000-0005-0000-0000-0000382B0000}"/>
    <cellStyle name="Normal 32 6 3 3" xfId="11067" xr:uid="{00000000-0005-0000-0000-0000392B0000}"/>
    <cellStyle name="Normal 32 6 4" xfId="11068" xr:uid="{00000000-0005-0000-0000-00003A2B0000}"/>
    <cellStyle name="Normal 32 6 5" xfId="11069" xr:uid="{00000000-0005-0000-0000-00003B2B0000}"/>
    <cellStyle name="Normal 32 7" xfId="11070" xr:uid="{00000000-0005-0000-0000-00003C2B0000}"/>
    <cellStyle name="Normal 32 7 2" xfId="11071" xr:uid="{00000000-0005-0000-0000-00003D2B0000}"/>
    <cellStyle name="Normal 32 7 2 2" xfId="11072" xr:uid="{00000000-0005-0000-0000-00003E2B0000}"/>
    <cellStyle name="Normal 32 7 2 3" xfId="11073" xr:uid="{00000000-0005-0000-0000-00003F2B0000}"/>
    <cellStyle name="Normal 32 7 3" xfId="11074" xr:uid="{00000000-0005-0000-0000-0000402B0000}"/>
    <cellStyle name="Normal 32 7 4" xfId="11075" xr:uid="{00000000-0005-0000-0000-0000412B0000}"/>
    <cellStyle name="Normal 32 8" xfId="11076" xr:uid="{00000000-0005-0000-0000-0000422B0000}"/>
    <cellStyle name="Normal 32 8 2" xfId="11077" xr:uid="{00000000-0005-0000-0000-0000432B0000}"/>
    <cellStyle name="Normal 32 8 2 2" xfId="11078" xr:uid="{00000000-0005-0000-0000-0000442B0000}"/>
    <cellStyle name="Normal 32 8 2 3" xfId="11079" xr:uid="{00000000-0005-0000-0000-0000452B0000}"/>
    <cellStyle name="Normal 32 8 3" xfId="11080" xr:uid="{00000000-0005-0000-0000-0000462B0000}"/>
    <cellStyle name="Normal 32 8 4" xfId="11081" xr:uid="{00000000-0005-0000-0000-0000472B0000}"/>
    <cellStyle name="Normal 32 9" xfId="11082" xr:uid="{00000000-0005-0000-0000-0000482B0000}"/>
    <cellStyle name="Normal 32 9 2" xfId="11083" xr:uid="{00000000-0005-0000-0000-0000492B0000}"/>
    <cellStyle name="Normal 32 9 2 2" xfId="11084" xr:uid="{00000000-0005-0000-0000-00004A2B0000}"/>
    <cellStyle name="Normal 32 9 2 3" xfId="11085" xr:uid="{00000000-0005-0000-0000-00004B2B0000}"/>
    <cellStyle name="Normal 32 9 3" xfId="11086" xr:uid="{00000000-0005-0000-0000-00004C2B0000}"/>
    <cellStyle name="Normal 32 9 4" xfId="11087" xr:uid="{00000000-0005-0000-0000-00004D2B0000}"/>
    <cellStyle name="Normal 33" xfId="11088" xr:uid="{00000000-0005-0000-0000-00004E2B0000}"/>
    <cellStyle name="Normal 33 10" xfId="11089" xr:uid="{00000000-0005-0000-0000-00004F2B0000}"/>
    <cellStyle name="Normal 33 10 2" xfId="11090" xr:uid="{00000000-0005-0000-0000-0000502B0000}"/>
    <cellStyle name="Normal 33 10 2 2" xfId="11091" xr:uid="{00000000-0005-0000-0000-0000512B0000}"/>
    <cellStyle name="Normal 33 10 2 3" xfId="11092" xr:uid="{00000000-0005-0000-0000-0000522B0000}"/>
    <cellStyle name="Normal 33 10 3" xfId="11093" xr:uid="{00000000-0005-0000-0000-0000532B0000}"/>
    <cellStyle name="Normal 33 10 4" xfId="11094" xr:uid="{00000000-0005-0000-0000-0000542B0000}"/>
    <cellStyle name="Normal 33 11" xfId="11095" xr:uid="{00000000-0005-0000-0000-0000552B0000}"/>
    <cellStyle name="Normal 33 11 2" xfId="11096" xr:uid="{00000000-0005-0000-0000-0000562B0000}"/>
    <cellStyle name="Normal 33 11 2 2" xfId="11097" xr:uid="{00000000-0005-0000-0000-0000572B0000}"/>
    <cellStyle name="Normal 33 11 2 3" xfId="11098" xr:uid="{00000000-0005-0000-0000-0000582B0000}"/>
    <cellStyle name="Normal 33 11 3" xfId="11099" xr:uid="{00000000-0005-0000-0000-0000592B0000}"/>
    <cellStyle name="Normal 33 11 4" xfId="11100" xr:uid="{00000000-0005-0000-0000-00005A2B0000}"/>
    <cellStyle name="Normal 33 12" xfId="11101" xr:uid="{00000000-0005-0000-0000-00005B2B0000}"/>
    <cellStyle name="Normal 33 12 2" xfId="11102" xr:uid="{00000000-0005-0000-0000-00005C2B0000}"/>
    <cellStyle name="Normal 33 12 2 2" xfId="11103" xr:uid="{00000000-0005-0000-0000-00005D2B0000}"/>
    <cellStyle name="Normal 33 12 2 3" xfId="11104" xr:uid="{00000000-0005-0000-0000-00005E2B0000}"/>
    <cellStyle name="Normal 33 12 3" xfId="11105" xr:uid="{00000000-0005-0000-0000-00005F2B0000}"/>
    <cellStyle name="Normal 33 12 4" xfId="11106" xr:uid="{00000000-0005-0000-0000-0000602B0000}"/>
    <cellStyle name="Normal 33 13" xfId="11107" xr:uid="{00000000-0005-0000-0000-0000612B0000}"/>
    <cellStyle name="Normal 33 13 2" xfId="11108" xr:uid="{00000000-0005-0000-0000-0000622B0000}"/>
    <cellStyle name="Normal 33 13 2 2" xfId="11109" xr:uid="{00000000-0005-0000-0000-0000632B0000}"/>
    <cellStyle name="Normal 33 13 2 3" xfId="11110" xr:uid="{00000000-0005-0000-0000-0000642B0000}"/>
    <cellStyle name="Normal 33 13 3" xfId="11111" xr:uid="{00000000-0005-0000-0000-0000652B0000}"/>
    <cellStyle name="Normal 33 13 4" xfId="11112" xr:uid="{00000000-0005-0000-0000-0000662B0000}"/>
    <cellStyle name="Normal 33 14" xfId="11113" xr:uid="{00000000-0005-0000-0000-0000672B0000}"/>
    <cellStyle name="Normal 33 14 2" xfId="11114" xr:uid="{00000000-0005-0000-0000-0000682B0000}"/>
    <cellStyle name="Normal 33 14 2 2" xfId="11115" xr:uid="{00000000-0005-0000-0000-0000692B0000}"/>
    <cellStyle name="Normal 33 14 2 3" xfId="11116" xr:uid="{00000000-0005-0000-0000-00006A2B0000}"/>
    <cellStyle name="Normal 33 14 3" xfId="11117" xr:uid="{00000000-0005-0000-0000-00006B2B0000}"/>
    <cellStyle name="Normal 33 14 4" xfId="11118" xr:uid="{00000000-0005-0000-0000-00006C2B0000}"/>
    <cellStyle name="Normal 33 15" xfId="11119" xr:uid="{00000000-0005-0000-0000-00006D2B0000}"/>
    <cellStyle name="Normal 33 15 2" xfId="11120" xr:uid="{00000000-0005-0000-0000-00006E2B0000}"/>
    <cellStyle name="Normal 33 15 2 2" xfId="11121" xr:uid="{00000000-0005-0000-0000-00006F2B0000}"/>
    <cellStyle name="Normal 33 15 2 3" xfId="11122" xr:uid="{00000000-0005-0000-0000-0000702B0000}"/>
    <cellStyle name="Normal 33 15 3" xfId="11123" xr:uid="{00000000-0005-0000-0000-0000712B0000}"/>
    <cellStyle name="Normal 33 15 4" xfId="11124" xr:uid="{00000000-0005-0000-0000-0000722B0000}"/>
    <cellStyle name="Normal 33 16" xfId="11125" xr:uid="{00000000-0005-0000-0000-0000732B0000}"/>
    <cellStyle name="Normal 33 16 2" xfId="11126" xr:uid="{00000000-0005-0000-0000-0000742B0000}"/>
    <cellStyle name="Normal 33 16 2 2" xfId="11127" xr:uid="{00000000-0005-0000-0000-0000752B0000}"/>
    <cellStyle name="Normal 33 16 2 3" xfId="11128" xr:uid="{00000000-0005-0000-0000-0000762B0000}"/>
    <cellStyle name="Normal 33 16 3" xfId="11129" xr:uid="{00000000-0005-0000-0000-0000772B0000}"/>
    <cellStyle name="Normal 33 16 4" xfId="11130" xr:uid="{00000000-0005-0000-0000-0000782B0000}"/>
    <cellStyle name="Normal 33 17" xfId="11131" xr:uid="{00000000-0005-0000-0000-0000792B0000}"/>
    <cellStyle name="Normal 33 17 2" xfId="11132" xr:uid="{00000000-0005-0000-0000-00007A2B0000}"/>
    <cellStyle name="Normal 33 17 2 2" xfId="11133" xr:uid="{00000000-0005-0000-0000-00007B2B0000}"/>
    <cellStyle name="Normal 33 17 2 3" xfId="11134" xr:uid="{00000000-0005-0000-0000-00007C2B0000}"/>
    <cellStyle name="Normal 33 17 3" xfId="11135" xr:uid="{00000000-0005-0000-0000-00007D2B0000}"/>
    <cellStyle name="Normal 33 17 4" xfId="11136" xr:uid="{00000000-0005-0000-0000-00007E2B0000}"/>
    <cellStyle name="Normal 33 18" xfId="11137" xr:uid="{00000000-0005-0000-0000-00007F2B0000}"/>
    <cellStyle name="Normal 33 18 2" xfId="11138" xr:uid="{00000000-0005-0000-0000-0000802B0000}"/>
    <cellStyle name="Normal 33 18 2 2" xfId="11139" xr:uid="{00000000-0005-0000-0000-0000812B0000}"/>
    <cellStyle name="Normal 33 18 2 3" xfId="11140" xr:uid="{00000000-0005-0000-0000-0000822B0000}"/>
    <cellStyle name="Normal 33 18 3" xfId="11141" xr:uid="{00000000-0005-0000-0000-0000832B0000}"/>
    <cellStyle name="Normal 33 18 4" xfId="11142" xr:uid="{00000000-0005-0000-0000-0000842B0000}"/>
    <cellStyle name="Normal 33 19" xfId="11143" xr:uid="{00000000-0005-0000-0000-0000852B0000}"/>
    <cellStyle name="Normal 33 19 2" xfId="11144" xr:uid="{00000000-0005-0000-0000-0000862B0000}"/>
    <cellStyle name="Normal 33 19 2 2" xfId="11145" xr:uid="{00000000-0005-0000-0000-0000872B0000}"/>
    <cellStyle name="Normal 33 19 2 3" xfId="11146" xr:uid="{00000000-0005-0000-0000-0000882B0000}"/>
    <cellStyle name="Normal 33 19 3" xfId="11147" xr:uid="{00000000-0005-0000-0000-0000892B0000}"/>
    <cellStyle name="Normal 33 19 4" xfId="11148" xr:uid="{00000000-0005-0000-0000-00008A2B0000}"/>
    <cellStyle name="Normal 33 2" xfId="11149" xr:uid="{00000000-0005-0000-0000-00008B2B0000}"/>
    <cellStyle name="Normal 33 2 2" xfId="11150" xr:uid="{00000000-0005-0000-0000-00008C2B0000}"/>
    <cellStyle name="Normal 33 2 3" xfId="11151" xr:uid="{00000000-0005-0000-0000-00008D2B0000}"/>
    <cellStyle name="Normal 33 20" xfId="11152" xr:uid="{00000000-0005-0000-0000-00008E2B0000}"/>
    <cellStyle name="Normal 33 20 2" xfId="11153" xr:uid="{00000000-0005-0000-0000-00008F2B0000}"/>
    <cellStyle name="Normal 33 20 2 2" xfId="11154" xr:uid="{00000000-0005-0000-0000-0000902B0000}"/>
    <cellStyle name="Normal 33 20 2 3" xfId="11155" xr:uid="{00000000-0005-0000-0000-0000912B0000}"/>
    <cellStyle name="Normal 33 20 3" xfId="11156" xr:uid="{00000000-0005-0000-0000-0000922B0000}"/>
    <cellStyle name="Normal 33 20 4" xfId="11157" xr:uid="{00000000-0005-0000-0000-0000932B0000}"/>
    <cellStyle name="Normal 33 21" xfId="11158" xr:uid="{00000000-0005-0000-0000-0000942B0000}"/>
    <cellStyle name="Normal 33 21 2" xfId="11159" xr:uid="{00000000-0005-0000-0000-0000952B0000}"/>
    <cellStyle name="Normal 33 21 2 2" xfId="11160" xr:uid="{00000000-0005-0000-0000-0000962B0000}"/>
    <cellStyle name="Normal 33 21 2 3" xfId="11161" xr:uid="{00000000-0005-0000-0000-0000972B0000}"/>
    <cellStyle name="Normal 33 21 3" xfId="11162" xr:uid="{00000000-0005-0000-0000-0000982B0000}"/>
    <cellStyle name="Normal 33 21 4" xfId="11163" xr:uid="{00000000-0005-0000-0000-0000992B0000}"/>
    <cellStyle name="Normal 33 22" xfId="11164" xr:uid="{00000000-0005-0000-0000-00009A2B0000}"/>
    <cellStyle name="Normal 33 22 2" xfId="11165" xr:uid="{00000000-0005-0000-0000-00009B2B0000}"/>
    <cellStyle name="Normal 33 22 2 2" xfId="11166" xr:uid="{00000000-0005-0000-0000-00009C2B0000}"/>
    <cellStyle name="Normal 33 22 2 3" xfId="11167" xr:uid="{00000000-0005-0000-0000-00009D2B0000}"/>
    <cellStyle name="Normal 33 22 3" xfId="11168" xr:uid="{00000000-0005-0000-0000-00009E2B0000}"/>
    <cellStyle name="Normal 33 22 4" xfId="11169" xr:uid="{00000000-0005-0000-0000-00009F2B0000}"/>
    <cellStyle name="Normal 33 23" xfId="11170" xr:uid="{00000000-0005-0000-0000-0000A02B0000}"/>
    <cellStyle name="Normal 33 23 2" xfId="11171" xr:uid="{00000000-0005-0000-0000-0000A12B0000}"/>
    <cellStyle name="Normal 33 23 2 2" xfId="11172" xr:uid="{00000000-0005-0000-0000-0000A22B0000}"/>
    <cellStyle name="Normal 33 23 2 3" xfId="11173" xr:uid="{00000000-0005-0000-0000-0000A32B0000}"/>
    <cellStyle name="Normal 33 23 3" xfId="11174" xr:uid="{00000000-0005-0000-0000-0000A42B0000}"/>
    <cellStyle name="Normal 33 23 4" xfId="11175" xr:uid="{00000000-0005-0000-0000-0000A52B0000}"/>
    <cellStyle name="Normal 33 24" xfId="11176" xr:uid="{00000000-0005-0000-0000-0000A62B0000}"/>
    <cellStyle name="Normal 33 24 2" xfId="11177" xr:uid="{00000000-0005-0000-0000-0000A72B0000}"/>
    <cellStyle name="Normal 33 24 2 2" xfId="11178" xr:uid="{00000000-0005-0000-0000-0000A82B0000}"/>
    <cellStyle name="Normal 33 24 2 3" xfId="11179" xr:uid="{00000000-0005-0000-0000-0000A92B0000}"/>
    <cellStyle name="Normal 33 24 3" xfId="11180" xr:uid="{00000000-0005-0000-0000-0000AA2B0000}"/>
    <cellStyle name="Normal 33 24 4" xfId="11181" xr:uid="{00000000-0005-0000-0000-0000AB2B0000}"/>
    <cellStyle name="Normal 33 25" xfId="11182" xr:uid="{00000000-0005-0000-0000-0000AC2B0000}"/>
    <cellStyle name="Normal 33 25 2" xfId="11183" xr:uid="{00000000-0005-0000-0000-0000AD2B0000}"/>
    <cellStyle name="Normal 33 25 2 2" xfId="11184" xr:uid="{00000000-0005-0000-0000-0000AE2B0000}"/>
    <cellStyle name="Normal 33 25 2 3" xfId="11185" xr:uid="{00000000-0005-0000-0000-0000AF2B0000}"/>
    <cellStyle name="Normal 33 25 3" xfId="11186" xr:uid="{00000000-0005-0000-0000-0000B02B0000}"/>
    <cellStyle name="Normal 33 25 4" xfId="11187" xr:uid="{00000000-0005-0000-0000-0000B12B0000}"/>
    <cellStyle name="Normal 33 26" xfId="11188" xr:uid="{00000000-0005-0000-0000-0000B22B0000}"/>
    <cellStyle name="Normal 33 26 2" xfId="11189" xr:uid="{00000000-0005-0000-0000-0000B32B0000}"/>
    <cellStyle name="Normal 33 26 3" xfId="11190" xr:uid="{00000000-0005-0000-0000-0000B42B0000}"/>
    <cellStyle name="Normal 33 27" xfId="11191" xr:uid="{00000000-0005-0000-0000-0000B52B0000}"/>
    <cellStyle name="Normal 33 28" xfId="11192" xr:uid="{00000000-0005-0000-0000-0000B62B0000}"/>
    <cellStyle name="Normal 33 3" xfId="11193" xr:uid="{00000000-0005-0000-0000-0000B72B0000}"/>
    <cellStyle name="Normal 33 3 2" xfId="11194" xr:uid="{00000000-0005-0000-0000-0000B82B0000}"/>
    <cellStyle name="Normal 33 3 3" xfId="11195" xr:uid="{00000000-0005-0000-0000-0000B92B0000}"/>
    <cellStyle name="Normal 33 4" xfId="11196" xr:uid="{00000000-0005-0000-0000-0000BA2B0000}"/>
    <cellStyle name="Normal 33 4 2" xfId="11197" xr:uid="{00000000-0005-0000-0000-0000BB2B0000}"/>
    <cellStyle name="Normal 33 4 2 2" xfId="11198" xr:uid="{00000000-0005-0000-0000-0000BC2B0000}"/>
    <cellStyle name="Normal 33 4 2 3" xfId="11199" xr:uid="{00000000-0005-0000-0000-0000BD2B0000}"/>
    <cellStyle name="Normal 33 4 3" xfId="11200" xr:uid="{00000000-0005-0000-0000-0000BE2B0000}"/>
    <cellStyle name="Normal 33 4 4" xfId="11201" xr:uid="{00000000-0005-0000-0000-0000BF2B0000}"/>
    <cellStyle name="Normal 33 5" xfId="11202" xr:uid="{00000000-0005-0000-0000-0000C02B0000}"/>
    <cellStyle name="Normal 33 5 2" xfId="11203" xr:uid="{00000000-0005-0000-0000-0000C12B0000}"/>
    <cellStyle name="Normal 33 5 2 2" xfId="11204" xr:uid="{00000000-0005-0000-0000-0000C22B0000}"/>
    <cellStyle name="Normal 33 5 2 3" xfId="11205" xr:uid="{00000000-0005-0000-0000-0000C32B0000}"/>
    <cellStyle name="Normal 33 5 3" xfId="11206" xr:uid="{00000000-0005-0000-0000-0000C42B0000}"/>
    <cellStyle name="Normal 33 5 4" xfId="11207" xr:uid="{00000000-0005-0000-0000-0000C52B0000}"/>
    <cellStyle name="Normal 33 6" xfId="11208" xr:uid="{00000000-0005-0000-0000-0000C62B0000}"/>
    <cellStyle name="Normal 33 6 2" xfId="11209" xr:uid="{00000000-0005-0000-0000-0000C72B0000}"/>
    <cellStyle name="Normal 33 6 2 2" xfId="11210" xr:uid="{00000000-0005-0000-0000-0000C82B0000}"/>
    <cellStyle name="Normal 33 6 2 3" xfId="11211" xr:uid="{00000000-0005-0000-0000-0000C92B0000}"/>
    <cellStyle name="Normal 33 6 3" xfId="11212" xr:uid="{00000000-0005-0000-0000-0000CA2B0000}"/>
    <cellStyle name="Normal 33 6 4" xfId="11213" xr:uid="{00000000-0005-0000-0000-0000CB2B0000}"/>
    <cellStyle name="Normal 33 7" xfId="11214" xr:uid="{00000000-0005-0000-0000-0000CC2B0000}"/>
    <cellStyle name="Normal 33 7 2" xfId="11215" xr:uid="{00000000-0005-0000-0000-0000CD2B0000}"/>
    <cellStyle name="Normal 33 7 2 2" xfId="11216" xr:uid="{00000000-0005-0000-0000-0000CE2B0000}"/>
    <cellStyle name="Normal 33 7 2 3" xfId="11217" xr:uid="{00000000-0005-0000-0000-0000CF2B0000}"/>
    <cellStyle name="Normal 33 7 3" xfId="11218" xr:uid="{00000000-0005-0000-0000-0000D02B0000}"/>
    <cellStyle name="Normal 33 7 4" xfId="11219" xr:uid="{00000000-0005-0000-0000-0000D12B0000}"/>
    <cellStyle name="Normal 33 8" xfId="11220" xr:uid="{00000000-0005-0000-0000-0000D22B0000}"/>
    <cellStyle name="Normal 33 8 2" xfId="11221" xr:uid="{00000000-0005-0000-0000-0000D32B0000}"/>
    <cellStyle name="Normal 33 8 2 2" xfId="11222" xr:uid="{00000000-0005-0000-0000-0000D42B0000}"/>
    <cellStyle name="Normal 33 8 2 3" xfId="11223" xr:uid="{00000000-0005-0000-0000-0000D52B0000}"/>
    <cellStyle name="Normal 33 8 3" xfId="11224" xr:uid="{00000000-0005-0000-0000-0000D62B0000}"/>
    <cellStyle name="Normal 33 8 4" xfId="11225" xr:uid="{00000000-0005-0000-0000-0000D72B0000}"/>
    <cellStyle name="Normal 33 9" xfId="11226" xr:uid="{00000000-0005-0000-0000-0000D82B0000}"/>
    <cellStyle name="Normal 33 9 2" xfId="11227" xr:uid="{00000000-0005-0000-0000-0000D92B0000}"/>
    <cellStyle name="Normal 33 9 2 2" xfId="11228" xr:uid="{00000000-0005-0000-0000-0000DA2B0000}"/>
    <cellStyle name="Normal 33 9 2 3" xfId="11229" xr:uid="{00000000-0005-0000-0000-0000DB2B0000}"/>
    <cellStyle name="Normal 33 9 3" xfId="11230" xr:uid="{00000000-0005-0000-0000-0000DC2B0000}"/>
    <cellStyle name="Normal 33 9 4" xfId="11231" xr:uid="{00000000-0005-0000-0000-0000DD2B0000}"/>
    <cellStyle name="Normal 34" xfId="11232" xr:uid="{00000000-0005-0000-0000-0000DE2B0000}"/>
    <cellStyle name="Normal 34 10" xfId="11233" xr:uid="{00000000-0005-0000-0000-0000DF2B0000}"/>
    <cellStyle name="Normal 34 10 2" xfId="11234" xr:uid="{00000000-0005-0000-0000-0000E02B0000}"/>
    <cellStyle name="Normal 34 10 2 2" xfId="11235" xr:uid="{00000000-0005-0000-0000-0000E12B0000}"/>
    <cellStyle name="Normal 34 10 2 3" xfId="11236" xr:uid="{00000000-0005-0000-0000-0000E22B0000}"/>
    <cellStyle name="Normal 34 10 3" xfId="11237" xr:uid="{00000000-0005-0000-0000-0000E32B0000}"/>
    <cellStyle name="Normal 34 10 4" xfId="11238" xr:uid="{00000000-0005-0000-0000-0000E42B0000}"/>
    <cellStyle name="Normal 34 11" xfId="11239" xr:uid="{00000000-0005-0000-0000-0000E52B0000}"/>
    <cellStyle name="Normal 34 11 2" xfId="11240" xr:uid="{00000000-0005-0000-0000-0000E62B0000}"/>
    <cellStyle name="Normal 34 11 2 2" xfId="11241" xr:uid="{00000000-0005-0000-0000-0000E72B0000}"/>
    <cellStyle name="Normal 34 11 2 3" xfId="11242" xr:uid="{00000000-0005-0000-0000-0000E82B0000}"/>
    <cellStyle name="Normal 34 11 3" xfId="11243" xr:uid="{00000000-0005-0000-0000-0000E92B0000}"/>
    <cellStyle name="Normal 34 11 4" xfId="11244" xr:uid="{00000000-0005-0000-0000-0000EA2B0000}"/>
    <cellStyle name="Normal 34 12" xfId="11245" xr:uid="{00000000-0005-0000-0000-0000EB2B0000}"/>
    <cellStyle name="Normal 34 12 2" xfId="11246" xr:uid="{00000000-0005-0000-0000-0000EC2B0000}"/>
    <cellStyle name="Normal 34 12 2 2" xfId="11247" xr:uid="{00000000-0005-0000-0000-0000ED2B0000}"/>
    <cellStyle name="Normal 34 12 2 3" xfId="11248" xr:uid="{00000000-0005-0000-0000-0000EE2B0000}"/>
    <cellStyle name="Normal 34 12 3" xfId="11249" xr:uid="{00000000-0005-0000-0000-0000EF2B0000}"/>
    <cellStyle name="Normal 34 12 4" xfId="11250" xr:uid="{00000000-0005-0000-0000-0000F02B0000}"/>
    <cellStyle name="Normal 34 13" xfId="11251" xr:uid="{00000000-0005-0000-0000-0000F12B0000}"/>
    <cellStyle name="Normal 34 13 2" xfId="11252" xr:uid="{00000000-0005-0000-0000-0000F22B0000}"/>
    <cellStyle name="Normal 34 13 2 2" xfId="11253" xr:uid="{00000000-0005-0000-0000-0000F32B0000}"/>
    <cellStyle name="Normal 34 13 2 3" xfId="11254" xr:uid="{00000000-0005-0000-0000-0000F42B0000}"/>
    <cellStyle name="Normal 34 13 3" xfId="11255" xr:uid="{00000000-0005-0000-0000-0000F52B0000}"/>
    <cellStyle name="Normal 34 13 4" xfId="11256" xr:uid="{00000000-0005-0000-0000-0000F62B0000}"/>
    <cellStyle name="Normal 34 14" xfId="11257" xr:uid="{00000000-0005-0000-0000-0000F72B0000}"/>
    <cellStyle name="Normal 34 14 2" xfId="11258" xr:uid="{00000000-0005-0000-0000-0000F82B0000}"/>
    <cellStyle name="Normal 34 14 2 2" xfId="11259" xr:uid="{00000000-0005-0000-0000-0000F92B0000}"/>
    <cellStyle name="Normal 34 14 2 3" xfId="11260" xr:uid="{00000000-0005-0000-0000-0000FA2B0000}"/>
    <cellStyle name="Normal 34 14 3" xfId="11261" xr:uid="{00000000-0005-0000-0000-0000FB2B0000}"/>
    <cellStyle name="Normal 34 14 4" xfId="11262" xr:uid="{00000000-0005-0000-0000-0000FC2B0000}"/>
    <cellStyle name="Normal 34 15" xfId="11263" xr:uid="{00000000-0005-0000-0000-0000FD2B0000}"/>
    <cellStyle name="Normal 34 15 2" xfId="11264" xr:uid="{00000000-0005-0000-0000-0000FE2B0000}"/>
    <cellStyle name="Normal 34 15 2 2" xfId="11265" xr:uid="{00000000-0005-0000-0000-0000FF2B0000}"/>
    <cellStyle name="Normal 34 15 2 3" xfId="11266" xr:uid="{00000000-0005-0000-0000-0000002C0000}"/>
    <cellStyle name="Normal 34 15 3" xfId="11267" xr:uid="{00000000-0005-0000-0000-0000012C0000}"/>
    <cellStyle name="Normal 34 15 4" xfId="11268" xr:uid="{00000000-0005-0000-0000-0000022C0000}"/>
    <cellStyle name="Normal 34 16" xfId="11269" xr:uid="{00000000-0005-0000-0000-0000032C0000}"/>
    <cellStyle name="Normal 34 16 2" xfId="11270" xr:uid="{00000000-0005-0000-0000-0000042C0000}"/>
    <cellStyle name="Normal 34 16 2 2" xfId="11271" xr:uid="{00000000-0005-0000-0000-0000052C0000}"/>
    <cellStyle name="Normal 34 16 2 3" xfId="11272" xr:uid="{00000000-0005-0000-0000-0000062C0000}"/>
    <cellStyle name="Normal 34 16 3" xfId="11273" xr:uid="{00000000-0005-0000-0000-0000072C0000}"/>
    <cellStyle name="Normal 34 16 4" xfId="11274" xr:uid="{00000000-0005-0000-0000-0000082C0000}"/>
    <cellStyle name="Normal 34 17" xfId="11275" xr:uid="{00000000-0005-0000-0000-0000092C0000}"/>
    <cellStyle name="Normal 34 17 2" xfId="11276" xr:uid="{00000000-0005-0000-0000-00000A2C0000}"/>
    <cellStyle name="Normal 34 17 2 2" xfId="11277" xr:uid="{00000000-0005-0000-0000-00000B2C0000}"/>
    <cellStyle name="Normal 34 17 2 3" xfId="11278" xr:uid="{00000000-0005-0000-0000-00000C2C0000}"/>
    <cellStyle name="Normal 34 17 3" xfId="11279" xr:uid="{00000000-0005-0000-0000-00000D2C0000}"/>
    <cellStyle name="Normal 34 17 4" xfId="11280" xr:uid="{00000000-0005-0000-0000-00000E2C0000}"/>
    <cellStyle name="Normal 34 18" xfId="11281" xr:uid="{00000000-0005-0000-0000-00000F2C0000}"/>
    <cellStyle name="Normal 34 18 2" xfId="11282" xr:uid="{00000000-0005-0000-0000-0000102C0000}"/>
    <cellStyle name="Normal 34 18 2 2" xfId="11283" xr:uid="{00000000-0005-0000-0000-0000112C0000}"/>
    <cellStyle name="Normal 34 18 2 3" xfId="11284" xr:uid="{00000000-0005-0000-0000-0000122C0000}"/>
    <cellStyle name="Normal 34 18 3" xfId="11285" xr:uid="{00000000-0005-0000-0000-0000132C0000}"/>
    <cellStyle name="Normal 34 18 4" xfId="11286" xr:uid="{00000000-0005-0000-0000-0000142C0000}"/>
    <cellStyle name="Normal 34 19" xfId="11287" xr:uid="{00000000-0005-0000-0000-0000152C0000}"/>
    <cellStyle name="Normal 34 19 2" xfId="11288" xr:uid="{00000000-0005-0000-0000-0000162C0000}"/>
    <cellStyle name="Normal 34 19 2 2" xfId="11289" xr:uid="{00000000-0005-0000-0000-0000172C0000}"/>
    <cellStyle name="Normal 34 19 2 3" xfId="11290" xr:uid="{00000000-0005-0000-0000-0000182C0000}"/>
    <cellStyle name="Normal 34 19 3" xfId="11291" xr:uid="{00000000-0005-0000-0000-0000192C0000}"/>
    <cellStyle name="Normal 34 19 4" xfId="11292" xr:uid="{00000000-0005-0000-0000-00001A2C0000}"/>
    <cellStyle name="Normal 34 2" xfId="11293" xr:uid="{00000000-0005-0000-0000-00001B2C0000}"/>
    <cellStyle name="Normal 34 2 2" xfId="11294" xr:uid="{00000000-0005-0000-0000-00001C2C0000}"/>
    <cellStyle name="Normal 34 2 3" xfId="11295" xr:uid="{00000000-0005-0000-0000-00001D2C0000}"/>
    <cellStyle name="Normal 34 20" xfId="11296" xr:uid="{00000000-0005-0000-0000-00001E2C0000}"/>
    <cellStyle name="Normal 34 20 2" xfId="11297" xr:uid="{00000000-0005-0000-0000-00001F2C0000}"/>
    <cellStyle name="Normal 34 20 2 2" xfId="11298" xr:uid="{00000000-0005-0000-0000-0000202C0000}"/>
    <cellStyle name="Normal 34 20 2 3" xfId="11299" xr:uid="{00000000-0005-0000-0000-0000212C0000}"/>
    <cellStyle name="Normal 34 20 3" xfId="11300" xr:uid="{00000000-0005-0000-0000-0000222C0000}"/>
    <cellStyle name="Normal 34 20 4" xfId="11301" xr:uid="{00000000-0005-0000-0000-0000232C0000}"/>
    <cellStyle name="Normal 34 21" xfId="11302" xr:uid="{00000000-0005-0000-0000-0000242C0000}"/>
    <cellStyle name="Normal 34 21 2" xfId="11303" xr:uid="{00000000-0005-0000-0000-0000252C0000}"/>
    <cellStyle name="Normal 34 21 2 2" xfId="11304" xr:uid="{00000000-0005-0000-0000-0000262C0000}"/>
    <cellStyle name="Normal 34 21 2 3" xfId="11305" xr:uid="{00000000-0005-0000-0000-0000272C0000}"/>
    <cellStyle name="Normal 34 21 3" xfId="11306" xr:uid="{00000000-0005-0000-0000-0000282C0000}"/>
    <cellStyle name="Normal 34 21 4" xfId="11307" xr:uid="{00000000-0005-0000-0000-0000292C0000}"/>
    <cellStyle name="Normal 34 22" xfId="11308" xr:uid="{00000000-0005-0000-0000-00002A2C0000}"/>
    <cellStyle name="Normal 34 22 2" xfId="11309" xr:uid="{00000000-0005-0000-0000-00002B2C0000}"/>
    <cellStyle name="Normal 34 22 2 2" xfId="11310" xr:uid="{00000000-0005-0000-0000-00002C2C0000}"/>
    <cellStyle name="Normal 34 22 2 3" xfId="11311" xr:uid="{00000000-0005-0000-0000-00002D2C0000}"/>
    <cellStyle name="Normal 34 22 3" xfId="11312" xr:uid="{00000000-0005-0000-0000-00002E2C0000}"/>
    <cellStyle name="Normal 34 22 4" xfId="11313" xr:uid="{00000000-0005-0000-0000-00002F2C0000}"/>
    <cellStyle name="Normal 34 23" xfId="11314" xr:uid="{00000000-0005-0000-0000-0000302C0000}"/>
    <cellStyle name="Normal 34 23 2" xfId="11315" xr:uid="{00000000-0005-0000-0000-0000312C0000}"/>
    <cellStyle name="Normal 34 23 2 2" xfId="11316" xr:uid="{00000000-0005-0000-0000-0000322C0000}"/>
    <cellStyle name="Normal 34 23 2 3" xfId="11317" xr:uid="{00000000-0005-0000-0000-0000332C0000}"/>
    <cellStyle name="Normal 34 23 3" xfId="11318" xr:uid="{00000000-0005-0000-0000-0000342C0000}"/>
    <cellStyle name="Normal 34 23 4" xfId="11319" xr:uid="{00000000-0005-0000-0000-0000352C0000}"/>
    <cellStyle name="Normal 34 24" xfId="11320" xr:uid="{00000000-0005-0000-0000-0000362C0000}"/>
    <cellStyle name="Normal 34 24 2" xfId="11321" xr:uid="{00000000-0005-0000-0000-0000372C0000}"/>
    <cellStyle name="Normal 34 24 2 2" xfId="11322" xr:uid="{00000000-0005-0000-0000-0000382C0000}"/>
    <cellStyle name="Normal 34 24 2 3" xfId="11323" xr:uid="{00000000-0005-0000-0000-0000392C0000}"/>
    <cellStyle name="Normal 34 24 3" xfId="11324" xr:uid="{00000000-0005-0000-0000-00003A2C0000}"/>
    <cellStyle name="Normal 34 24 4" xfId="11325" xr:uid="{00000000-0005-0000-0000-00003B2C0000}"/>
    <cellStyle name="Normal 34 25" xfId="11326" xr:uid="{00000000-0005-0000-0000-00003C2C0000}"/>
    <cellStyle name="Normal 34 25 2" xfId="11327" xr:uid="{00000000-0005-0000-0000-00003D2C0000}"/>
    <cellStyle name="Normal 34 25 2 2" xfId="11328" xr:uid="{00000000-0005-0000-0000-00003E2C0000}"/>
    <cellStyle name="Normal 34 25 2 3" xfId="11329" xr:uid="{00000000-0005-0000-0000-00003F2C0000}"/>
    <cellStyle name="Normal 34 25 3" xfId="11330" xr:uid="{00000000-0005-0000-0000-0000402C0000}"/>
    <cellStyle name="Normal 34 25 4" xfId="11331" xr:uid="{00000000-0005-0000-0000-0000412C0000}"/>
    <cellStyle name="Normal 34 26" xfId="11332" xr:uid="{00000000-0005-0000-0000-0000422C0000}"/>
    <cellStyle name="Normal 34 26 2" xfId="11333" xr:uid="{00000000-0005-0000-0000-0000432C0000}"/>
    <cellStyle name="Normal 34 26 3" xfId="11334" xr:uid="{00000000-0005-0000-0000-0000442C0000}"/>
    <cellStyle name="Normal 34 27" xfId="11335" xr:uid="{00000000-0005-0000-0000-0000452C0000}"/>
    <cellStyle name="Normal 34 28" xfId="11336" xr:uid="{00000000-0005-0000-0000-0000462C0000}"/>
    <cellStyle name="Normal 34 3" xfId="11337" xr:uid="{00000000-0005-0000-0000-0000472C0000}"/>
    <cellStyle name="Normal 34 3 2" xfId="11338" xr:uid="{00000000-0005-0000-0000-0000482C0000}"/>
    <cellStyle name="Normal 34 3 3" xfId="11339" xr:uid="{00000000-0005-0000-0000-0000492C0000}"/>
    <cellStyle name="Normal 34 4" xfId="11340" xr:uid="{00000000-0005-0000-0000-00004A2C0000}"/>
    <cellStyle name="Normal 34 4 2" xfId="11341" xr:uid="{00000000-0005-0000-0000-00004B2C0000}"/>
    <cellStyle name="Normal 34 4 2 2" xfId="11342" xr:uid="{00000000-0005-0000-0000-00004C2C0000}"/>
    <cellStyle name="Normal 34 4 2 3" xfId="11343" xr:uid="{00000000-0005-0000-0000-00004D2C0000}"/>
    <cellStyle name="Normal 34 4 3" xfId="11344" xr:uid="{00000000-0005-0000-0000-00004E2C0000}"/>
    <cellStyle name="Normal 34 4 4" xfId="11345" xr:uid="{00000000-0005-0000-0000-00004F2C0000}"/>
    <cellStyle name="Normal 34 5" xfId="11346" xr:uid="{00000000-0005-0000-0000-0000502C0000}"/>
    <cellStyle name="Normal 34 5 2" xfId="11347" xr:uid="{00000000-0005-0000-0000-0000512C0000}"/>
    <cellStyle name="Normal 34 5 2 2" xfId="11348" xr:uid="{00000000-0005-0000-0000-0000522C0000}"/>
    <cellStyle name="Normal 34 5 2 3" xfId="11349" xr:uid="{00000000-0005-0000-0000-0000532C0000}"/>
    <cellStyle name="Normal 34 5 3" xfId="11350" xr:uid="{00000000-0005-0000-0000-0000542C0000}"/>
    <cellStyle name="Normal 34 5 4" xfId="11351" xr:uid="{00000000-0005-0000-0000-0000552C0000}"/>
    <cellStyle name="Normal 34 6" xfId="11352" xr:uid="{00000000-0005-0000-0000-0000562C0000}"/>
    <cellStyle name="Normal 34 6 2" xfId="11353" xr:uid="{00000000-0005-0000-0000-0000572C0000}"/>
    <cellStyle name="Normal 34 6 2 2" xfId="11354" xr:uid="{00000000-0005-0000-0000-0000582C0000}"/>
    <cellStyle name="Normal 34 6 2 3" xfId="11355" xr:uid="{00000000-0005-0000-0000-0000592C0000}"/>
    <cellStyle name="Normal 34 6 3" xfId="11356" xr:uid="{00000000-0005-0000-0000-00005A2C0000}"/>
    <cellStyle name="Normal 34 6 4" xfId="11357" xr:uid="{00000000-0005-0000-0000-00005B2C0000}"/>
    <cellStyle name="Normal 34 7" xfId="11358" xr:uid="{00000000-0005-0000-0000-00005C2C0000}"/>
    <cellStyle name="Normal 34 7 2" xfId="11359" xr:uid="{00000000-0005-0000-0000-00005D2C0000}"/>
    <cellStyle name="Normal 34 7 2 2" xfId="11360" xr:uid="{00000000-0005-0000-0000-00005E2C0000}"/>
    <cellStyle name="Normal 34 7 2 3" xfId="11361" xr:uid="{00000000-0005-0000-0000-00005F2C0000}"/>
    <cellStyle name="Normal 34 7 3" xfId="11362" xr:uid="{00000000-0005-0000-0000-0000602C0000}"/>
    <cellStyle name="Normal 34 7 4" xfId="11363" xr:uid="{00000000-0005-0000-0000-0000612C0000}"/>
    <cellStyle name="Normal 34 8" xfId="11364" xr:uid="{00000000-0005-0000-0000-0000622C0000}"/>
    <cellStyle name="Normal 34 8 2" xfId="11365" xr:uid="{00000000-0005-0000-0000-0000632C0000}"/>
    <cellStyle name="Normal 34 8 2 2" xfId="11366" xr:uid="{00000000-0005-0000-0000-0000642C0000}"/>
    <cellStyle name="Normal 34 8 2 3" xfId="11367" xr:uid="{00000000-0005-0000-0000-0000652C0000}"/>
    <cellStyle name="Normal 34 8 3" xfId="11368" xr:uid="{00000000-0005-0000-0000-0000662C0000}"/>
    <cellStyle name="Normal 34 8 4" xfId="11369" xr:uid="{00000000-0005-0000-0000-0000672C0000}"/>
    <cellStyle name="Normal 34 9" xfId="11370" xr:uid="{00000000-0005-0000-0000-0000682C0000}"/>
    <cellStyle name="Normal 34 9 2" xfId="11371" xr:uid="{00000000-0005-0000-0000-0000692C0000}"/>
    <cellStyle name="Normal 34 9 2 2" xfId="11372" xr:uid="{00000000-0005-0000-0000-00006A2C0000}"/>
    <cellStyle name="Normal 34 9 2 3" xfId="11373" xr:uid="{00000000-0005-0000-0000-00006B2C0000}"/>
    <cellStyle name="Normal 34 9 3" xfId="11374" xr:uid="{00000000-0005-0000-0000-00006C2C0000}"/>
    <cellStyle name="Normal 34 9 4" xfId="11375" xr:uid="{00000000-0005-0000-0000-00006D2C0000}"/>
    <cellStyle name="Normal 35" xfId="11376" xr:uid="{00000000-0005-0000-0000-00006E2C0000}"/>
    <cellStyle name="Normal 35 10" xfId="11377" xr:uid="{00000000-0005-0000-0000-00006F2C0000}"/>
    <cellStyle name="Normal 35 10 2" xfId="11378" xr:uid="{00000000-0005-0000-0000-0000702C0000}"/>
    <cellStyle name="Normal 35 10 2 2" xfId="11379" xr:uid="{00000000-0005-0000-0000-0000712C0000}"/>
    <cellStyle name="Normal 35 10 2 3" xfId="11380" xr:uid="{00000000-0005-0000-0000-0000722C0000}"/>
    <cellStyle name="Normal 35 10 3" xfId="11381" xr:uid="{00000000-0005-0000-0000-0000732C0000}"/>
    <cellStyle name="Normal 35 10 4" xfId="11382" xr:uid="{00000000-0005-0000-0000-0000742C0000}"/>
    <cellStyle name="Normal 35 11" xfId="11383" xr:uid="{00000000-0005-0000-0000-0000752C0000}"/>
    <cellStyle name="Normal 35 11 2" xfId="11384" xr:uid="{00000000-0005-0000-0000-0000762C0000}"/>
    <cellStyle name="Normal 35 11 2 2" xfId="11385" xr:uid="{00000000-0005-0000-0000-0000772C0000}"/>
    <cellStyle name="Normal 35 11 2 3" xfId="11386" xr:uid="{00000000-0005-0000-0000-0000782C0000}"/>
    <cellStyle name="Normal 35 11 3" xfId="11387" xr:uid="{00000000-0005-0000-0000-0000792C0000}"/>
    <cellStyle name="Normal 35 11 4" xfId="11388" xr:uid="{00000000-0005-0000-0000-00007A2C0000}"/>
    <cellStyle name="Normal 35 12" xfId="11389" xr:uid="{00000000-0005-0000-0000-00007B2C0000}"/>
    <cellStyle name="Normal 35 12 2" xfId="11390" xr:uid="{00000000-0005-0000-0000-00007C2C0000}"/>
    <cellStyle name="Normal 35 12 2 2" xfId="11391" xr:uid="{00000000-0005-0000-0000-00007D2C0000}"/>
    <cellStyle name="Normal 35 12 2 3" xfId="11392" xr:uid="{00000000-0005-0000-0000-00007E2C0000}"/>
    <cellStyle name="Normal 35 12 3" xfId="11393" xr:uid="{00000000-0005-0000-0000-00007F2C0000}"/>
    <cellStyle name="Normal 35 12 4" xfId="11394" xr:uid="{00000000-0005-0000-0000-0000802C0000}"/>
    <cellStyle name="Normal 35 13" xfId="11395" xr:uid="{00000000-0005-0000-0000-0000812C0000}"/>
    <cellStyle name="Normal 35 13 2" xfId="11396" xr:uid="{00000000-0005-0000-0000-0000822C0000}"/>
    <cellStyle name="Normal 35 13 2 2" xfId="11397" xr:uid="{00000000-0005-0000-0000-0000832C0000}"/>
    <cellStyle name="Normal 35 13 2 3" xfId="11398" xr:uid="{00000000-0005-0000-0000-0000842C0000}"/>
    <cellStyle name="Normal 35 13 3" xfId="11399" xr:uid="{00000000-0005-0000-0000-0000852C0000}"/>
    <cellStyle name="Normal 35 13 4" xfId="11400" xr:uid="{00000000-0005-0000-0000-0000862C0000}"/>
    <cellStyle name="Normal 35 14" xfId="11401" xr:uid="{00000000-0005-0000-0000-0000872C0000}"/>
    <cellStyle name="Normal 35 14 2" xfId="11402" xr:uid="{00000000-0005-0000-0000-0000882C0000}"/>
    <cellStyle name="Normal 35 14 2 2" xfId="11403" xr:uid="{00000000-0005-0000-0000-0000892C0000}"/>
    <cellStyle name="Normal 35 14 2 3" xfId="11404" xr:uid="{00000000-0005-0000-0000-00008A2C0000}"/>
    <cellStyle name="Normal 35 14 3" xfId="11405" xr:uid="{00000000-0005-0000-0000-00008B2C0000}"/>
    <cellStyle name="Normal 35 14 4" xfId="11406" xr:uid="{00000000-0005-0000-0000-00008C2C0000}"/>
    <cellStyle name="Normal 35 15" xfId="11407" xr:uid="{00000000-0005-0000-0000-00008D2C0000}"/>
    <cellStyle name="Normal 35 15 2" xfId="11408" xr:uid="{00000000-0005-0000-0000-00008E2C0000}"/>
    <cellStyle name="Normal 35 15 2 2" xfId="11409" xr:uid="{00000000-0005-0000-0000-00008F2C0000}"/>
    <cellStyle name="Normal 35 15 2 3" xfId="11410" xr:uid="{00000000-0005-0000-0000-0000902C0000}"/>
    <cellStyle name="Normal 35 15 3" xfId="11411" xr:uid="{00000000-0005-0000-0000-0000912C0000}"/>
    <cellStyle name="Normal 35 15 4" xfId="11412" xr:uid="{00000000-0005-0000-0000-0000922C0000}"/>
    <cellStyle name="Normal 35 16" xfId="11413" xr:uid="{00000000-0005-0000-0000-0000932C0000}"/>
    <cellStyle name="Normal 35 16 2" xfId="11414" xr:uid="{00000000-0005-0000-0000-0000942C0000}"/>
    <cellStyle name="Normal 35 16 2 2" xfId="11415" xr:uid="{00000000-0005-0000-0000-0000952C0000}"/>
    <cellStyle name="Normal 35 16 2 3" xfId="11416" xr:uid="{00000000-0005-0000-0000-0000962C0000}"/>
    <cellStyle name="Normal 35 16 3" xfId="11417" xr:uid="{00000000-0005-0000-0000-0000972C0000}"/>
    <cellStyle name="Normal 35 16 4" xfId="11418" xr:uid="{00000000-0005-0000-0000-0000982C0000}"/>
    <cellStyle name="Normal 35 17" xfId="11419" xr:uid="{00000000-0005-0000-0000-0000992C0000}"/>
    <cellStyle name="Normal 35 17 2" xfId="11420" xr:uid="{00000000-0005-0000-0000-00009A2C0000}"/>
    <cellStyle name="Normal 35 17 2 2" xfId="11421" xr:uid="{00000000-0005-0000-0000-00009B2C0000}"/>
    <cellStyle name="Normal 35 17 2 3" xfId="11422" xr:uid="{00000000-0005-0000-0000-00009C2C0000}"/>
    <cellStyle name="Normal 35 17 3" xfId="11423" xr:uid="{00000000-0005-0000-0000-00009D2C0000}"/>
    <cellStyle name="Normal 35 17 4" xfId="11424" xr:uid="{00000000-0005-0000-0000-00009E2C0000}"/>
    <cellStyle name="Normal 35 18" xfId="11425" xr:uid="{00000000-0005-0000-0000-00009F2C0000}"/>
    <cellStyle name="Normal 35 18 2" xfId="11426" xr:uid="{00000000-0005-0000-0000-0000A02C0000}"/>
    <cellStyle name="Normal 35 18 2 2" xfId="11427" xr:uid="{00000000-0005-0000-0000-0000A12C0000}"/>
    <cellStyle name="Normal 35 18 2 3" xfId="11428" xr:uid="{00000000-0005-0000-0000-0000A22C0000}"/>
    <cellStyle name="Normal 35 18 3" xfId="11429" xr:uid="{00000000-0005-0000-0000-0000A32C0000}"/>
    <cellStyle name="Normal 35 18 4" xfId="11430" xr:uid="{00000000-0005-0000-0000-0000A42C0000}"/>
    <cellStyle name="Normal 35 19" xfId="11431" xr:uid="{00000000-0005-0000-0000-0000A52C0000}"/>
    <cellStyle name="Normal 35 19 2" xfId="11432" xr:uid="{00000000-0005-0000-0000-0000A62C0000}"/>
    <cellStyle name="Normal 35 19 2 2" xfId="11433" xr:uid="{00000000-0005-0000-0000-0000A72C0000}"/>
    <cellStyle name="Normal 35 19 2 3" xfId="11434" xr:uid="{00000000-0005-0000-0000-0000A82C0000}"/>
    <cellStyle name="Normal 35 19 3" xfId="11435" xr:uid="{00000000-0005-0000-0000-0000A92C0000}"/>
    <cellStyle name="Normal 35 19 4" xfId="11436" xr:uid="{00000000-0005-0000-0000-0000AA2C0000}"/>
    <cellStyle name="Normal 35 2" xfId="11437" xr:uid="{00000000-0005-0000-0000-0000AB2C0000}"/>
    <cellStyle name="Normal 35 2 2" xfId="11438" xr:uid="{00000000-0005-0000-0000-0000AC2C0000}"/>
    <cellStyle name="Normal 35 2 3" xfId="11439" xr:uid="{00000000-0005-0000-0000-0000AD2C0000}"/>
    <cellStyle name="Normal 35 20" xfId="11440" xr:uid="{00000000-0005-0000-0000-0000AE2C0000}"/>
    <cellStyle name="Normal 35 20 2" xfId="11441" xr:uid="{00000000-0005-0000-0000-0000AF2C0000}"/>
    <cellStyle name="Normal 35 20 2 2" xfId="11442" xr:uid="{00000000-0005-0000-0000-0000B02C0000}"/>
    <cellStyle name="Normal 35 20 2 3" xfId="11443" xr:uid="{00000000-0005-0000-0000-0000B12C0000}"/>
    <cellStyle name="Normal 35 20 3" xfId="11444" xr:uid="{00000000-0005-0000-0000-0000B22C0000}"/>
    <cellStyle name="Normal 35 20 4" xfId="11445" xr:uid="{00000000-0005-0000-0000-0000B32C0000}"/>
    <cellStyle name="Normal 35 21" xfId="11446" xr:uid="{00000000-0005-0000-0000-0000B42C0000}"/>
    <cellStyle name="Normal 35 21 2" xfId="11447" xr:uid="{00000000-0005-0000-0000-0000B52C0000}"/>
    <cellStyle name="Normal 35 21 2 2" xfId="11448" xr:uid="{00000000-0005-0000-0000-0000B62C0000}"/>
    <cellStyle name="Normal 35 21 2 3" xfId="11449" xr:uid="{00000000-0005-0000-0000-0000B72C0000}"/>
    <cellStyle name="Normal 35 21 3" xfId="11450" xr:uid="{00000000-0005-0000-0000-0000B82C0000}"/>
    <cellStyle name="Normal 35 21 4" xfId="11451" xr:uid="{00000000-0005-0000-0000-0000B92C0000}"/>
    <cellStyle name="Normal 35 22" xfId="11452" xr:uid="{00000000-0005-0000-0000-0000BA2C0000}"/>
    <cellStyle name="Normal 35 22 2" xfId="11453" xr:uid="{00000000-0005-0000-0000-0000BB2C0000}"/>
    <cellStyle name="Normal 35 22 2 2" xfId="11454" xr:uid="{00000000-0005-0000-0000-0000BC2C0000}"/>
    <cellStyle name="Normal 35 22 2 3" xfId="11455" xr:uid="{00000000-0005-0000-0000-0000BD2C0000}"/>
    <cellStyle name="Normal 35 22 3" xfId="11456" xr:uid="{00000000-0005-0000-0000-0000BE2C0000}"/>
    <cellStyle name="Normal 35 22 4" xfId="11457" xr:uid="{00000000-0005-0000-0000-0000BF2C0000}"/>
    <cellStyle name="Normal 35 23" xfId="11458" xr:uid="{00000000-0005-0000-0000-0000C02C0000}"/>
    <cellStyle name="Normal 35 23 2" xfId="11459" xr:uid="{00000000-0005-0000-0000-0000C12C0000}"/>
    <cellStyle name="Normal 35 23 2 2" xfId="11460" xr:uid="{00000000-0005-0000-0000-0000C22C0000}"/>
    <cellStyle name="Normal 35 23 2 3" xfId="11461" xr:uid="{00000000-0005-0000-0000-0000C32C0000}"/>
    <cellStyle name="Normal 35 23 3" xfId="11462" xr:uid="{00000000-0005-0000-0000-0000C42C0000}"/>
    <cellStyle name="Normal 35 23 4" xfId="11463" xr:uid="{00000000-0005-0000-0000-0000C52C0000}"/>
    <cellStyle name="Normal 35 24" xfId="11464" xr:uid="{00000000-0005-0000-0000-0000C62C0000}"/>
    <cellStyle name="Normal 35 24 2" xfId="11465" xr:uid="{00000000-0005-0000-0000-0000C72C0000}"/>
    <cellStyle name="Normal 35 24 2 2" xfId="11466" xr:uid="{00000000-0005-0000-0000-0000C82C0000}"/>
    <cellStyle name="Normal 35 24 2 3" xfId="11467" xr:uid="{00000000-0005-0000-0000-0000C92C0000}"/>
    <cellStyle name="Normal 35 24 3" xfId="11468" xr:uid="{00000000-0005-0000-0000-0000CA2C0000}"/>
    <cellStyle name="Normal 35 24 4" xfId="11469" xr:uid="{00000000-0005-0000-0000-0000CB2C0000}"/>
    <cellStyle name="Normal 35 25" xfId="11470" xr:uid="{00000000-0005-0000-0000-0000CC2C0000}"/>
    <cellStyle name="Normal 35 25 2" xfId="11471" xr:uid="{00000000-0005-0000-0000-0000CD2C0000}"/>
    <cellStyle name="Normal 35 25 2 2" xfId="11472" xr:uid="{00000000-0005-0000-0000-0000CE2C0000}"/>
    <cellStyle name="Normal 35 25 2 3" xfId="11473" xr:uid="{00000000-0005-0000-0000-0000CF2C0000}"/>
    <cellStyle name="Normal 35 25 3" xfId="11474" xr:uid="{00000000-0005-0000-0000-0000D02C0000}"/>
    <cellStyle name="Normal 35 25 4" xfId="11475" xr:uid="{00000000-0005-0000-0000-0000D12C0000}"/>
    <cellStyle name="Normal 35 26" xfId="11476" xr:uid="{00000000-0005-0000-0000-0000D22C0000}"/>
    <cellStyle name="Normal 35 26 2" xfId="11477" xr:uid="{00000000-0005-0000-0000-0000D32C0000}"/>
    <cellStyle name="Normal 35 26 3" xfId="11478" xr:uid="{00000000-0005-0000-0000-0000D42C0000}"/>
    <cellStyle name="Normal 35 27" xfId="11479" xr:uid="{00000000-0005-0000-0000-0000D52C0000}"/>
    <cellStyle name="Normal 35 28" xfId="11480" xr:uid="{00000000-0005-0000-0000-0000D62C0000}"/>
    <cellStyle name="Normal 35 3" xfId="11481" xr:uid="{00000000-0005-0000-0000-0000D72C0000}"/>
    <cellStyle name="Normal 35 3 2" xfId="11482" xr:uid="{00000000-0005-0000-0000-0000D82C0000}"/>
    <cellStyle name="Normal 35 3 3" xfId="11483" xr:uid="{00000000-0005-0000-0000-0000D92C0000}"/>
    <cellStyle name="Normal 35 4" xfId="11484" xr:uid="{00000000-0005-0000-0000-0000DA2C0000}"/>
    <cellStyle name="Normal 35 4 2" xfId="11485" xr:uid="{00000000-0005-0000-0000-0000DB2C0000}"/>
    <cellStyle name="Normal 35 4 2 2" xfId="11486" xr:uid="{00000000-0005-0000-0000-0000DC2C0000}"/>
    <cellStyle name="Normal 35 4 2 3" xfId="11487" xr:uid="{00000000-0005-0000-0000-0000DD2C0000}"/>
    <cellStyle name="Normal 35 4 3" xfId="11488" xr:uid="{00000000-0005-0000-0000-0000DE2C0000}"/>
    <cellStyle name="Normal 35 4 4" xfId="11489" xr:uid="{00000000-0005-0000-0000-0000DF2C0000}"/>
    <cellStyle name="Normal 35 5" xfId="11490" xr:uid="{00000000-0005-0000-0000-0000E02C0000}"/>
    <cellStyle name="Normal 35 5 2" xfId="11491" xr:uid="{00000000-0005-0000-0000-0000E12C0000}"/>
    <cellStyle name="Normal 35 5 2 2" xfId="11492" xr:uid="{00000000-0005-0000-0000-0000E22C0000}"/>
    <cellStyle name="Normal 35 5 2 3" xfId="11493" xr:uid="{00000000-0005-0000-0000-0000E32C0000}"/>
    <cellStyle name="Normal 35 5 3" xfId="11494" xr:uid="{00000000-0005-0000-0000-0000E42C0000}"/>
    <cellStyle name="Normal 35 5 4" xfId="11495" xr:uid="{00000000-0005-0000-0000-0000E52C0000}"/>
    <cellStyle name="Normal 35 6" xfId="11496" xr:uid="{00000000-0005-0000-0000-0000E62C0000}"/>
    <cellStyle name="Normal 35 6 2" xfId="11497" xr:uid="{00000000-0005-0000-0000-0000E72C0000}"/>
    <cellStyle name="Normal 35 6 2 2" xfId="11498" xr:uid="{00000000-0005-0000-0000-0000E82C0000}"/>
    <cellStyle name="Normal 35 6 2 3" xfId="11499" xr:uid="{00000000-0005-0000-0000-0000E92C0000}"/>
    <cellStyle name="Normal 35 6 3" xfId="11500" xr:uid="{00000000-0005-0000-0000-0000EA2C0000}"/>
    <cellStyle name="Normal 35 6 4" xfId="11501" xr:uid="{00000000-0005-0000-0000-0000EB2C0000}"/>
    <cellStyle name="Normal 35 7" xfId="11502" xr:uid="{00000000-0005-0000-0000-0000EC2C0000}"/>
    <cellStyle name="Normal 35 7 2" xfId="11503" xr:uid="{00000000-0005-0000-0000-0000ED2C0000}"/>
    <cellStyle name="Normal 35 7 2 2" xfId="11504" xr:uid="{00000000-0005-0000-0000-0000EE2C0000}"/>
    <cellStyle name="Normal 35 7 2 3" xfId="11505" xr:uid="{00000000-0005-0000-0000-0000EF2C0000}"/>
    <cellStyle name="Normal 35 7 3" xfId="11506" xr:uid="{00000000-0005-0000-0000-0000F02C0000}"/>
    <cellStyle name="Normal 35 7 4" xfId="11507" xr:uid="{00000000-0005-0000-0000-0000F12C0000}"/>
    <cellStyle name="Normal 35 8" xfId="11508" xr:uid="{00000000-0005-0000-0000-0000F22C0000}"/>
    <cellStyle name="Normal 35 8 2" xfId="11509" xr:uid="{00000000-0005-0000-0000-0000F32C0000}"/>
    <cellStyle name="Normal 35 8 2 2" xfId="11510" xr:uid="{00000000-0005-0000-0000-0000F42C0000}"/>
    <cellStyle name="Normal 35 8 2 3" xfId="11511" xr:uid="{00000000-0005-0000-0000-0000F52C0000}"/>
    <cellStyle name="Normal 35 8 3" xfId="11512" xr:uid="{00000000-0005-0000-0000-0000F62C0000}"/>
    <cellStyle name="Normal 35 8 4" xfId="11513" xr:uid="{00000000-0005-0000-0000-0000F72C0000}"/>
    <cellStyle name="Normal 35 9" xfId="11514" xr:uid="{00000000-0005-0000-0000-0000F82C0000}"/>
    <cellStyle name="Normal 35 9 2" xfId="11515" xr:uid="{00000000-0005-0000-0000-0000F92C0000}"/>
    <cellStyle name="Normal 35 9 2 2" xfId="11516" xr:uid="{00000000-0005-0000-0000-0000FA2C0000}"/>
    <cellStyle name="Normal 35 9 2 3" xfId="11517" xr:uid="{00000000-0005-0000-0000-0000FB2C0000}"/>
    <cellStyle name="Normal 35 9 3" xfId="11518" xr:uid="{00000000-0005-0000-0000-0000FC2C0000}"/>
    <cellStyle name="Normal 35 9 4" xfId="11519" xr:uid="{00000000-0005-0000-0000-0000FD2C0000}"/>
    <cellStyle name="Normal 36" xfId="11520" xr:uid="{00000000-0005-0000-0000-0000FE2C0000}"/>
    <cellStyle name="Normal 36 10" xfId="11521" xr:uid="{00000000-0005-0000-0000-0000FF2C0000}"/>
    <cellStyle name="Normal 36 10 2" xfId="11522" xr:uid="{00000000-0005-0000-0000-0000002D0000}"/>
    <cellStyle name="Normal 36 10 2 2" xfId="11523" xr:uid="{00000000-0005-0000-0000-0000012D0000}"/>
    <cellStyle name="Normal 36 10 2 3" xfId="11524" xr:uid="{00000000-0005-0000-0000-0000022D0000}"/>
    <cellStyle name="Normal 36 10 3" xfId="11525" xr:uid="{00000000-0005-0000-0000-0000032D0000}"/>
    <cellStyle name="Normal 36 10 4" xfId="11526" xr:uid="{00000000-0005-0000-0000-0000042D0000}"/>
    <cellStyle name="Normal 36 11" xfId="11527" xr:uid="{00000000-0005-0000-0000-0000052D0000}"/>
    <cellStyle name="Normal 36 11 2" xfId="11528" xr:uid="{00000000-0005-0000-0000-0000062D0000}"/>
    <cellStyle name="Normal 36 11 2 2" xfId="11529" xr:uid="{00000000-0005-0000-0000-0000072D0000}"/>
    <cellStyle name="Normal 36 11 2 3" xfId="11530" xr:uid="{00000000-0005-0000-0000-0000082D0000}"/>
    <cellStyle name="Normal 36 11 3" xfId="11531" xr:uid="{00000000-0005-0000-0000-0000092D0000}"/>
    <cellStyle name="Normal 36 11 4" xfId="11532" xr:uid="{00000000-0005-0000-0000-00000A2D0000}"/>
    <cellStyle name="Normal 36 12" xfId="11533" xr:uid="{00000000-0005-0000-0000-00000B2D0000}"/>
    <cellStyle name="Normal 36 12 2" xfId="11534" xr:uid="{00000000-0005-0000-0000-00000C2D0000}"/>
    <cellStyle name="Normal 36 12 2 2" xfId="11535" xr:uid="{00000000-0005-0000-0000-00000D2D0000}"/>
    <cellStyle name="Normal 36 12 2 3" xfId="11536" xr:uid="{00000000-0005-0000-0000-00000E2D0000}"/>
    <cellStyle name="Normal 36 12 3" xfId="11537" xr:uid="{00000000-0005-0000-0000-00000F2D0000}"/>
    <cellStyle name="Normal 36 12 4" xfId="11538" xr:uid="{00000000-0005-0000-0000-0000102D0000}"/>
    <cellStyle name="Normal 36 13" xfId="11539" xr:uid="{00000000-0005-0000-0000-0000112D0000}"/>
    <cellStyle name="Normal 36 13 2" xfId="11540" xr:uid="{00000000-0005-0000-0000-0000122D0000}"/>
    <cellStyle name="Normal 36 13 2 2" xfId="11541" xr:uid="{00000000-0005-0000-0000-0000132D0000}"/>
    <cellStyle name="Normal 36 13 2 3" xfId="11542" xr:uid="{00000000-0005-0000-0000-0000142D0000}"/>
    <cellStyle name="Normal 36 13 3" xfId="11543" xr:uid="{00000000-0005-0000-0000-0000152D0000}"/>
    <cellStyle name="Normal 36 13 4" xfId="11544" xr:uid="{00000000-0005-0000-0000-0000162D0000}"/>
    <cellStyle name="Normal 36 14" xfId="11545" xr:uid="{00000000-0005-0000-0000-0000172D0000}"/>
    <cellStyle name="Normal 36 14 2" xfId="11546" xr:uid="{00000000-0005-0000-0000-0000182D0000}"/>
    <cellStyle name="Normal 36 14 2 2" xfId="11547" xr:uid="{00000000-0005-0000-0000-0000192D0000}"/>
    <cellStyle name="Normal 36 14 2 3" xfId="11548" xr:uid="{00000000-0005-0000-0000-00001A2D0000}"/>
    <cellStyle name="Normal 36 14 3" xfId="11549" xr:uid="{00000000-0005-0000-0000-00001B2D0000}"/>
    <cellStyle name="Normal 36 14 4" xfId="11550" xr:uid="{00000000-0005-0000-0000-00001C2D0000}"/>
    <cellStyle name="Normal 36 15" xfId="11551" xr:uid="{00000000-0005-0000-0000-00001D2D0000}"/>
    <cellStyle name="Normal 36 15 2" xfId="11552" xr:uid="{00000000-0005-0000-0000-00001E2D0000}"/>
    <cellStyle name="Normal 36 15 2 2" xfId="11553" xr:uid="{00000000-0005-0000-0000-00001F2D0000}"/>
    <cellStyle name="Normal 36 15 2 3" xfId="11554" xr:uid="{00000000-0005-0000-0000-0000202D0000}"/>
    <cellStyle name="Normal 36 15 3" xfId="11555" xr:uid="{00000000-0005-0000-0000-0000212D0000}"/>
    <cellStyle name="Normal 36 15 4" xfId="11556" xr:uid="{00000000-0005-0000-0000-0000222D0000}"/>
    <cellStyle name="Normal 36 16" xfId="11557" xr:uid="{00000000-0005-0000-0000-0000232D0000}"/>
    <cellStyle name="Normal 36 16 2" xfId="11558" xr:uid="{00000000-0005-0000-0000-0000242D0000}"/>
    <cellStyle name="Normal 36 16 2 2" xfId="11559" xr:uid="{00000000-0005-0000-0000-0000252D0000}"/>
    <cellStyle name="Normal 36 16 2 3" xfId="11560" xr:uid="{00000000-0005-0000-0000-0000262D0000}"/>
    <cellStyle name="Normal 36 16 3" xfId="11561" xr:uid="{00000000-0005-0000-0000-0000272D0000}"/>
    <cellStyle name="Normal 36 16 4" xfId="11562" xr:uid="{00000000-0005-0000-0000-0000282D0000}"/>
    <cellStyle name="Normal 36 17" xfId="11563" xr:uid="{00000000-0005-0000-0000-0000292D0000}"/>
    <cellStyle name="Normal 36 17 2" xfId="11564" xr:uid="{00000000-0005-0000-0000-00002A2D0000}"/>
    <cellStyle name="Normal 36 17 2 2" xfId="11565" xr:uid="{00000000-0005-0000-0000-00002B2D0000}"/>
    <cellStyle name="Normal 36 17 2 3" xfId="11566" xr:uid="{00000000-0005-0000-0000-00002C2D0000}"/>
    <cellStyle name="Normal 36 17 3" xfId="11567" xr:uid="{00000000-0005-0000-0000-00002D2D0000}"/>
    <cellStyle name="Normal 36 17 4" xfId="11568" xr:uid="{00000000-0005-0000-0000-00002E2D0000}"/>
    <cellStyle name="Normal 36 18" xfId="11569" xr:uid="{00000000-0005-0000-0000-00002F2D0000}"/>
    <cellStyle name="Normal 36 18 2" xfId="11570" xr:uid="{00000000-0005-0000-0000-0000302D0000}"/>
    <cellStyle name="Normal 36 18 2 2" xfId="11571" xr:uid="{00000000-0005-0000-0000-0000312D0000}"/>
    <cellStyle name="Normal 36 18 2 3" xfId="11572" xr:uid="{00000000-0005-0000-0000-0000322D0000}"/>
    <cellStyle name="Normal 36 18 3" xfId="11573" xr:uid="{00000000-0005-0000-0000-0000332D0000}"/>
    <cellStyle name="Normal 36 18 4" xfId="11574" xr:uid="{00000000-0005-0000-0000-0000342D0000}"/>
    <cellStyle name="Normal 36 19" xfId="11575" xr:uid="{00000000-0005-0000-0000-0000352D0000}"/>
    <cellStyle name="Normal 36 19 2" xfId="11576" xr:uid="{00000000-0005-0000-0000-0000362D0000}"/>
    <cellStyle name="Normal 36 19 2 2" xfId="11577" xr:uid="{00000000-0005-0000-0000-0000372D0000}"/>
    <cellStyle name="Normal 36 19 2 3" xfId="11578" xr:uid="{00000000-0005-0000-0000-0000382D0000}"/>
    <cellStyle name="Normal 36 19 3" xfId="11579" xr:uid="{00000000-0005-0000-0000-0000392D0000}"/>
    <cellStyle name="Normal 36 19 4" xfId="11580" xr:uid="{00000000-0005-0000-0000-00003A2D0000}"/>
    <cellStyle name="Normal 36 2" xfId="11581" xr:uid="{00000000-0005-0000-0000-00003B2D0000}"/>
    <cellStyle name="Normal 36 2 2" xfId="11582" xr:uid="{00000000-0005-0000-0000-00003C2D0000}"/>
    <cellStyle name="Normal 36 20" xfId="11583" xr:uid="{00000000-0005-0000-0000-00003D2D0000}"/>
    <cellStyle name="Normal 36 20 2" xfId="11584" xr:uid="{00000000-0005-0000-0000-00003E2D0000}"/>
    <cellStyle name="Normal 36 20 2 2" xfId="11585" xr:uid="{00000000-0005-0000-0000-00003F2D0000}"/>
    <cellStyle name="Normal 36 20 2 3" xfId="11586" xr:uid="{00000000-0005-0000-0000-0000402D0000}"/>
    <cellStyle name="Normal 36 20 3" xfId="11587" xr:uid="{00000000-0005-0000-0000-0000412D0000}"/>
    <cellStyle name="Normal 36 20 4" xfId="11588" xr:uid="{00000000-0005-0000-0000-0000422D0000}"/>
    <cellStyle name="Normal 36 21" xfId="11589" xr:uid="{00000000-0005-0000-0000-0000432D0000}"/>
    <cellStyle name="Normal 36 21 2" xfId="11590" xr:uid="{00000000-0005-0000-0000-0000442D0000}"/>
    <cellStyle name="Normal 36 21 2 2" xfId="11591" xr:uid="{00000000-0005-0000-0000-0000452D0000}"/>
    <cellStyle name="Normal 36 21 2 3" xfId="11592" xr:uid="{00000000-0005-0000-0000-0000462D0000}"/>
    <cellStyle name="Normal 36 21 3" xfId="11593" xr:uid="{00000000-0005-0000-0000-0000472D0000}"/>
    <cellStyle name="Normal 36 21 4" xfId="11594" xr:uid="{00000000-0005-0000-0000-0000482D0000}"/>
    <cellStyle name="Normal 36 22" xfId="11595" xr:uid="{00000000-0005-0000-0000-0000492D0000}"/>
    <cellStyle name="Normal 36 22 2" xfId="11596" xr:uid="{00000000-0005-0000-0000-00004A2D0000}"/>
    <cellStyle name="Normal 36 22 2 2" xfId="11597" xr:uid="{00000000-0005-0000-0000-00004B2D0000}"/>
    <cellStyle name="Normal 36 22 2 3" xfId="11598" xr:uid="{00000000-0005-0000-0000-00004C2D0000}"/>
    <cellStyle name="Normal 36 22 3" xfId="11599" xr:uid="{00000000-0005-0000-0000-00004D2D0000}"/>
    <cellStyle name="Normal 36 22 4" xfId="11600" xr:uid="{00000000-0005-0000-0000-00004E2D0000}"/>
    <cellStyle name="Normal 36 23" xfId="11601" xr:uid="{00000000-0005-0000-0000-00004F2D0000}"/>
    <cellStyle name="Normal 36 23 2" xfId="11602" xr:uid="{00000000-0005-0000-0000-0000502D0000}"/>
    <cellStyle name="Normal 36 23 2 2" xfId="11603" xr:uid="{00000000-0005-0000-0000-0000512D0000}"/>
    <cellStyle name="Normal 36 23 2 3" xfId="11604" xr:uid="{00000000-0005-0000-0000-0000522D0000}"/>
    <cellStyle name="Normal 36 23 3" xfId="11605" xr:uid="{00000000-0005-0000-0000-0000532D0000}"/>
    <cellStyle name="Normal 36 23 4" xfId="11606" xr:uid="{00000000-0005-0000-0000-0000542D0000}"/>
    <cellStyle name="Normal 36 24" xfId="11607" xr:uid="{00000000-0005-0000-0000-0000552D0000}"/>
    <cellStyle name="Normal 36 24 2" xfId="11608" xr:uid="{00000000-0005-0000-0000-0000562D0000}"/>
    <cellStyle name="Normal 36 24 2 2" xfId="11609" xr:uid="{00000000-0005-0000-0000-0000572D0000}"/>
    <cellStyle name="Normal 36 24 2 3" xfId="11610" xr:uid="{00000000-0005-0000-0000-0000582D0000}"/>
    <cellStyle name="Normal 36 24 3" xfId="11611" xr:uid="{00000000-0005-0000-0000-0000592D0000}"/>
    <cellStyle name="Normal 36 24 4" xfId="11612" xr:uid="{00000000-0005-0000-0000-00005A2D0000}"/>
    <cellStyle name="Normal 36 25" xfId="11613" xr:uid="{00000000-0005-0000-0000-00005B2D0000}"/>
    <cellStyle name="Normal 36 25 2" xfId="11614" xr:uid="{00000000-0005-0000-0000-00005C2D0000}"/>
    <cellStyle name="Normal 36 25 2 2" xfId="11615" xr:uid="{00000000-0005-0000-0000-00005D2D0000}"/>
    <cellStyle name="Normal 36 25 2 3" xfId="11616" xr:uid="{00000000-0005-0000-0000-00005E2D0000}"/>
    <cellStyle name="Normal 36 25 3" xfId="11617" xr:uid="{00000000-0005-0000-0000-00005F2D0000}"/>
    <cellStyle name="Normal 36 25 4" xfId="11618" xr:uid="{00000000-0005-0000-0000-0000602D0000}"/>
    <cellStyle name="Normal 36 26" xfId="11619" xr:uid="{00000000-0005-0000-0000-0000612D0000}"/>
    <cellStyle name="Normal 36 26 2" xfId="11620" xr:uid="{00000000-0005-0000-0000-0000622D0000}"/>
    <cellStyle name="Normal 36 26 3" xfId="11621" xr:uid="{00000000-0005-0000-0000-0000632D0000}"/>
    <cellStyle name="Normal 36 27" xfId="11622" xr:uid="{00000000-0005-0000-0000-0000642D0000}"/>
    <cellStyle name="Normal 36 28" xfId="11623" xr:uid="{00000000-0005-0000-0000-0000652D0000}"/>
    <cellStyle name="Normal 36 3" xfId="11624" xr:uid="{00000000-0005-0000-0000-0000662D0000}"/>
    <cellStyle name="Normal 36 3 2" xfId="11625" xr:uid="{00000000-0005-0000-0000-0000672D0000}"/>
    <cellStyle name="Normal 36 4" xfId="11626" xr:uid="{00000000-0005-0000-0000-0000682D0000}"/>
    <cellStyle name="Normal 36 4 2" xfId="11627" xr:uid="{00000000-0005-0000-0000-0000692D0000}"/>
    <cellStyle name="Normal 36 4 2 2" xfId="11628" xr:uid="{00000000-0005-0000-0000-00006A2D0000}"/>
    <cellStyle name="Normal 36 4 2 3" xfId="11629" xr:uid="{00000000-0005-0000-0000-00006B2D0000}"/>
    <cellStyle name="Normal 36 4 3" xfId="11630" xr:uid="{00000000-0005-0000-0000-00006C2D0000}"/>
    <cellStyle name="Normal 36 4 4" xfId="11631" xr:uid="{00000000-0005-0000-0000-00006D2D0000}"/>
    <cellStyle name="Normal 36 5" xfId="11632" xr:uid="{00000000-0005-0000-0000-00006E2D0000}"/>
    <cellStyle name="Normal 36 5 2" xfId="11633" xr:uid="{00000000-0005-0000-0000-00006F2D0000}"/>
    <cellStyle name="Normal 36 5 2 2" xfId="11634" xr:uid="{00000000-0005-0000-0000-0000702D0000}"/>
    <cellStyle name="Normal 36 5 2 3" xfId="11635" xr:uid="{00000000-0005-0000-0000-0000712D0000}"/>
    <cellStyle name="Normal 36 5 3" xfId="11636" xr:uid="{00000000-0005-0000-0000-0000722D0000}"/>
    <cellStyle name="Normal 36 5 4" xfId="11637" xr:uid="{00000000-0005-0000-0000-0000732D0000}"/>
    <cellStyle name="Normal 36 6" xfId="11638" xr:uid="{00000000-0005-0000-0000-0000742D0000}"/>
    <cellStyle name="Normal 36 6 2" xfId="11639" xr:uid="{00000000-0005-0000-0000-0000752D0000}"/>
    <cellStyle name="Normal 36 6 2 2" xfId="11640" xr:uid="{00000000-0005-0000-0000-0000762D0000}"/>
    <cellStyle name="Normal 36 6 2 3" xfId="11641" xr:uid="{00000000-0005-0000-0000-0000772D0000}"/>
    <cellStyle name="Normal 36 6 3" xfId="11642" xr:uid="{00000000-0005-0000-0000-0000782D0000}"/>
    <cellStyle name="Normal 36 6 4" xfId="11643" xr:uid="{00000000-0005-0000-0000-0000792D0000}"/>
    <cellStyle name="Normal 36 7" xfId="11644" xr:uid="{00000000-0005-0000-0000-00007A2D0000}"/>
    <cellStyle name="Normal 36 7 2" xfId="11645" xr:uid="{00000000-0005-0000-0000-00007B2D0000}"/>
    <cellStyle name="Normal 36 7 2 2" xfId="11646" xr:uid="{00000000-0005-0000-0000-00007C2D0000}"/>
    <cellStyle name="Normal 36 7 2 3" xfId="11647" xr:uid="{00000000-0005-0000-0000-00007D2D0000}"/>
    <cellStyle name="Normal 36 7 3" xfId="11648" xr:uid="{00000000-0005-0000-0000-00007E2D0000}"/>
    <cellStyle name="Normal 36 7 4" xfId="11649" xr:uid="{00000000-0005-0000-0000-00007F2D0000}"/>
    <cellStyle name="Normal 36 8" xfId="11650" xr:uid="{00000000-0005-0000-0000-0000802D0000}"/>
    <cellStyle name="Normal 36 8 2" xfId="11651" xr:uid="{00000000-0005-0000-0000-0000812D0000}"/>
    <cellStyle name="Normal 36 8 2 2" xfId="11652" xr:uid="{00000000-0005-0000-0000-0000822D0000}"/>
    <cellStyle name="Normal 36 8 2 3" xfId="11653" xr:uid="{00000000-0005-0000-0000-0000832D0000}"/>
    <cellStyle name="Normal 36 8 3" xfId="11654" xr:uid="{00000000-0005-0000-0000-0000842D0000}"/>
    <cellStyle name="Normal 36 8 4" xfId="11655" xr:uid="{00000000-0005-0000-0000-0000852D0000}"/>
    <cellStyle name="Normal 36 9" xfId="11656" xr:uid="{00000000-0005-0000-0000-0000862D0000}"/>
    <cellStyle name="Normal 36 9 2" xfId="11657" xr:uid="{00000000-0005-0000-0000-0000872D0000}"/>
    <cellStyle name="Normal 36 9 2 2" xfId="11658" xr:uid="{00000000-0005-0000-0000-0000882D0000}"/>
    <cellStyle name="Normal 36 9 2 3" xfId="11659" xr:uid="{00000000-0005-0000-0000-0000892D0000}"/>
    <cellStyle name="Normal 36 9 3" xfId="11660" xr:uid="{00000000-0005-0000-0000-00008A2D0000}"/>
    <cellStyle name="Normal 36 9 4" xfId="11661" xr:uid="{00000000-0005-0000-0000-00008B2D0000}"/>
    <cellStyle name="Normal 37" xfId="11662" xr:uid="{00000000-0005-0000-0000-00008C2D0000}"/>
    <cellStyle name="Normal 37 10" xfId="11663" xr:uid="{00000000-0005-0000-0000-00008D2D0000}"/>
    <cellStyle name="Normal 37 10 2" xfId="11664" xr:uid="{00000000-0005-0000-0000-00008E2D0000}"/>
    <cellStyle name="Normal 37 10 2 2" xfId="11665" xr:uid="{00000000-0005-0000-0000-00008F2D0000}"/>
    <cellStyle name="Normal 37 10 2 3" xfId="11666" xr:uid="{00000000-0005-0000-0000-0000902D0000}"/>
    <cellStyle name="Normal 37 10 3" xfId="11667" xr:uid="{00000000-0005-0000-0000-0000912D0000}"/>
    <cellStyle name="Normal 37 10 4" xfId="11668" xr:uid="{00000000-0005-0000-0000-0000922D0000}"/>
    <cellStyle name="Normal 37 11" xfId="11669" xr:uid="{00000000-0005-0000-0000-0000932D0000}"/>
    <cellStyle name="Normal 37 11 2" xfId="11670" xr:uid="{00000000-0005-0000-0000-0000942D0000}"/>
    <cellStyle name="Normal 37 11 2 2" xfId="11671" xr:uid="{00000000-0005-0000-0000-0000952D0000}"/>
    <cellStyle name="Normal 37 11 2 3" xfId="11672" xr:uid="{00000000-0005-0000-0000-0000962D0000}"/>
    <cellStyle name="Normal 37 11 3" xfId="11673" xr:uid="{00000000-0005-0000-0000-0000972D0000}"/>
    <cellStyle name="Normal 37 11 4" xfId="11674" xr:uid="{00000000-0005-0000-0000-0000982D0000}"/>
    <cellStyle name="Normal 37 12" xfId="11675" xr:uid="{00000000-0005-0000-0000-0000992D0000}"/>
    <cellStyle name="Normal 37 12 2" xfId="11676" xr:uid="{00000000-0005-0000-0000-00009A2D0000}"/>
    <cellStyle name="Normal 37 12 2 2" xfId="11677" xr:uid="{00000000-0005-0000-0000-00009B2D0000}"/>
    <cellStyle name="Normal 37 12 2 3" xfId="11678" xr:uid="{00000000-0005-0000-0000-00009C2D0000}"/>
    <cellStyle name="Normal 37 12 3" xfId="11679" xr:uid="{00000000-0005-0000-0000-00009D2D0000}"/>
    <cellStyle name="Normal 37 12 4" xfId="11680" xr:uid="{00000000-0005-0000-0000-00009E2D0000}"/>
    <cellStyle name="Normal 37 13" xfId="11681" xr:uid="{00000000-0005-0000-0000-00009F2D0000}"/>
    <cellStyle name="Normal 37 13 2" xfId="11682" xr:uid="{00000000-0005-0000-0000-0000A02D0000}"/>
    <cellStyle name="Normal 37 13 2 2" xfId="11683" xr:uid="{00000000-0005-0000-0000-0000A12D0000}"/>
    <cellStyle name="Normal 37 13 2 3" xfId="11684" xr:uid="{00000000-0005-0000-0000-0000A22D0000}"/>
    <cellStyle name="Normal 37 13 3" xfId="11685" xr:uid="{00000000-0005-0000-0000-0000A32D0000}"/>
    <cellStyle name="Normal 37 13 4" xfId="11686" xr:uid="{00000000-0005-0000-0000-0000A42D0000}"/>
    <cellStyle name="Normal 37 14" xfId="11687" xr:uid="{00000000-0005-0000-0000-0000A52D0000}"/>
    <cellStyle name="Normal 37 14 2" xfId="11688" xr:uid="{00000000-0005-0000-0000-0000A62D0000}"/>
    <cellStyle name="Normal 37 14 2 2" xfId="11689" xr:uid="{00000000-0005-0000-0000-0000A72D0000}"/>
    <cellStyle name="Normal 37 14 2 3" xfId="11690" xr:uid="{00000000-0005-0000-0000-0000A82D0000}"/>
    <cellStyle name="Normal 37 14 3" xfId="11691" xr:uid="{00000000-0005-0000-0000-0000A92D0000}"/>
    <cellStyle name="Normal 37 14 4" xfId="11692" xr:uid="{00000000-0005-0000-0000-0000AA2D0000}"/>
    <cellStyle name="Normal 37 15" xfId="11693" xr:uid="{00000000-0005-0000-0000-0000AB2D0000}"/>
    <cellStyle name="Normal 37 15 2" xfId="11694" xr:uid="{00000000-0005-0000-0000-0000AC2D0000}"/>
    <cellStyle name="Normal 37 15 2 2" xfId="11695" xr:uid="{00000000-0005-0000-0000-0000AD2D0000}"/>
    <cellStyle name="Normal 37 15 2 3" xfId="11696" xr:uid="{00000000-0005-0000-0000-0000AE2D0000}"/>
    <cellStyle name="Normal 37 15 3" xfId="11697" xr:uid="{00000000-0005-0000-0000-0000AF2D0000}"/>
    <cellStyle name="Normal 37 15 4" xfId="11698" xr:uid="{00000000-0005-0000-0000-0000B02D0000}"/>
    <cellStyle name="Normal 37 16" xfId="11699" xr:uid="{00000000-0005-0000-0000-0000B12D0000}"/>
    <cellStyle name="Normal 37 16 2" xfId="11700" xr:uid="{00000000-0005-0000-0000-0000B22D0000}"/>
    <cellStyle name="Normal 37 16 2 2" xfId="11701" xr:uid="{00000000-0005-0000-0000-0000B32D0000}"/>
    <cellStyle name="Normal 37 16 2 3" xfId="11702" xr:uid="{00000000-0005-0000-0000-0000B42D0000}"/>
    <cellStyle name="Normal 37 16 3" xfId="11703" xr:uid="{00000000-0005-0000-0000-0000B52D0000}"/>
    <cellStyle name="Normal 37 16 4" xfId="11704" xr:uid="{00000000-0005-0000-0000-0000B62D0000}"/>
    <cellStyle name="Normal 37 17" xfId="11705" xr:uid="{00000000-0005-0000-0000-0000B72D0000}"/>
    <cellStyle name="Normal 37 17 2" xfId="11706" xr:uid="{00000000-0005-0000-0000-0000B82D0000}"/>
    <cellStyle name="Normal 37 17 2 2" xfId="11707" xr:uid="{00000000-0005-0000-0000-0000B92D0000}"/>
    <cellStyle name="Normal 37 17 2 3" xfId="11708" xr:uid="{00000000-0005-0000-0000-0000BA2D0000}"/>
    <cellStyle name="Normal 37 17 3" xfId="11709" xr:uid="{00000000-0005-0000-0000-0000BB2D0000}"/>
    <cellStyle name="Normal 37 17 4" xfId="11710" xr:uid="{00000000-0005-0000-0000-0000BC2D0000}"/>
    <cellStyle name="Normal 37 18" xfId="11711" xr:uid="{00000000-0005-0000-0000-0000BD2D0000}"/>
    <cellStyle name="Normal 37 18 2" xfId="11712" xr:uid="{00000000-0005-0000-0000-0000BE2D0000}"/>
    <cellStyle name="Normal 37 18 2 2" xfId="11713" xr:uid="{00000000-0005-0000-0000-0000BF2D0000}"/>
    <cellStyle name="Normal 37 18 2 3" xfId="11714" xr:uid="{00000000-0005-0000-0000-0000C02D0000}"/>
    <cellStyle name="Normal 37 18 3" xfId="11715" xr:uid="{00000000-0005-0000-0000-0000C12D0000}"/>
    <cellStyle name="Normal 37 18 4" xfId="11716" xr:uid="{00000000-0005-0000-0000-0000C22D0000}"/>
    <cellStyle name="Normal 37 19" xfId="11717" xr:uid="{00000000-0005-0000-0000-0000C32D0000}"/>
    <cellStyle name="Normal 37 19 2" xfId="11718" xr:uid="{00000000-0005-0000-0000-0000C42D0000}"/>
    <cellStyle name="Normal 37 19 2 2" xfId="11719" xr:uid="{00000000-0005-0000-0000-0000C52D0000}"/>
    <cellStyle name="Normal 37 19 2 3" xfId="11720" xr:uid="{00000000-0005-0000-0000-0000C62D0000}"/>
    <cellStyle name="Normal 37 19 3" xfId="11721" xr:uid="{00000000-0005-0000-0000-0000C72D0000}"/>
    <cellStyle name="Normal 37 19 4" xfId="11722" xr:uid="{00000000-0005-0000-0000-0000C82D0000}"/>
    <cellStyle name="Normal 37 2" xfId="11723" xr:uid="{00000000-0005-0000-0000-0000C92D0000}"/>
    <cellStyle name="Normal 37 2 2" xfId="11724" xr:uid="{00000000-0005-0000-0000-0000CA2D0000}"/>
    <cellStyle name="Normal 37 20" xfId="11725" xr:uid="{00000000-0005-0000-0000-0000CB2D0000}"/>
    <cellStyle name="Normal 37 20 2" xfId="11726" xr:uid="{00000000-0005-0000-0000-0000CC2D0000}"/>
    <cellStyle name="Normal 37 20 2 2" xfId="11727" xr:uid="{00000000-0005-0000-0000-0000CD2D0000}"/>
    <cellStyle name="Normal 37 20 2 3" xfId="11728" xr:uid="{00000000-0005-0000-0000-0000CE2D0000}"/>
    <cellStyle name="Normal 37 20 3" xfId="11729" xr:uid="{00000000-0005-0000-0000-0000CF2D0000}"/>
    <cellStyle name="Normal 37 20 4" xfId="11730" xr:uid="{00000000-0005-0000-0000-0000D02D0000}"/>
    <cellStyle name="Normal 37 21" xfId="11731" xr:uid="{00000000-0005-0000-0000-0000D12D0000}"/>
    <cellStyle name="Normal 37 21 2" xfId="11732" xr:uid="{00000000-0005-0000-0000-0000D22D0000}"/>
    <cellStyle name="Normal 37 21 2 2" xfId="11733" xr:uid="{00000000-0005-0000-0000-0000D32D0000}"/>
    <cellStyle name="Normal 37 21 2 3" xfId="11734" xr:uid="{00000000-0005-0000-0000-0000D42D0000}"/>
    <cellStyle name="Normal 37 21 3" xfId="11735" xr:uid="{00000000-0005-0000-0000-0000D52D0000}"/>
    <cellStyle name="Normal 37 21 4" xfId="11736" xr:uid="{00000000-0005-0000-0000-0000D62D0000}"/>
    <cellStyle name="Normal 37 22" xfId="11737" xr:uid="{00000000-0005-0000-0000-0000D72D0000}"/>
    <cellStyle name="Normal 37 22 2" xfId="11738" xr:uid="{00000000-0005-0000-0000-0000D82D0000}"/>
    <cellStyle name="Normal 37 22 2 2" xfId="11739" xr:uid="{00000000-0005-0000-0000-0000D92D0000}"/>
    <cellStyle name="Normal 37 22 2 3" xfId="11740" xr:uid="{00000000-0005-0000-0000-0000DA2D0000}"/>
    <cellStyle name="Normal 37 22 3" xfId="11741" xr:uid="{00000000-0005-0000-0000-0000DB2D0000}"/>
    <cellStyle name="Normal 37 22 4" xfId="11742" xr:uid="{00000000-0005-0000-0000-0000DC2D0000}"/>
    <cellStyle name="Normal 37 23" xfId="11743" xr:uid="{00000000-0005-0000-0000-0000DD2D0000}"/>
    <cellStyle name="Normal 37 23 2" xfId="11744" xr:uid="{00000000-0005-0000-0000-0000DE2D0000}"/>
    <cellStyle name="Normal 37 23 2 2" xfId="11745" xr:uid="{00000000-0005-0000-0000-0000DF2D0000}"/>
    <cellStyle name="Normal 37 23 2 3" xfId="11746" xr:uid="{00000000-0005-0000-0000-0000E02D0000}"/>
    <cellStyle name="Normal 37 23 3" xfId="11747" xr:uid="{00000000-0005-0000-0000-0000E12D0000}"/>
    <cellStyle name="Normal 37 23 4" xfId="11748" xr:uid="{00000000-0005-0000-0000-0000E22D0000}"/>
    <cellStyle name="Normal 37 24" xfId="11749" xr:uid="{00000000-0005-0000-0000-0000E32D0000}"/>
    <cellStyle name="Normal 37 24 2" xfId="11750" xr:uid="{00000000-0005-0000-0000-0000E42D0000}"/>
    <cellStyle name="Normal 37 24 2 2" xfId="11751" xr:uid="{00000000-0005-0000-0000-0000E52D0000}"/>
    <cellStyle name="Normal 37 24 2 3" xfId="11752" xr:uid="{00000000-0005-0000-0000-0000E62D0000}"/>
    <cellStyle name="Normal 37 24 3" xfId="11753" xr:uid="{00000000-0005-0000-0000-0000E72D0000}"/>
    <cellStyle name="Normal 37 24 4" xfId="11754" xr:uid="{00000000-0005-0000-0000-0000E82D0000}"/>
    <cellStyle name="Normal 37 25" xfId="11755" xr:uid="{00000000-0005-0000-0000-0000E92D0000}"/>
    <cellStyle name="Normal 37 25 2" xfId="11756" xr:uid="{00000000-0005-0000-0000-0000EA2D0000}"/>
    <cellStyle name="Normal 37 25 3" xfId="11757" xr:uid="{00000000-0005-0000-0000-0000EB2D0000}"/>
    <cellStyle name="Normal 37 26" xfId="11758" xr:uid="{00000000-0005-0000-0000-0000EC2D0000}"/>
    <cellStyle name="Normal 37 27" xfId="11759" xr:uid="{00000000-0005-0000-0000-0000ED2D0000}"/>
    <cellStyle name="Normal 37 3" xfId="11760" xr:uid="{00000000-0005-0000-0000-0000EE2D0000}"/>
    <cellStyle name="Normal 37 3 2" xfId="11761" xr:uid="{00000000-0005-0000-0000-0000EF2D0000}"/>
    <cellStyle name="Normal 37 3 2 2" xfId="11762" xr:uid="{00000000-0005-0000-0000-0000F02D0000}"/>
    <cellStyle name="Normal 37 3 2 3" xfId="11763" xr:uid="{00000000-0005-0000-0000-0000F12D0000}"/>
    <cellStyle name="Normal 37 3 3" xfId="11764" xr:uid="{00000000-0005-0000-0000-0000F22D0000}"/>
    <cellStyle name="Normal 37 3 4" xfId="11765" xr:uid="{00000000-0005-0000-0000-0000F32D0000}"/>
    <cellStyle name="Normal 37 4" xfId="11766" xr:uid="{00000000-0005-0000-0000-0000F42D0000}"/>
    <cellStyle name="Normal 37 4 2" xfId="11767" xr:uid="{00000000-0005-0000-0000-0000F52D0000}"/>
    <cellStyle name="Normal 37 4 2 2" xfId="11768" xr:uid="{00000000-0005-0000-0000-0000F62D0000}"/>
    <cellStyle name="Normal 37 4 2 3" xfId="11769" xr:uid="{00000000-0005-0000-0000-0000F72D0000}"/>
    <cellStyle name="Normal 37 4 3" xfId="11770" xr:uid="{00000000-0005-0000-0000-0000F82D0000}"/>
    <cellStyle name="Normal 37 4 4" xfId="11771" xr:uid="{00000000-0005-0000-0000-0000F92D0000}"/>
    <cellStyle name="Normal 37 5" xfId="11772" xr:uid="{00000000-0005-0000-0000-0000FA2D0000}"/>
    <cellStyle name="Normal 37 5 2" xfId="11773" xr:uid="{00000000-0005-0000-0000-0000FB2D0000}"/>
    <cellStyle name="Normal 37 5 2 2" xfId="11774" xr:uid="{00000000-0005-0000-0000-0000FC2D0000}"/>
    <cellStyle name="Normal 37 5 2 3" xfId="11775" xr:uid="{00000000-0005-0000-0000-0000FD2D0000}"/>
    <cellStyle name="Normal 37 5 3" xfId="11776" xr:uid="{00000000-0005-0000-0000-0000FE2D0000}"/>
    <cellStyle name="Normal 37 5 4" xfId="11777" xr:uid="{00000000-0005-0000-0000-0000FF2D0000}"/>
    <cellStyle name="Normal 37 6" xfId="11778" xr:uid="{00000000-0005-0000-0000-0000002E0000}"/>
    <cellStyle name="Normal 37 6 2" xfId="11779" xr:uid="{00000000-0005-0000-0000-0000012E0000}"/>
    <cellStyle name="Normal 37 6 2 2" xfId="11780" xr:uid="{00000000-0005-0000-0000-0000022E0000}"/>
    <cellStyle name="Normal 37 6 2 3" xfId="11781" xr:uid="{00000000-0005-0000-0000-0000032E0000}"/>
    <cellStyle name="Normal 37 6 3" xfId="11782" xr:uid="{00000000-0005-0000-0000-0000042E0000}"/>
    <cellStyle name="Normal 37 6 4" xfId="11783" xr:uid="{00000000-0005-0000-0000-0000052E0000}"/>
    <cellStyle name="Normal 37 7" xfId="11784" xr:uid="{00000000-0005-0000-0000-0000062E0000}"/>
    <cellStyle name="Normal 37 7 2" xfId="11785" xr:uid="{00000000-0005-0000-0000-0000072E0000}"/>
    <cellStyle name="Normal 37 7 2 2" xfId="11786" xr:uid="{00000000-0005-0000-0000-0000082E0000}"/>
    <cellStyle name="Normal 37 7 2 3" xfId="11787" xr:uid="{00000000-0005-0000-0000-0000092E0000}"/>
    <cellStyle name="Normal 37 7 3" xfId="11788" xr:uid="{00000000-0005-0000-0000-00000A2E0000}"/>
    <cellStyle name="Normal 37 7 4" xfId="11789" xr:uid="{00000000-0005-0000-0000-00000B2E0000}"/>
    <cellStyle name="Normal 37 8" xfId="11790" xr:uid="{00000000-0005-0000-0000-00000C2E0000}"/>
    <cellStyle name="Normal 37 8 2" xfId="11791" xr:uid="{00000000-0005-0000-0000-00000D2E0000}"/>
    <cellStyle name="Normal 37 8 2 2" xfId="11792" xr:uid="{00000000-0005-0000-0000-00000E2E0000}"/>
    <cellStyle name="Normal 37 8 2 3" xfId="11793" xr:uid="{00000000-0005-0000-0000-00000F2E0000}"/>
    <cellStyle name="Normal 37 8 3" xfId="11794" xr:uid="{00000000-0005-0000-0000-0000102E0000}"/>
    <cellStyle name="Normal 37 8 4" xfId="11795" xr:uid="{00000000-0005-0000-0000-0000112E0000}"/>
    <cellStyle name="Normal 37 9" xfId="11796" xr:uid="{00000000-0005-0000-0000-0000122E0000}"/>
    <cellStyle name="Normal 37 9 2" xfId="11797" xr:uid="{00000000-0005-0000-0000-0000132E0000}"/>
    <cellStyle name="Normal 37 9 2 2" xfId="11798" xr:uid="{00000000-0005-0000-0000-0000142E0000}"/>
    <cellStyle name="Normal 37 9 2 3" xfId="11799" xr:uid="{00000000-0005-0000-0000-0000152E0000}"/>
    <cellStyle name="Normal 37 9 3" xfId="11800" xr:uid="{00000000-0005-0000-0000-0000162E0000}"/>
    <cellStyle name="Normal 37 9 4" xfId="11801" xr:uid="{00000000-0005-0000-0000-0000172E0000}"/>
    <cellStyle name="Normal 38" xfId="11802" xr:uid="{00000000-0005-0000-0000-0000182E0000}"/>
    <cellStyle name="Normal 38 10" xfId="11803" xr:uid="{00000000-0005-0000-0000-0000192E0000}"/>
    <cellStyle name="Normal 38 10 2" xfId="11804" xr:uid="{00000000-0005-0000-0000-00001A2E0000}"/>
    <cellStyle name="Normal 38 10 2 2" xfId="11805" xr:uid="{00000000-0005-0000-0000-00001B2E0000}"/>
    <cellStyle name="Normal 38 10 2 3" xfId="11806" xr:uid="{00000000-0005-0000-0000-00001C2E0000}"/>
    <cellStyle name="Normal 38 10 3" xfId="11807" xr:uid="{00000000-0005-0000-0000-00001D2E0000}"/>
    <cellStyle name="Normal 38 10 4" xfId="11808" xr:uid="{00000000-0005-0000-0000-00001E2E0000}"/>
    <cellStyle name="Normal 38 11" xfId="11809" xr:uid="{00000000-0005-0000-0000-00001F2E0000}"/>
    <cellStyle name="Normal 38 11 2" xfId="11810" xr:uid="{00000000-0005-0000-0000-0000202E0000}"/>
    <cellStyle name="Normal 38 11 2 2" xfId="11811" xr:uid="{00000000-0005-0000-0000-0000212E0000}"/>
    <cellStyle name="Normal 38 11 2 3" xfId="11812" xr:uid="{00000000-0005-0000-0000-0000222E0000}"/>
    <cellStyle name="Normal 38 11 3" xfId="11813" xr:uid="{00000000-0005-0000-0000-0000232E0000}"/>
    <cellStyle name="Normal 38 11 4" xfId="11814" xr:uid="{00000000-0005-0000-0000-0000242E0000}"/>
    <cellStyle name="Normal 38 12" xfId="11815" xr:uid="{00000000-0005-0000-0000-0000252E0000}"/>
    <cellStyle name="Normal 38 12 2" xfId="11816" xr:uid="{00000000-0005-0000-0000-0000262E0000}"/>
    <cellStyle name="Normal 38 12 2 2" xfId="11817" xr:uid="{00000000-0005-0000-0000-0000272E0000}"/>
    <cellStyle name="Normal 38 12 2 3" xfId="11818" xr:uid="{00000000-0005-0000-0000-0000282E0000}"/>
    <cellStyle name="Normal 38 12 3" xfId="11819" xr:uid="{00000000-0005-0000-0000-0000292E0000}"/>
    <cellStyle name="Normal 38 12 4" xfId="11820" xr:uid="{00000000-0005-0000-0000-00002A2E0000}"/>
    <cellStyle name="Normal 38 13" xfId="11821" xr:uid="{00000000-0005-0000-0000-00002B2E0000}"/>
    <cellStyle name="Normal 38 13 2" xfId="11822" xr:uid="{00000000-0005-0000-0000-00002C2E0000}"/>
    <cellStyle name="Normal 38 13 2 2" xfId="11823" xr:uid="{00000000-0005-0000-0000-00002D2E0000}"/>
    <cellStyle name="Normal 38 13 2 3" xfId="11824" xr:uid="{00000000-0005-0000-0000-00002E2E0000}"/>
    <cellStyle name="Normal 38 13 3" xfId="11825" xr:uid="{00000000-0005-0000-0000-00002F2E0000}"/>
    <cellStyle name="Normal 38 13 4" xfId="11826" xr:uid="{00000000-0005-0000-0000-0000302E0000}"/>
    <cellStyle name="Normal 38 14" xfId="11827" xr:uid="{00000000-0005-0000-0000-0000312E0000}"/>
    <cellStyle name="Normal 38 14 2" xfId="11828" xr:uid="{00000000-0005-0000-0000-0000322E0000}"/>
    <cellStyle name="Normal 38 14 2 2" xfId="11829" xr:uid="{00000000-0005-0000-0000-0000332E0000}"/>
    <cellStyle name="Normal 38 14 2 3" xfId="11830" xr:uid="{00000000-0005-0000-0000-0000342E0000}"/>
    <cellStyle name="Normal 38 14 3" xfId="11831" xr:uid="{00000000-0005-0000-0000-0000352E0000}"/>
    <cellStyle name="Normal 38 14 4" xfId="11832" xr:uid="{00000000-0005-0000-0000-0000362E0000}"/>
    <cellStyle name="Normal 38 15" xfId="11833" xr:uid="{00000000-0005-0000-0000-0000372E0000}"/>
    <cellStyle name="Normal 38 15 2" xfId="11834" xr:uid="{00000000-0005-0000-0000-0000382E0000}"/>
    <cellStyle name="Normal 38 15 2 2" xfId="11835" xr:uid="{00000000-0005-0000-0000-0000392E0000}"/>
    <cellStyle name="Normal 38 15 2 3" xfId="11836" xr:uid="{00000000-0005-0000-0000-00003A2E0000}"/>
    <cellStyle name="Normal 38 15 3" xfId="11837" xr:uid="{00000000-0005-0000-0000-00003B2E0000}"/>
    <cellStyle name="Normal 38 15 4" xfId="11838" xr:uid="{00000000-0005-0000-0000-00003C2E0000}"/>
    <cellStyle name="Normal 38 16" xfId="11839" xr:uid="{00000000-0005-0000-0000-00003D2E0000}"/>
    <cellStyle name="Normal 38 16 2" xfId="11840" xr:uid="{00000000-0005-0000-0000-00003E2E0000}"/>
    <cellStyle name="Normal 38 16 2 2" xfId="11841" xr:uid="{00000000-0005-0000-0000-00003F2E0000}"/>
    <cellStyle name="Normal 38 16 2 3" xfId="11842" xr:uid="{00000000-0005-0000-0000-0000402E0000}"/>
    <cellStyle name="Normal 38 16 3" xfId="11843" xr:uid="{00000000-0005-0000-0000-0000412E0000}"/>
    <cellStyle name="Normal 38 16 4" xfId="11844" xr:uid="{00000000-0005-0000-0000-0000422E0000}"/>
    <cellStyle name="Normal 38 17" xfId="11845" xr:uid="{00000000-0005-0000-0000-0000432E0000}"/>
    <cellStyle name="Normal 38 17 2" xfId="11846" xr:uid="{00000000-0005-0000-0000-0000442E0000}"/>
    <cellStyle name="Normal 38 17 2 2" xfId="11847" xr:uid="{00000000-0005-0000-0000-0000452E0000}"/>
    <cellStyle name="Normal 38 17 2 3" xfId="11848" xr:uid="{00000000-0005-0000-0000-0000462E0000}"/>
    <cellStyle name="Normal 38 17 3" xfId="11849" xr:uid="{00000000-0005-0000-0000-0000472E0000}"/>
    <cellStyle name="Normal 38 17 4" xfId="11850" xr:uid="{00000000-0005-0000-0000-0000482E0000}"/>
    <cellStyle name="Normal 38 18" xfId="11851" xr:uid="{00000000-0005-0000-0000-0000492E0000}"/>
    <cellStyle name="Normal 38 18 2" xfId="11852" xr:uid="{00000000-0005-0000-0000-00004A2E0000}"/>
    <cellStyle name="Normal 38 18 2 2" xfId="11853" xr:uid="{00000000-0005-0000-0000-00004B2E0000}"/>
    <cellStyle name="Normal 38 18 2 3" xfId="11854" xr:uid="{00000000-0005-0000-0000-00004C2E0000}"/>
    <cellStyle name="Normal 38 18 3" xfId="11855" xr:uid="{00000000-0005-0000-0000-00004D2E0000}"/>
    <cellStyle name="Normal 38 18 4" xfId="11856" xr:uid="{00000000-0005-0000-0000-00004E2E0000}"/>
    <cellStyle name="Normal 38 19" xfId="11857" xr:uid="{00000000-0005-0000-0000-00004F2E0000}"/>
    <cellStyle name="Normal 38 19 2" xfId="11858" xr:uid="{00000000-0005-0000-0000-0000502E0000}"/>
    <cellStyle name="Normal 38 19 2 2" xfId="11859" xr:uid="{00000000-0005-0000-0000-0000512E0000}"/>
    <cellStyle name="Normal 38 19 2 3" xfId="11860" xr:uid="{00000000-0005-0000-0000-0000522E0000}"/>
    <cellStyle name="Normal 38 19 3" xfId="11861" xr:uid="{00000000-0005-0000-0000-0000532E0000}"/>
    <cellStyle name="Normal 38 19 4" xfId="11862" xr:uid="{00000000-0005-0000-0000-0000542E0000}"/>
    <cellStyle name="Normal 38 2" xfId="11863" xr:uid="{00000000-0005-0000-0000-0000552E0000}"/>
    <cellStyle name="Normal 38 2 2" xfId="11864" xr:uid="{00000000-0005-0000-0000-0000562E0000}"/>
    <cellStyle name="Normal 38 2 2 2" xfId="11865" xr:uid="{00000000-0005-0000-0000-0000572E0000}"/>
    <cellStyle name="Normal 38 2 2 3" xfId="11866" xr:uid="{00000000-0005-0000-0000-0000582E0000}"/>
    <cellStyle name="Normal 38 2 3" xfId="11867" xr:uid="{00000000-0005-0000-0000-0000592E0000}"/>
    <cellStyle name="Normal 38 2 4" xfId="11868" xr:uid="{00000000-0005-0000-0000-00005A2E0000}"/>
    <cellStyle name="Normal 38 20" xfId="11869" xr:uid="{00000000-0005-0000-0000-00005B2E0000}"/>
    <cellStyle name="Normal 38 20 2" xfId="11870" xr:uid="{00000000-0005-0000-0000-00005C2E0000}"/>
    <cellStyle name="Normal 38 20 2 2" xfId="11871" xr:uid="{00000000-0005-0000-0000-00005D2E0000}"/>
    <cellStyle name="Normal 38 20 2 3" xfId="11872" xr:uid="{00000000-0005-0000-0000-00005E2E0000}"/>
    <cellStyle name="Normal 38 20 3" xfId="11873" xr:uid="{00000000-0005-0000-0000-00005F2E0000}"/>
    <cellStyle name="Normal 38 20 4" xfId="11874" xr:uid="{00000000-0005-0000-0000-0000602E0000}"/>
    <cellStyle name="Normal 38 21" xfId="11875" xr:uid="{00000000-0005-0000-0000-0000612E0000}"/>
    <cellStyle name="Normal 38 21 2" xfId="11876" xr:uid="{00000000-0005-0000-0000-0000622E0000}"/>
    <cellStyle name="Normal 38 21 2 2" xfId="11877" xr:uid="{00000000-0005-0000-0000-0000632E0000}"/>
    <cellStyle name="Normal 38 21 2 3" xfId="11878" xr:uid="{00000000-0005-0000-0000-0000642E0000}"/>
    <cellStyle name="Normal 38 21 3" xfId="11879" xr:uid="{00000000-0005-0000-0000-0000652E0000}"/>
    <cellStyle name="Normal 38 21 4" xfId="11880" xr:uid="{00000000-0005-0000-0000-0000662E0000}"/>
    <cellStyle name="Normal 38 22" xfId="11881" xr:uid="{00000000-0005-0000-0000-0000672E0000}"/>
    <cellStyle name="Normal 38 22 2" xfId="11882" xr:uid="{00000000-0005-0000-0000-0000682E0000}"/>
    <cellStyle name="Normal 38 22 2 2" xfId="11883" xr:uid="{00000000-0005-0000-0000-0000692E0000}"/>
    <cellStyle name="Normal 38 22 2 3" xfId="11884" xr:uid="{00000000-0005-0000-0000-00006A2E0000}"/>
    <cellStyle name="Normal 38 22 3" xfId="11885" xr:uid="{00000000-0005-0000-0000-00006B2E0000}"/>
    <cellStyle name="Normal 38 22 4" xfId="11886" xr:uid="{00000000-0005-0000-0000-00006C2E0000}"/>
    <cellStyle name="Normal 38 23" xfId="11887" xr:uid="{00000000-0005-0000-0000-00006D2E0000}"/>
    <cellStyle name="Normal 38 23 2" xfId="11888" xr:uid="{00000000-0005-0000-0000-00006E2E0000}"/>
    <cellStyle name="Normal 38 23 2 2" xfId="11889" xr:uid="{00000000-0005-0000-0000-00006F2E0000}"/>
    <cellStyle name="Normal 38 23 2 3" xfId="11890" xr:uid="{00000000-0005-0000-0000-0000702E0000}"/>
    <cellStyle name="Normal 38 23 3" xfId="11891" xr:uid="{00000000-0005-0000-0000-0000712E0000}"/>
    <cellStyle name="Normal 38 23 4" xfId="11892" xr:uid="{00000000-0005-0000-0000-0000722E0000}"/>
    <cellStyle name="Normal 38 24" xfId="11893" xr:uid="{00000000-0005-0000-0000-0000732E0000}"/>
    <cellStyle name="Normal 38 24 2" xfId="11894" xr:uid="{00000000-0005-0000-0000-0000742E0000}"/>
    <cellStyle name="Normal 38 24 3" xfId="11895" xr:uid="{00000000-0005-0000-0000-0000752E0000}"/>
    <cellStyle name="Normal 38 25" xfId="11896" xr:uid="{00000000-0005-0000-0000-0000762E0000}"/>
    <cellStyle name="Normal 38 26" xfId="11897" xr:uid="{00000000-0005-0000-0000-0000772E0000}"/>
    <cellStyle name="Normal 38 3" xfId="11898" xr:uid="{00000000-0005-0000-0000-0000782E0000}"/>
    <cellStyle name="Normal 38 3 2" xfId="11899" xr:uid="{00000000-0005-0000-0000-0000792E0000}"/>
    <cellStyle name="Normal 38 3 2 2" xfId="11900" xr:uid="{00000000-0005-0000-0000-00007A2E0000}"/>
    <cellStyle name="Normal 38 3 2 3" xfId="11901" xr:uid="{00000000-0005-0000-0000-00007B2E0000}"/>
    <cellStyle name="Normal 38 3 3" xfId="11902" xr:uid="{00000000-0005-0000-0000-00007C2E0000}"/>
    <cellStyle name="Normal 38 3 4" xfId="11903" xr:uid="{00000000-0005-0000-0000-00007D2E0000}"/>
    <cellStyle name="Normal 38 4" xfId="11904" xr:uid="{00000000-0005-0000-0000-00007E2E0000}"/>
    <cellStyle name="Normal 38 4 2" xfId="11905" xr:uid="{00000000-0005-0000-0000-00007F2E0000}"/>
    <cellStyle name="Normal 38 4 2 2" xfId="11906" xr:uid="{00000000-0005-0000-0000-0000802E0000}"/>
    <cellStyle name="Normal 38 4 2 3" xfId="11907" xr:uid="{00000000-0005-0000-0000-0000812E0000}"/>
    <cellStyle name="Normal 38 4 3" xfId="11908" xr:uid="{00000000-0005-0000-0000-0000822E0000}"/>
    <cellStyle name="Normal 38 4 4" xfId="11909" xr:uid="{00000000-0005-0000-0000-0000832E0000}"/>
    <cellStyle name="Normal 38 5" xfId="11910" xr:uid="{00000000-0005-0000-0000-0000842E0000}"/>
    <cellStyle name="Normal 38 5 2" xfId="11911" xr:uid="{00000000-0005-0000-0000-0000852E0000}"/>
    <cellStyle name="Normal 38 5 2 2" xfId="11912" xr:uid="{00000000-0005-0000-0000-0000862E0000}"/>
    <cellStyle name="Normal 38 5 2 3" xfId="11913" xr:uid="{00000000-0005-0000-0000-0000872E0000}"/>
    <cellStyle name="Normal 38 5 3" xfId="11914" xr:uid="{00000000-0005-0000-0000-0000882E0000}"/>
    <cellStyle name="Normal 38 5 4" xfId="11915" xr:uid="{00000000-0005-0000-0000-0000892E0000}"/>
    <cellStyle name="Normal 38 6" xfId="11916" xr:uid="{00000000-0005-0000-0000-00008A2E0000}"/>
    <cellStyle name="Normal 38 6 2" xfId="11917" xr:uid="{00000000-0005-0000-0000-00008B2E0000}"/>
    <cellStyle name="Normal 38 6 2 2" xfId="11918" xr:uid="{00000000-0005-0000-0000-00008C2E0000}"/>
    <cellStyle name="Normal 38 6 2 3" xfId="11919" xr:uid="{00000000-0005-0000-0000-00008D2E0000}"/>
    <cellStyle name="Normal 38 6 3" xfId="11920" xr:uid="{00000000-0005-0000-0000-00008E2E0000}"/>
    <cellStyle name="Normal 38 6 4" xfId="11921" xr:uid="{00000000-0005-0000-0000-00008F2E0000}"/>
    <cellStyle name="Normal 38 7" xfId="11922" xr:uid="{00000000-0005-0000-0000-0000902E0000}"/>
    <cellStyle name="Normal 38 7 2" xfId="11923" xr:uid="{00000000-0005-0000-0000-0000912E0000}"/>
    <cellStyle name="Normal 38 7 2 2" xfId="11924" xr:uid="{00000000-0005-0000-0000-0000922E0000}"/>
    <cellStyle name="Normal 38 7 2 3" xfId="11925" xr:uid="{00000000-0005-0000-0000-0000932E0000}"/>
    <cellStyle name="Normal 38 7 3" xfId="11926" xr:uid="{00000000-0005-0000-0000-0000942E0000}"/>
    <cellStyle name="Normal 38 7 4" xfId="11927" xr:uid="{00000000-0005-0000-0000-0000952E0000}"/>
    <cellStyle name="Normal 38 8" xfId="11928" xr:uid="{00000000-0005-0000-0000-0000962E0000}"/>
    <cellStyle name="Normal 38 8 2" xfId="11929" xr:uid="{00000000-0005-0000-0000-0000972E0000}"/>
    <cellStyle name="Normal 38 8 2 2" xfId="11930" xr:uid="{00000000-0005-0000-0000-0000982E0000}"/>
    <cellStyle name="Normal 38 8 2 3" xfId="11931" xr:uid="{00000000-0005-0000-0000-0000992E0000}"/>
    <cellStyle name="Normal 38 8 3" xfId="11932" xr:uid="{00000000-0005-0000-0000-00009A2E0000}"/>
    <cellStyle name="Normal 38 8 4" xfId="11933" xr:uid="{00000000-0005-0000-0000-00009B2E0000}"/>
    <cellStyle name="Normal 38 9" xfId="11934" xr:uid="{00000000-0005-0000-0000-00009C2E0000}"/>
    <cellStyle name="Normal 38 9 2" xfId="11935" xr:uid="{00000000-0005-0000-0000-00009D2E0000}"/>
    <cellStyle name="Normal 38 9 2 2" xfId="11936" xr:uid="{00000000-0005-0000-0000-00009E2E0000}"/>
    <cellStyle name="Normal 38 9 2 3" xfId="11937" xr:uid="{00000000-0005-0000-0000-00009F2E0000}"/>
    <cellStyle name="Normal 38 9 3" xfId="11938" xr:uid="{00000000-0005-0000-0000-0000A02E0000}"/>
    <cellStyle name="Normal 38 9 4" xfId="11939" xr:uid="{00000000-0005-0000-0000-0000A12E0000}"/>
    <cellStyle name="Normal 39" xfId="11940" xr:uid="{00000000-0005-0000-0000-0000A22E0000}"/>
    <cellStyle name="Normal 39 10" xfId="11941" xr:uid="{00000000-0005-0000-0000-0000A32E0000}"/>
    <cellStyle name="Normal 39 10 2" xfId="11942" xr:uid="{00000000-0005-0000-0000-0000A42E0000}"/>
    <cellStyle name="Normal 39 10 2 2" xfId="11943" xr:uid="{00000000-0005-0000-0000-0000A52E0000}"/>
    <cellStyle name="Normal 39 10 2 3" xfId="11944" xr:uid="{00000000-0005-0000-0000-0000A62E0000}"/>
    <cellStyle name="Normal 39 10 3" xfId="11945" xr:uid="{00000000-0005-0000-0000-0000A72E0000}"/>
    <cellStyle name="Normal 39 10 4" xfId="11946" xr:uid="{00000000-0005-0000-0000-0000A82E0000}"/>
    <cellStyle name="Normal 39 11" xfId="11947" xr:uid="{00000000-0005-0000-0000-0000A92E0000}"/>
    <cellStyle name="Normal 39 11 2" xfId="11948" xr:uid="{00000000-0005-0000-0000-0000AA2E0000}"/>
    <cellStyle name="Normal 39 11 2 2" xfId="11949" xr:uid="{00000000-0005-0000-0000-0000AB2E0000}"/>
    <cellStyle name="Normal 39 11 2 3" xfId="11950" xr:uid="{00000000-0005-0000-0000-0000AC2E0000}"/>
    <cellStyle name="Normal 39 11 3" xfId="11951" xr:uid="{00000000-0005-0000-0000-0000AD2E0000}"/>
    <cellStyle name="Normal 39 11 4" xfId="11952" xr:uid="{00000000-0005-0000-0000-0000AE2E0000}"/>
    <cellStyle name="Normal 39 12" xfId="11953" xr:uid="{00000000-0005-0000-0000-0000AF2E0000}"/>
    <cellStyle name="Normal 39 12 2" xfId="11954" xr:uid="{00000000-0005-0000-0000-0000B02E0000}"/>
    <cellStyle name="Normal 39 12 2 2" xfId="11955" xr:uid="{00000000-0005-0000-0000-0000B12E0000}"/>
    <cellStyle name="Normal 39 12 2 3" xfId="11956" xr:uid="{00000000-0005-0000-0000-0000B22E0000}"/>
    <cellStyle name="Normal 39 12 3" xfId="11957" xr:uid="{00000000-0005-0000-0000-0000B32E0000}"/>
    <cellStyle name="Normal 39 12 4" xfId="11958" xr:uid="{00000000-0005-0000-0000-0000B42E0000}"/>
    <cellStyle name="Normal 39 13" xfId="11959" xr:uid="{00000000-0005-0000-0000-0000B52E0000}"/>
    <cellStyle name="Normal 39 13 2" xfId="11960" xr:uid="{00000000-0005-0000-0000-0000B62E0000}"/>
    <cellStyle name="Normal 39 13 2 2" xfId="11961" xr:uid="{00000000-0005-0000-0000-0000B72E0000}"/>
    <cellStyle name="Normal 39 13 2 3" xfId="11962" xr:uid="{00000000-0005-0000-0000-0000B82E0000}"/>
    <cellStyle name="Normal 39 13 3" xfId="11963" xr:uid="{00000000-0005-0000-0000-0000B92E0000}"/>
    <cellStyle name="Normal 39 13 4" xfId="11964" xr:uid="{00000000-0005-0000-0000-0000BA2E0000}"/>
    <cellStyle name="Normal 39 14" xfId="11965" xr:uid="{00000000-0005-0000-0000-0000BB2E0000}"/>
    <cellStyle name="Normal 39 14 2" xfId="11966" xr:uid="{00000000-0005-0000-0000-0000BC2E0000}"/>
    <cellStyle name="Normal 39 14 2 2" xfId="11967" xr:uid="{00000000-0005-0000-0000-0000BD2E0000}"/>
    <cellStyle name="Normal 39 14 2 3" xfId="11968" xr:uid="{00000000-0005-0000-0000-0000BE2E0000}"/>
    <cellStyle name="Normal 39 14 3" xfId="11969" xr:uid="{00000000-0005-0000-0000-0000BF2E0000}"/>
    <cellStyle name="Normal 39 14 4" xfId="11970" xr:uid="{00000000-0005-0000-0000-0000C02E0000}"/>
    <cellStyle name="Normal 39 15" xfId="11971" xr:uid="{00000000-0005-0000-0000-0000C12E0000}"/>
    <cellStyle name="Normal 39 15 2" xfId="11972" xr:uid="{00000000-0005-0000-0000-0000C22E0000}"/>
    <cellStyle name="Normal 39 15 2 2" xfId="11973" xr:uid="{00000000-0005-0000-0000-0000C32E0000}"/>
    <cellStyle name="Normal 39 15 2 3" xfId="11974" xr:uid="{00000000-0005-0000-0000-0000C42E0000}"/>
    <cellStyle name="Normal 39 15 3" xfId="11975" xr:uid="{00000000-0005-0000-0000-0000C52E0000}"/>
    <cellStyle name="Normal 39 15 4" xfId="11976" xr:uid="{00000000-0005-0000-0000-0000C62E0000}"/>
    <cellStyle name="Normal 39 16" xfId="11977" xr:uid="{00000000-0005-0000-0000-0000C72E0000}"/>
    <cellStyle name="Normal 39 16 2" xfId="11978" xr:uid="{00000000-0005-0000-0000-0000C82E0000}"/>
    <cellStyle name="Normal 39 16 2 2" xfId="11979" xr:uid="{00000000-0005-0000-0000-0000C92E0000}"/>
    <cellStyle name="Normal 39 16 2 3" xfId="11980" xr:uid="{00000000-0005-0000-0000-0000CA2E0000}"/>
    <cellStyle name="Normal 39 16 3" xfId="11981" xr:uid="{00000000-0005-0000-0000-0000CB2E0000}"/>
    <cellStyle name="Normal 39 16 4" xfId="11982" xr:uid="{00000000-0005-0000-0000-0000CC2E0000}"/>
    <cellStyle name="Normal 39 17" xfId="11983" xr:uid="{00000000-0005-0000-0000-0000CD2E0000}"/>
    <cellStyle name="Normal 39 17 2" xfId="11984" xr:uid="{00000000-0005-0000-0000-0000CE2E0000}"/>
    <cellStyle name="Normal 39 17 2 2" xfId="11985" xr:uid="{00000000-0005-0000-0000-0000CF2E0000}"/>
    <cellStyle name="Normal 39 17 2 3" xfId="11986" xr:uid="{00000000-0005-0000-0000-0000D02E0000}"/>
    <cellStyle name="Normal 39 17 3" xfId="11987" xr:uid="{00000000-0005-0000-0000-0000D12E0000}"/>
    <cellStyle name="Normal 39 17 4" xfId="11988" xr:uid="{00000000-0005-0000-0000-0000D22E0000}"/>
    <cellStyle name="Normal 39 18" xfId="11989" xr:uid="{00000000-0005-0000-0000-0000D32E0000}"/>
    <cellStyle name="Normal 39 18 2" xfId="11990" xr:uid="{00000000-0005-0000-0000-0000D42E0000}"/>
    <cellStyle name="Normal 39 18 2 2" xfId="11991" xr:uid="{00000000-0005-0000-0000-0000D52E0000}"/>
    <cellStyle name="Normal 39 18 2 3" xfId="11992" xr:uid="{00000000-0005-0000-0000-0000D62E0000}"/>
    <cellStyle name="Normal 39 18 3" xfId="11993" xr:uid="{00000000-0005-0000-0000-0000D72E0000}"/>
    <cellStyle name="Normal 39 18 4" xfId="11994" xr:uid="{00000000-0005-0000-0000-0000D82E0000}"/>
    <cellStyle name="Normal 39 19" xfId="11995" xr:uid="{00000000-0005-0000-0000-0000D92E0000}"/>
    <cellStyle name="Normal 39 19 2" xfId="11996" xr:uid="{00000000-0005-0000-0000-0000DA2E0000}"/>
    <cellStyle name="Normal 39 19 2 2" xfId="11997" xr:uid="{00000000-0005-0000-0000-0000DB2E0000}"/>
    <cellStyle name="Normal 39 19 2 3" xfId="11998" xr:uid="{00000000-0005-0000-0000-0000DC2E0000}"/>
    <cellStyle name="Normal 39 19 3" xfId="11999" xr:uid="{00000000-0005-0000-0000-0000DD2E0000}"/>
    <cellStyle name="Normal 39 19 4" xfId="12000" xr:uid="{00000000-0005-0000-0000-0000DE2E0000}"/>
    <cellStyle name="Normal 39 2" xfId="12001" xr:uid="{00000000-0005-0000-0000-0000DF2E0000}"/>
    <cellStyle name="Normal 39 2 2" xfId="12002" xr:uid="{00000000-0005-0000-0000-0000E02E0000}"/>
    <cellStyle name="Normal 39 2 2 2" xfId="12003" xr:uid="{00000000-0005-0000-0000-0000E12E0000}"/>
    <cellStyle name="Normal 39 2 2 3" xfId="12004" xr:uid="{00000000-0005-0000-0000-0000E22E0000}"/>
    <cellStyle name="Normal 39 2 3" xfId="12005" xr:uid="{00000000-0005-0000-0000-0000E32E0000}"/>
    <cellStyle name="Normal 39 2 4" xfId="12006" xr:uid="{00000000-0005-0000-0000-0000E42E0000}"/>
    <cellStyle name="Normal 39 20" xfId="12007" xr:uid="{00000000-0005-0000-0000-0000E52E0000}"/>
    <cellStyle name="Normal 39 20 2" xfId="12008" xr:uid="{00000000-0005-0000-0000-0000E62E0000}"/>
    <cellStyle name="Normal 39 20 2 2" xfId="12009" xr:uid="{00000000-0005-0000-0000-0000E72E0000}"/>
    <cellStyle name="Normal 39 20 2 3" xfId="12010" xr:uid="{00000000-0005-0000-0000-0000E82E0000}"/>
    <cellStyle name="Normal 39 20 3" xfId="12011" xr:uid="{00000000-0005-0000-0000-0000E92E0000}"/>
    <cellStyle name="Normal 39 20 4" xfId="12012" xr:uid="{00000000-0005-0000-0000-0000EA2E0000}"/>
    <cellStyle name="Normal 39 21" xfId="12013" xr:uid="{00000000-0005-0000-0000-0000EB2E0000}"/>
    <cellStyle name="Normal 39 21 2" xfId="12014" xr:uid="{00000000-0005-0000-0000-0000EC2E0000}"/>
    <cellStyle name="Normal 39 21 2 2" xfId="12015" xr:uid="{00000000-0005-0000-0000-0000ED2E0000}"/>
    <cellStyle name="Normal 39 21 2 3" xfId="12016" xr:uid="{00000000-0005-0000-0000-0000EE2E0000}"/>
    <cellStyle name="Normal 39 21 3" xfId="12017" xr:uid="{00000000-0005-0000-0000-0000EF2E0000}"/>
    <cellStyle name="Normal 39 21 4" xfId="12018" xr:uid="{00000000-0005-0000-0000-0000F02E0000}"/>
    <cellStyle name="Normal 39 22" xfId="12019" xr:uid="{00000000-0005-0000-0000-0000F12E0000}"/>
    <cellStyle name="Normal 39 22 2" xfId="12020" xr:uid="{00000000-0005-0000-0000-0000F22E0000}"/>
    <cellStyle name="Normal 39 22 2 2" xfId="12021" xr:uid="{00000000-0005-0000-0000-0000F32E0000}"/>
    <cellStyle name="Normal 39 22 2 3" xfId="12022" xr:uid="{00000000-0005-0000-0000-0000F42E0000}"/>
    <cellStyle name="Normal 39 22 3" xfId="12023" xr:uid="{00000000-0005-0000-0000-0000F52E0000}"/>
    <cellStyle name="Normal 39 22 4" xfId="12024" xr:uid="{00000000-0005-0000-0000-0000F62E0000}"/>
    <cellStyle name="Normal 39 23" xfId="12025" xr:uid="{00000000-0005-0000-0000-0000F72E0000}"/>
    <cellStyle name="Normal 39 23 2" xfId="12026" xr:uid="{00000000-0005-0000-0000-0000F82E0000}"/>
    <cellStyle name="Normal 39 23 2 2" xfId="12027" xr:uid="{00000000-0005-0000-0000-0000F92E0000}"/>
    <cellStyle name="Normal 39 23 2 3" xfId="12028" xr:uid="{00000000-0005-0000-0000-0000FA2E0000}"/>
    <cellStyle name="Normal 39 23 3" xfId="12029" xr:uid="{00000000-0005-0000-0000-0000FB2E0000}"/>
    <cellStyle name="Normal 39 23 4" xfId="12030" xr:uid="{00000000-0005-0000-0000-0000FC2E0000}"/>
    <cellStyle name="Normal 39 24" xfId="12031" xr:uid="{00000000-0005-0000-0000-0000FD2E0000}"/>
    <cellStyle name="Normal 39 24 2" xfId="12032" xr:uid="{00000000-0005-0000-0000-0000FE2E0000}"/>
    <cellStyle name="Normal 39 24 3" xfId="12033" xr:uid="{00000000-0005-0000-0000-0000FF2E0000}"/>
    <cellStyle name="Normal 39 25" xfId="12034" xr:uid="{00000000-0005-0000-0000-0000002F0000}"/>
    <cellStyle name="Normal 39 26" xfId="12035" xr:uid="{00000000-0005-0000-0000-0000012F0000}"/>
    <cellStyle name="Normal 39 3" xfId="12036" xr:uid="{00000000-0005-0000-0000-0000022F0000}"/>
    <cellStyle name="Normal 39 3 2" xfId="12037" xr:uid="{00000000-0005-0000-0000-0000032F0000}"/>
    <cellStyle name="Normal 39 3 2 2" xfId="12038" xr:uid="{00000000-0005-0000-0000-0000042F0000}"/>
    <cellStyle name="Normal 39 3 2 3" xfId="12039" xr:uid="{00000000-0005-0000-0000-0000052F0000}"/>
    <cellStyle name="Normal 39 3 3" xfId="12040" xr:uid="{00000000-0005-0000-0000-0000062F0000}"/>
    <cellStyle name="Normal 39 3 4" xfId="12041" xr:uid="{00000000-0005-0000-0000-0000072F0000}"/>
    <cellStyle name="Normal 39 4" xfId="12042" xr:uid="{00000000-0005-0000-0000-0000082F0000}"/>
    <cellStyle name="Normal 39 4 2" xfId="12043" xr:uid="{00000000-0005-0000-0000-0000092F0000}"/>
    <cellStyle name="Normal 39 4 2 2" xfId="12044" xr:uid="{00000000-0005-0000-0000-00000A2F0000}"/>
    <cellStyle name="Normal 39 4 2 3" xfId="12045" xr:uid="{00000000-0005-0000-0000-00000B2F0000}"/>
    <cellStyle name="Normal 39 4 3" xfId="12046" xr:uid="{00000000-0005-0000-0000-00000C2F0000}"/>
    <cellStyle name="Normal 39 4 4" xfId="12047" xr:uid="{00000000-0005-0000-0000-00000D2F0000}"/>
    <cellStyle name="Normal 39 5" xfId="12048" xr:uid="{00000000-0005-0000-0000-00000E2F0000}"/>
    <cellStyle name="Normal 39 5 2" xfId="12049" xr:uid="{00000000-0005-0000-0000-00000F2F0000}"/>
    <cellStyle name="Normal 39 5 2 2" xfId="12050" xr:uid="{00000000-0005-0000-0000-0000102F0000}"/>
    <cellStyle name="Normal 39 5 2 3" xfId="12051" xr:uid="{00000000-0005-0000-0000-0000112F0000}"/>
    <cellStyle name="Normal 39 5 3" xfId="12052" xr:uid="{00000000-0005-0000-0000-0000122F0000}"/>
    <cellStyle name="Normal 39 5 4" xfId="12053" xr:uid="{00000000-0005-0000-0000-0000132F0000}"/>
    <cellStyle name="Normal 39 6" xfId="12054" xr:uid="{00000000-0005-0000-0000-0000142F0000}"/>
    <cellStyle name="Normal 39 6 2" xfId="12055" xr:uid="{00000000-0005-0000-0000-0000152F0000}"/>
    <cellStyle name="Normal 39 6 2 2" xfId="12056" xr:uid="{00000000-0005-0000-0000-0000162F0000}"/>
    <cellStyle name="Normal 39 6 2 3" xfId="12057" xr:uid="{00000000-0005-0000-0000-0000172F0000}"/>
    <cellStyle name="Normal 39 6 3" xfId="12058" xr:uid="{00000000-0005-0000-0000-0000182F0000}"/>
    <cellStyle name="Normal 39 6 4" xfId="12059" xr:uid="{00000000-0005-0000-0000-0000192F0000}"/>
    <cellStyle name="Normal 39 7" xfId="12060" xr:uid="{00000000-0005-0000-0000-00001A2F0000}"/>
    <cellStyle name="Normal 39 7 2" xfId="12061" xr:uid="{00000000-0005-0000-0000-00001B2F0000}"/>
    <cellStyle name="Normal 39 7 2 2" xfId="12062" xr:uid="{00000000-0005-0000-0000-00001C2F0000}"/>
    <cellStyle name="Normal 39 7 2 3" xfId="12063" xr:uid="{00000000-0005-0000-0000-00001D2F0000}"/>
    <cellStyle name="Normal 39 7 3" xfId="12064" xr:uid="{00000000-0005-0000-0000-00001E2F0000}"/>
    <cellStyle name="Normal 39 7 4" xfId="12065" xr:uid="{00000000-0005-0000-0000-00001F2F0000}"/>
    <cellStyle name="Normal 39 8" xfId="12066" xr:uid="{00000000-0005-0000-0000-0000202F0000}"/>
    <cellStyle name="Normal 39 8 2" xfId="12067" xr:uid="{00000000-0005-0000-0000-0000212F0000}"/>
    <cellStyle name="Normal 39 8 2 2" xfId="12068" xr:uid="{00000000-0005-0000-0000-0000222F0000}"/>
    <cellStyle name="Normal 39 8 2 3" xfId="12069" xr:uid="{00000000-0005-0000-0000-0000232F0000}"/>
    <cellStyle name="Normal 39 8 3" xfId="12070" xr:uid="{00000000-0005-0000-0000-0000242F0000}"/>
    <cellStyle name="Normal 39 8 4" xfId="12071" xr:uid="{00000000-0005-0000-0000-0000252F0000}"/>
    <cellStyle name="Normal 39 9" xfId="12072" xr:uid="{00000000-0005-0000-0000-0000262F0000}"/>
    <cellStyle name="Normal 39 9 2" xfId="12073" xr:uid="{00000000-0005-0000-0000-0000272F0000}"/>
    <cellStyle name="Normal 39 9 2 2" xfId="12074" xr:uid="{00000000-0005-0000-0000-0000282F0000}"/>
    <cellStyle name="Normal 39 9 2 3" xfId="12075" xr:uid="{00000000-0005-0000-0000-0000292F0000}"/>
    <cellStyle name="Normal 39 9 3" xfId="12076" xr:uid="{00000000-0005-0000-0000-00002A2F0000}"/>
    <cellStyle name="Normal 39 9 4" xfId="12077" xr:uid="{00000000-0005-0000-0000-00002B2F0000}"/>
    <cellStyle name="Normal 4" xfId="12078" xr:uid="{00000000-0005-0000-0000-00002C2F0000}"/>
    <cellStyle name="Normal 4 10" xfId="12079" xr:uid="{00000000-0005-0000-0000-00002D2F0000}"/>
    <cellStyle name="Normal 4 10 2" xfId="12080" xr:uid="{00000000-0005-0000-0000-00002E2F0000}"/>
    <cellStyle name="Normal 4 100" xfId="12081" xr:uid="{00000000-0005-0000-0000-00002F2F0000}"/>
    <cellStyle name="Normal 4 100 2" xfId="12082" xr:uid="{00000000-0005-0000-0000-0000302F0000}"/>
    <cellStyle name="Normal 4 100 2 2" xfId="12083" xr:uid="{00000000-0005-0000-0000-0000312F0000}"/>
    <cellStyle name="Normal 4 100 2 3" xfId="12084" xr:uid="{00000000-0005-0000-0000-0000322F0000}"/>
    <cellStyle name="Normal 4 100 3" xfId="12085" xr:uid="{00000000-0005-0000-0000-0000332F0000}"/>
    <cellStyle name="Normal 4 100 4" xfId="12086" xr:uid="{00000000-0005-0000-0000-0000342F0000}"/>
    <cellStyle name="Normal 4 101" xfId="12087" xr:uid="{00000000-0005-0000-0000-0000352F0000}"/>
    <cellStyle name="Normal 4 101 2" xfId="12088" xr:uid="{00000000-0005-0000-0000-0000362F0000}"/>
    <cellStyle name="Normal 4 101 2 2" xfId="12089" xr:uid="{00000000-0005-0000-0000-0000372F0000}"/>
    <cellStyle name="Normal 4 101 2 3" xfId="12090" xr:uid="{00000000-0005-0000-0000-0000382F0000}"/>
    <cellStyle name="Normal 4 101 3" xfId="12091" xr:uid="{00000000-0005-0000-0000-0000392F0000}"/>
    <cellStyle name="Normal 4 101 4" xfId="12092" xr:uid="{00000000-0005-0000-0000-00003A2F0000}"/>
    <cellStyle name="Normal 4 102" xfId="12093" xr:uid="{00000000-0005-0000-0000-00003B2F0000}"/>
    <cellStyle name="Normal 4 102 2" xfId="12094" xr:uid="{00000000-0005-0000-0000-00003C2F0000}"/>
    <cellStyle name="Normal 4 102 2 2" xfId="12095" xr:uid="{00000000-0005-0000-0000-00003D2F0000}"/>
    <cellStyle name="Normal 4 102 2 3" xfId="12096" xr:uid="{00000000-0005-0000-0000-00003E2F0000}"/>
    <cellStyle name="Normal 4 102 3" xfId="12097" xr:uid="{00000000-0005-0000-0000-00003F2F0000}"/>
    <cellStyle name="Normal 4 102 4" xfId="12098" xr:uid="{00000000-0005-0000-0000-0000402F0000}"/>
    <cellStyle name="Normal 4 103" xfId="12099" xr:uid="{00000000-0005-0000-0000-0000412F0000}"/>
    <cellStyle name="Normal 4 103 2" xfId="12100" xr:uid="{00000000-0005-0000-0000-0000422F0000}"/>
    <cellStyle name="Normal 4 103 2 2" xfId="12101" xr:uid="{00000000-0005-0000-0000-0000432F0000}"/>
    <cellStyle name="Normal 4 103 2 3" xfId="12102" xr:uid="{00000000-0005-0000-0000-0000442F0000}"/>
    <cellStyle name="Normal 4 103 3" xfId="12103" xr:uid="{00000000-0005-0000-0000-0000452F0000}"/>
    <cellStyle name="Normal 4 103 4" xfId="12104" xr:uid="{00000000-0005-0000-0000-0000462F0000}"/>
    <cellStyle name="Normal 4 104" xfId="12105" xr:uid="{00000000-0005-0000-0000-0000472F0000}"/>
    <cellStyle name="Normal 4 105" xfId="12106" xr:uid="{00000000-0005-0000-0000-0000482F0000}"/>
    <cellStyle name="Normal 4 11" xfId="12107" xr:uid="{00000000-0005-0000-0000-0000492F0000}"/>
    <cellStyle name="Normal 4 11 2" xfId="12108" xr:uid="{00000000-0005-0000-0000-00004A2F0000}"/>
    <cellStyle name="Normal 4 12" xfId="12109" xr:uid="{00000000-0005-0000-0000-00004B2F0000}"/>
    <cellStyle name="Normal 4 12 2" xfId="12110" xr:uid="{00000000-0005-0000-0000-00004C2F0000}"/>
    <cellStyle name="Normal 4 13" xfId="12111" xr:uid="{00000000-0005-0000-0000-00004D2F0000}"/>
    <cellStyle name="Normal 4 13 2" xfId="12112" xr:uid="{00000000-0005-0000-0000-00004E2F0000}"/>
    <cellStyle name="Normal 4 14" xfId="12113" xr:uid="{00000000-0005-0000-0000-00004F2F0000}"/>
    <cellStyle name="Normal 4 14 2" xfId="12114" xr:uid="{00000000-0005-0000-0000-0000502F0000}"/>
    <cellStyle name="Normal 4 15" xfId="12115" xr:uid="{00000000-0005-0000-0000-0000512F0000}"/>
    <cellStyle name="Normal 4 15 2" xfId="12116" xr:uid="{00000000-0005-0000-0000-0000522F0000}"/>
    <cellStyle name="Normal 4 16" xfId="12117" xr:uid="{00000000-0005-0000-0000-0000532F0000}"/>
    <cellStyle name="Normal 4 16 2" xfId="12118" xr:uid="{00000000-0005-0000-0000-0000542F0000}"/>
    <cellStyle name="Normal 4 17" xfId="12119" xr:uid="{00000000-0005-0000-0000-0000552F0000}"/>
    <cellStyle name="Normal 4 17 2" xfId="12120" xr:uid="{00000000-0005-0000-0000-0000562F0000}"/>
    <cellStyle name="Normal 4 18" xfId="12121" xr:uid="{00000000-0005-0000-0000-0000572F0000}"/>
    <cellStyle name="Normal 4 18 2" xfId="12122" xr:uid="{00000000-0005-0000-0000-0000582F0000}"/>
    <cellStyle name="Normal 4 19" xfId="12123" xr:uid="{00000000-0005-0000-0000-0000592F0000}"/>
    <cellStyle name="Normal 4 19 2" xfId="12124" xr:uid="{00000000-0005-0000-0000-00005A2F0000}"/>
    <cellStyle name="Normal 4 2" xfId="12125" xr:uid="{00000000-0005-0000-0000-00005B2F0000}"/>
    <cellStyle name="Normal 4 2 2" xfId="12126" xr:uid="{00000000-0005-0000-0000-00005C2F0000}"/>
    <cellStyle name="Normal 4 2 2 2" xfId="12127" xr:uid="{00000000-0005-0000-0000-00005D2F0000}"/>
    <cellStyle name="Normal 4 2 2 2 2" xfId="12128" xr:uid="{00000000-0005-0000-0000-00005E2F0000}"/>
    <cellStyle name="Normal 4 2 2 3" xfId="12129" xr:uid="{00000000-0005-0000-0000-00005F2F0000}"/>
    <cellStyle name="Normal 4 2 2 4" xfId="12130" xr:uid="{00000000-0005-0000-0000-0000602F0000}"/>
    <cellStyle name="Normal 4 2 2 5" xfId="12131" xr:uid="{00000000-0005-0000-0000-0000612F0000}"/>
    <cellStyle name="Normal 4 2 3" xfId="12132" xr:uid="{00000000-0005-0000-0000-0000622F0000}"/>
    <cellStyle name="Normal 4 2 3 2" xfId="12133" xr:uid="{00000000-0005-0000-0000-0000632F0000}"/>
    <cellStyle name="Normal 4 2 3 3" xfId="12134" xr:uid="{00000000-0005-0000-0000-0000642F0000}"/>
    <cellStyle name="Normal 4 2 4" xfId="12135" xr:uid="{00000000-0005-0000-0000-0000652F0000}"/>
    <cellStyle name="Normal 4 2 5" xfId="12136" xr:uid="{00000000-0005-0000-0000-0000662F0000}"/>
    <cellStyle name="Normal 4 2 6" xfId="12137" xr:uid="{00000000-0005-0000-0000-0000672F0000}"/>
    <cellStyle name="Normal 4 20" xfId="12138" xr:uid="{00000000-0005-0000-0000-0000682F0000}"/>
    <cellStyle name="Normal 4 20 2" xfId="12139" xr:uid="{00000000-0005-0000-0000-0000692F0000}"/>
    <cellStyle name="Normal 4 21" xfId="12140" xr:uid="{00000000-0005-0000-0000-00006A2F0000}"/>
    <cellStyle name="Normal 4 21 2" xfId="12141" xr:uid="{00000000-0005-0000-0000-00006B2F0000}"/>
    <cellStyle name="Normal 4 22" xfId="12142" xr:uid="{00000000-0005-0000-0000-00006C2F0000}"/>
    <cellStyle name="Normal 4 22 2" xfId="12143" xr:uid="{00000000-0005-0000-0000-00006D2F0000}"/>
    <cellStyle name="Normal 4 23" xfId="12144" xr:uid="{00000000-0005-0000-0000-00006E2F0000}"/>
    <cellStyle name="Normal 4 23 2" xfId="12145" xr:uid="{00000000-0005-0000-0000-00006F2F0000}"/>
    <cellStyle name="Normal 4 24" xfId="12146" xr:uid="{00000000-0005-0000-0000-0000702F0000}"/>
    <cellStyle name="Normal 4 24 2" xfId="12147" xr:uid="{00000000-0005-0000-0000-0000712F0000}"/>
    <cellStyle name="Normal 4 25" xfId="12148" xr:uid="{00000000-0005-0000-0000-0000722F0000}"/>
    <cellStyle name="Normal 4 25 2" xfId="12149" xr:uid="{00000000-0005-0000-0000-0000732F0000}"/>
    <cellStyle name="Normal 4 26" xfId="12150" xr:uid="{00000000-0005-0000-0000-0000742F0000}"/>
    <cellStyle name="Normal 4 26 2" xfId="12151" xr:uid="{00000000-0005-0000-0000-0000752F0000}"/>
    <cellStyle name="Normal 4 27" xfId="12152" xr:uid="{00000000-0005-0000-0000-0000762F0000}"/>
    <cellStyle name="Normal 4 27 2" xfId="12153" xr:uid="{00000000-0005-0000-0000-0000772F0000}"/>
    <cellStyle name="Normal 4 28" xfId="12154" xr:uid="{00000000-0005-0000-0000-0000782F0000}"/>
    <cellStyle name="Normal 4 28 2" xfId="12155" xr:uid="{00000000-0005-0000-0000-0000792F0000}"/>
    <cellStyle name="Normal 4 29" xfId="12156" xr:uid="{00000000-0005-0000-0000-00007A2F0000}"/>
    <cellStyle name="Normal 4 29 2" xfId="12157" xr:uid="{00000000-0005-0000-0000-00007B2F0000}"/>
    <cellStyle name="Normal 4 3" xfId="12158" xr:uid="{00000000-0005-0000-0000-00007C2F0000}"/>
    <cellStyle name="Normal 4 3 2" xfId="12159" xr:uid="{00000000-0005-0000-0000-00007D2F0000}"/>
    <cellStyle name="Normal 4 3 2 2" xfId="12160" xr:uid="{00000000-0005-0000-0000-00007E2F0000}"/>
    <cellStyle name="Normal 4 3 3" xfId="12161" xr:uid="{00000000-0005-0000-0000-00007F2F0000}"/>
    <cellStyle name="Normal 4 3 3 2" xfId="12162" xr:uid="{00000000-0005-0000-0000-0000802F0000}"/>
    <cellStyle name="Normal 4 3 4" xfId="12163" xr:uid="{00000000-0005-0000-0000-0000812F0000}"/>
    <cellStyle name="Normal 4 30" xfId="12164" xr:uid="{00000000-0005-0000-0000-0000822F0000}"/>
    <cellStyle name="Normal 4 30 2" xfId="12165" xr:uid="{00000000-0005-0000-0000-0000832F0000}"/>
    <cellStyle name="Normal 4 31" xfId="12166" xr:uid="{00000000-0005-0000-0000-0000842F0000}"/>
    <cellStyle name="Normal 4 31 2" xfId="12167" xr:uid="{00000000-0005-0000-0000-0000852F0000}"/>
    <cellStyle name="Normal 4 32" xfId="12168" xr:uid="{00000000-0005-0000-0000-0000862F0000}"/>
    <cellStyle name="Normal 4 32 2" xfId="12169" xr:uid="{00000000-0005-0000-0000-0000872F0000}"/>
    <cellStyle name="Normal 4 33" xfId="12170" xr:uid="{00000000-0005-0000-0000-0000882F0000}"/>
    <cellStyle name="Normal 4 33 2" xfId="12171" xr:uid="{00000000-0005-0000-0000-0000892F0000}"/>
    <cellStyle name="Normal 4 34" xfId="12172" xr:uid="{00000000-0005-0000-0000-00008A2F0000}"/>
    <cellStyle name="Normal 4 34 2" xfId="12173" xr:uid="{00000000-0005-0000-0000-00008B2F0000}"/>
    <cellStyle name="Normal 4 35" xfId="12174" xr:uid="{00000000-0005-0000-0000-00008C2F0000}"/>
    <cellStyle name="Normal 4 35 2" xfId="12175" xr:uid="{00000000-0005-0000-0000-00008D2F0000}"/>
    <cellStyle name="Normal 4 36" xfId="12176" xr:uid="{00000000-0005-0000-0000-00008E2F0000}"/>
    <cellStyle name="Normal 4 36 2" xfId="12177" xr:uid="{00000000-0005-0000-0000-00008F2F0000}"/>
    <cellStyle name="Normal 4 37" xfId="12178" xr:uid="{00000000-0005-0000-0000-0000902F0000}"/>
    <cellStyle name="Normal 4 37 2" xfId="12179" xr:uid="{00000000-0005-0000-0000-0000912F0000}"/>
    <cellStyle name="Normal 4 38" xfId="12180" xr:uid="{00000000-0005-0000-0000-0000922F0000}"/>
    <cellStyle name="Normal 4 38 2" xfId="12181" xr:uid="{00000000-0005-0000-0000-0000932F0000}"/>
    <cellStyle name="Normal 4 39" xfId="12182" xr:uid="{00000000-0005-0000-0000-0000942F0000}"/>
    <cellStyle name="Normal 4 39 2" xfId="12183" xr:uid="{00000000-0005-0000-0000-0000952F0000}"/>
    <cellStyle name="Normal 4 4" xfId="12184" xr:uid="{00000000-0005-0000-0000-0000962F0000}"/>
    <cellStyle name="Normal 4 4 2" xfId="12185" xr:uid="{00000000-0005-0000-0000-0000972F0000}"/>
    <cellStyle name="Normal 4 4 2 2" xfId="12186" xr:uid="{00000000-0005-0000-0000-0000982F0000}"/>
    <cellStyle name="Normal 4 4 3" xfId="12187" xr:uid="{00000000-0005-0000-0000-0000992F0000}"/>
    <cellStyle name="Normal 4 4 3 2" xfId="12188" xr:uid="{00000000-0005-0000-0000-00009A2F0000}"/>
    <cellStyle name="Normal 4 4 4" xfId="12189" xr:uid="{00000000-0005-0000-0000-00009B2F0000}"/>
    <cellStyle name="Normal 4 40" xfId="12190" xr:uid="{00000000-0005-0000-0000-00009C2F0000}"/>
    <cellStyle name="Normal 4 40 2" xfId="12191" xr:uid="{00000000-0005-0000-0000-00009D2F0000}"/>
    <cellStyle name="Normal 4 41" xfId="12192" xr:uid="{00000000-0005-0000-0000-00009E2F0000}"/>
    <cellStyle name="Normal 4 41 2" xfId="12193" xr:uid="{00000000-0005-0000-0000-00009F2F0000}"/>
    <cellStyle name="Normal 4 42" xfId="12194" xr:uid="{00000000-0005-0000-0000-0000A02F0000}"/>
    <cellStyle name="Normal 4 42 2" xfId="12195" xr:uid="{00000000-0005-0000-0000-0000A12F0000}"/>
    <cellStyle name="Normal 4 43" xfId="12196" xr:uid="{00000000-0005-0000-0000-0000A22F0000}"/>
    <cellStyle name="Normal 4 43 2" xfId="12197" xr:uid="{00000000-0005-0000-0000-0000A32F0000}"/>
    <cellStyle name="Normal 4 44" xfId="12198" xr:uid="{00000000-0005-0000-0000-0000A42F0000}"/>
    <cellStyle name="Normal 4 44 2" xfId="12199" xr:uid="{00000000-0005-0000-0000-0000A52F0000}"/>
    <cellStyle name="Normal 4 45" xfId="12200" xr:uid="{00000000-0005-0000-0000-0000A62F0000}"/>
    <cellStyle name="Normal 4 45 2" xfId="12201" xr:uid="{00000000-0005-0000-0000-0000A72F0000}"/>
    <cellStyle name="Normal 4 46" xfId="12202" xr:uid="{00000000-0005-0000-0000-0000A82F0000}"/>
    <cellStyle name="Normal 4 46 2" xfId="12203" xr:uid="{00000000-0005-0000-0000-0000A92F0000}"/>
    <cellStyle name="Normal 4 47" xfId="12204" xr:uid="{00000000-0005-0000-0000-0000AA2F0000}"/>
    <cellStyle name="Normal 4 47 2" xfId="12205" xr:uid="{00000000-0005-0000-0000-0000AB2F0000}"/>
    <cellStyle name="Normal 4 48" xfId="12206" xr:uid="{00000000-0005-0000-0000-0000AC2F0000}"/>
    <cellStyle name="Normal 4 48 2" xfId="12207" xr:uid="{00000000-0005-0000-0000-0000AD2F0000}"/>
    <cellStyle name="Normal 4 49" xfId="12208" xr:uid="{00000000-0005-0000-0000-0000AE2F0000}"/>
    <cellStyle name="Normal 4 49 2" xfId="12209" xr:uid="{00000000-0005-0000-0000-0000AF2F0000}"/>
    <cellStyle name="Normal 4 5" xfId="12210" xr:uid="{00000000-0005-0000-0000-0000B02F0000}"/>
    <cellStyle name="Normal 4 5 2" xfId="12211" xr:uid="{00000000-0005-0000-0000-0000B12F0000}"/>
    <cellStyle name="Normal 4 50" xfId="12212" xr:uid="{00000000-0005-0000-0000-0000B22F0000}"/>
    <cellStyle name="Normal 4 50 2" xfId="12213" xr:uid="{00000000-0005-0000-0000-0000B32F0000}"/>
    <cellStyle name="Normal 4 51" xfId="12214" xr:uid="{00000000-0005-0000-0000-0000B42F0000}"/>
    <cellStyle name="Normal 4 51 2" xfId="12215" xr:uid="{00000000-0005-0000-0000-0000B52F0000}"/>
    <cellStyle name="Normal 4 52" xfId="12216" xr:uid="{00000000-0005-0000-0000-0000B62F0000}"/>
    <cellStyle name="Normal 4 52 2" xfId="12217" xr:uid="{00000000-0005-0000-0000-0000B72F0000}"/>
    <cellStyle name="Normal 4 53" xfId="12218" xr:uid="{00000000-0005-0000-0000-0000B82F0000}"/>
    <cellStyle name="Normal 4 53 2" xfId="12219" xr:uid="{00000000-0005-0000-0000-0000B92F0000}"/>
    <cellStyle name="Normal 4 54" xfId="12220" xr:uid="{00000000-0005-0000-0000-0000BA2F0000}"/>
    <cellStyle name="Normal 4 54 2" xfId="12221" xr:uid="{00000000-0005-0000-0000-0000BB2F0000}"/>
    <cellStyle name="Normal 4 55" xfId="12222" xr:uid="{00000000-0005-0000-0000-0000BC2F0000}"/>
    <cellStyle name="Normal 4 55 2" xfId="12223" xr:uid="{00000000-0005-0000-0000-0000BD2F0000}"/>
    <cellStyle name="Normal 4 56" xfId="12224" xr:uid="{00000000-0005-0000-0000-0000BE2F0000}"/>
    <cellStyle name="Normal 4 56 2" xfId="12225" xr:uid="{00000000-0005-0000-0000-0000BF2F0000}"/>
    <cellStyle name="Normal 4 57" xfId="12226" xr:uid="{00000000-0005-0000-0000-0000C02F0000}"/>
    <cellStyle name="Normal 4 57 2" xfId="12227" xr:uid="{00000000-0005-0000-0000-0000C12F0000}"/>
    <cellStyle name="Normal 4 58" xfId="12228" xr:uid="{00000000-0005-0000-0000-0000C22F0000}"/>
    <cellStyle name="Normal 4 58 2" xfId="12229" xr:uid="{00000000-0005-0000-0000-0000C32F0000}"/>
    <cellStyle name="Normal 4 59" xfId="12230" xr:uid="{00000000-0005-0000-0000-0000C42F0000}"/>
    <cellStyle name="Normal 4 59 2" xfId="12231" xr:uid="{00000000-0005-0000-0000-0000C52F0000}"/>
    <cellStyle name="Normal 4 6" xfId="12232" xr:uid="{00000000-0005-0000-0000-0000C62F0000}"/>
    <cellStyle name="Normal 4 6 2" xfId="12233" xr:uid="{00000000-0005-0000-0000-0000C72F0000}"/>
    <cellStyle name="Normal 4 60" xfId="12234" xr:uid="{00000000-0005-0000-0000-0000C82F0000}"/>
    <cellStyle name="Normal 4 60 2" xfId="12235" xr:uid="{00000000-0005-0000-0000-0000C92F0000}"/>
    <cellStyle name="Normal 4 61" xfId="12236" xr:uid="{00000000-0005-0000-0000-0000CA2F0000}"/>
    <cellStyle name="Normal 4 61 2" xfId="12237" xr:uid="{00000000-0005-0000-0000-0000CB2F0000}"/>
    <cellStyle name="Normal 4 62" xfId="12238" xr:uid="{00000000-0005-0000-0000-0000CC2F0000}"/>
    <cellStyle name="Normal 4 62 2" xfId="12239" xr:uid="{00000000-0005-0000-0000-0000CD2F0000}"/>
    <cellStyle name="Normal 4 63" xfId="12240" xr:uid="{00000000-0005-0000-0000-0000CE2F0000}"/>
    <cellStyle name="Normal 4 63 2" xfId="12241" xr:uid="{00000000-0005-0000-0000-0000CF2F0000}"/>
    <cellStyle name="Normal 4 64" xfId="12242" xr:uid="{00000000-0005-0000-0000-0000D02F0000}"/>
    <cellStyle name="Normal 4 64 2" xfId="12243" xr:uid="{00000000-0005-0000-0000-0000D12F0000}"/>
    <cellStyle name="Normal 4 64 3" xfId="12244" xr:uid="{00000000-0005-0000-0000-0000D22F0000}"/>
    <cellStyle name="Normal 4 64 3 2" xfId="12245" xr:uid="{00000000-0005-0000-0000-0000D32F0000}"/>
    <cellStyle name="Normal 4 64 3 3" xfId="12246" xr:uid="{00000000-0005-0000-0000-0000D42F0000}"/>
    <cellStyle name="Normal 4 64 4" xfId="12247" xr:uid="{00000000-0005-0000-0000-0000D52F0000}"/>
    <cellStyle name="Normal 4 64 5" xfId="12248" xr:uid="{00000000-0005-0000-0000-0000D62F0000}"/>
    <cellStyle name="Normal 4 65" xfId="12249" xr:uid="{00000000-0005-0000-0000-0000D72F0000}"/>
    <cellStyle name="Normal 4 65 2" xfId="12250" xr:uid="{00000000-0005-0000-0000-0000D82F0000}"/>
    <cellStyle name="Normal 4 65 3" xfId="12251" xr:uid="{00000000-0005-0000-0000-0000D92F0000}"/>
    <cellStyle name="Normal 4 65 3 2" xfId="12252" xr:uid="{00000000-0005-0000-0000-0000DA2F0000}"/>
    <cellStyle name="Normal 4 65 3 3" xfId="12253" xr:uid="{00000000-0005-0000-0000-0000DB2F0000}"/>
    <cellStyle name="Normal 4 65 4" xfId="12254" xr:uid="{00000000-0005-0000-0000-0000DC2F0000}"/>
    <cellStyle name="Normal 4 65 5" xfId="12255" xr:uid="{00000000-0005-0000-0000-0000DD2F0000}"/>
    <cellStyle name="Normal 4 66" xfId="12256" xr:uid="{00000000-0005-0000-0000-0000DE2F0000}"/>
    <cellStyle name="Normal 4 66 2" xfId="12257" xr:uid="{00000000-0005-0000-0000-0000DF2F0000}"/>
    <cellStyle name="Normal 4 66 3" xfId="12258" xr:uid="{00000000-0005-0000-0000-0000E02F0000}"/>
    <cellStyle name="Normal 4 66 3 2" xfId="12259" xr:uid="{00000000-0005-0000-0000-0000E12F0000}"/>
    <cellStyle name="Normal 4 66 3 3" xfId="12260" xr:uid="{00000000-0005-0000-0000-0000E22F0000}"/>
    <cellStyle name="Normal 4 66 4" xfId="12261" xr:uid="{00000000-0005-0000-0000-0000E32F0000}"/>
    <cellStyle name="Normal 4 66 5" xfId="12262" xr:uid="{00000000-0005-0000-0000-0000E42F0000}"/>
    <cellStyle name="Normal 4 67" xfId="12263" xr:uid="{00000000-0005-0000-0000-0000E52F0000}"/>
    <cellStyle name="Normal 4 67 2" xfId="12264" xr:uid="{00000000-0005-0000-0000-0000E62F0000}"/>
    <cellStyle name="Normal 4 67 3" xfId="12265" xr:uid="{00000000-0005-0000-0000-0000E72F0000}"/>
    <cellStyle name="Normal 4 67 3 2" xfId="12266" xr:uid="{00000000-0005-0000-0000-0000E82F0000}"/>
    <cellStyle name="Normal 4 67 3 3" xfId="12267" xr:uid="{00000000-0005-0000-0000-0000E92F0000}"/>
    <cellStyle name="Normal 4 67 4" xfId="12268" xr:uid="{00000000-0005-0000-0000-0000EA2F0000}"/>
    <cellStyle name="Normal 4 67 5" xfId="12269" xr:uid="{00000000-0005-0000-0000-0000EB2F0000}"/>
    <cellStyle name="Normal 4 68" xfId="12270" xr:uid="{00000000-0005-0000-0000-0000EC2F0000}"/>
    <cellStyle name="Normal 4 68 2" xfId="12271" xr:uid="{00000000-0005-0000-0000-0000ED2F0000}"/>
    <cellStyle name="Normal 4 68 3" xfId="12272" xr:uid="{00000000-0005-0000-0000-0000EE2F0000}"/>
    <cellStyle name="Normal 4 68 3 2" xfId="12273" xr:uid="{00000000-0005-0000-0000-0000EF2F0000}"/>
    <cellStyle name="Normal 4 68 3 3" xfId="12274" xr:uid="{00000000-0005-0000-0000-0000F02F0000}"/>
    <cellStyle name="Normal 4 68 4" xfId="12275" xr:uid="{00000000-0005-0000-0000-0000F12F0000}"/>
    <cellStyle name="Normal 4 68 5" xfId="12276" xr:uid="{00000000-0005-0000-0000-0000F22F0000}"/>
    <cellStyle name="Normal 4 69" xfId="12277" xr:uid="{00000000-0005-0000-0000-0000F32F0000}"/>
    <cellStyle name="Normal 4 69 2" xfId="12278" xr:uid="{00000000-0005-0000-0000-0000F42F0000}"/>
    <cellStyle name="Normal 4 7" xfId="12279" xr:uid="{00000000-0005-0000-0000-0000F52F0000}"/>
    <cellStyle name="Normal 4 7 2" xfId="12280" xr:uid="{00000000-0005-0000-0000-0000F62F0000}"/>
    <cellStyle name="Normal 4 70" xfId="12281" xr:uid="{00000000-0005-0000-0000-0000F72F0000}"/>
    <cellStyle name="Normal 4 70 2" xfId="12282" xr:uid="{00000000-0005-0000-0000-0000F82F0000}"/>
    <cellStyle name="Normal 4 71" xfId="12283" xr:uid="{00000000-0005-0000-0000-0000F92F0000}"/>
    <cellStyle name="Normal 4 71 2" xfId="12284" xr:uid="{00000000-0005-0000-0000-0000FA2F0000}"/>
    <cellStyle name="Normal 4 72" xfId="12285" xr:uid="{00000000-0005-0000-0000-0000FB2F0000}"/>
    <cellStyle name="Normal 4 72 2" xfId="12286" xr:uid="{00000000-0005-0000-0000-0000FC2F0000}"/>
    <cellStyle name="Normal 4 73" xfId="12287" xr:uid="{00000000-0005-0000-0000-0000FD2F0000}"/>
    <cellStyle name="Normal 4 73 2" xfId="12288" xr:uid="{00000000-0005-0000-0000-0000FE2F0000}"/>
    <cellStyle name="Normal 4 74" xfId="12289" xr:uid="{00000000-0005-0000-0000-0000FF2F0000}"/>
    <cellStyle name="Normal 4 74 2" xfId="12290" xr:uid="{00000000-0005-0000-0000-000000300000}"/>
    <cellStyle name="Normal 4 75" xfId="12291" xr:uid="{00000000-0005-0000-0000-000001300000}"/>
    <cellStyle name="Normal 4 75 2" xfId="12292" xr:uid="{00000000-0005-0000-0000-000002300000}"/>
    <cellStyle name="Normal 4 76" xfId="12293" xr:uid="{00000000-0005-0000-0000-000003300000}"/>
    <cellStyle name="Normal 4 76 2" xfId="12294" xr:uid="{00000000-0005-0000-0000-000004300000}"/>
    <cellStyle name="Normal 4 77" xfId="12295" xr:uid="{00000000-0005-0000-0000-000005300000}"/>
    <cellStyle name="Normal 4 77 2" xfId="12296" xr:uid="{00000000-0005-0000-0000-000006300000}"/>
    <cellStyle name="Normal 4 78" xfId="12297" xr:uid="{00000000-0005-0000-0000-000007300000}"/>
    <cellStyle name="Normal 4 78 2" xfId="12298" xr:uid="{00000000-0005-0000-0000-000008300000}"/>
    <cellStyle name="Normal 4 78 3" xfId="12299" xr:uid="{00000000-0005-0000-0000-000009300000}"/>
    <cellStyle name="Normal 4 78 4" xfId="12300" xr:uid="{00000000-0005-0000-0000-00000A300000}"/>
    <cellStyle name="Normal 4 79" xfId="12301" xr:uid="{00000000-0005-0000-0000-00000B300000}"/>
    <cellStyle name="Normal 4 79 2" xfId="12302" xr:uid="{00000000-0005-0000-0000-00000C300000}"/>
    <cellStyle name="Normal 4 8" xfId="12303" xr:uid="{00000000-0005-0000-0000-00000D300000}"/>
    <cellStyle name="Normal 4 8 2" xfId="12304" xr:uid="{00000000-0005-0000-0000-00000E300000}"/>
    <cellStyle name="Normal 4 80" xfId="12305" xr:uid="{00000000-0005-0000-0000-00000F300000}"/>
    <cellStyle name="Normal 4 81" xfId="12306" xr:uid="{00000000-0005-0000-0000-000010300000}"/>
    <cellStyle name="Normal 4 81 2" xfId="12307" xr:uid="{00000000-0005-0000-0000-000011300000}"/>
    <cellStyle name="Normal 4 81 2 2" xfId="12308" xr:uid="{00000000-0005-0000-0000-000012300000}"/>
    <cellStyle name="Normal 4 81 2 3" xfId="12309" xr:uid="{00000000-0005-0000-0000-000013300000}"/>
    <cellStyle name="Normal 4 81 3" xfId="12310" xr:uid="{00000000-0005-0000-0000-000014300000}"/>
    <cellStyle name="Normal 4 81 4" xfId="12311" xr:uid="{00000000-0005-0000-0000-000015300000}"/>
    <cellStyle name="Normal 4 82" xfId="12312" xr:uid="{00000000-0005-0000-0000-000016300000}"/>
    <cellStyle name="Normal 4 82 2" xfId="12313" xr:uid="{00000000-0005-0000-0000-000017300000}"/>
    <cellStyle name="Normal 4 82 2 2" xfId="12314" xr:uid="{00000000-0005-0000-0000-000018300000}"/>
    <cellStyle name="Normal 4 82 2 3" xfId="12315" xr:uid="{00000000-0005-0000-0000-000019300000}"/>
    <cellStyle name="Normal 4 82 3" xfId="12316" xr:uid="{00000000-0005-0000-0000-00001A300000}"/>
    <cellStyle name="Normal 4 82 4" xfId="12317" xr:uid="{00000000-0005-0000-0000-00001B300000}"/>
    <cellStyle name="Normal 4 83" xfId="12318" xr:uid="{00000000-0005-0000-0000-00001C300000}"/>
    <cellStyle name="Normal 4 83 2" xfId="12319" xr:uid="{00000000-0005-0000-0000-00001D300000}"/>
    <cellStyle name="Normal 4 83 2 2" xfId="12320" xr:uid="{00000000-0005-0000-0000-00001E300000}"/>
    <cellStyle name="Normal 4 83 2 3" xfId="12321" xr:uid="{00000000-0005-0000-0000-00001F300000}"/>
    <cellStyle name="Normal 4 83 3" xfId="12322" xr:uid="{00000000-0005-0000-0000-000020300000}"/>
    <cellStyle name="Normal 4 83 4" xfId="12323" xr:uid="{00000000-0005-0000-0000-000021300000}"/>
    <cellStyle name="Normal 4 84" xfId="12324" xr:uid="{00000000-0005-0000-0000-000022300000}"/>
    <cellStyle name="Normal 4 84 2" xfId="12325" xr:uid="{00000000-0005-0000-0000-000023300000}"/>
    <cellStyle name="Normal 4 84 2 2" xfId="12326" xr:uid="{00000000-0005-0000-0000-000024300000}"/>
    <cellStyle name="Normal 4 84 2 3" xfId="12327" xr:uid="{00000000-0005-0000-0000-000025300000}"/>
    <cellStyle name="Normal 4 84 3" xfId="12328" xr:uid="{00000000-0005-0000-0000-000026300000}"/>
    <cellStyle name="Normal 4 84 4" xfId="12329" xr:uid="{00000000-0005-0000-0000-000027300000}"/>
    <cellStyle name="Normal 4 85" xfId="12330" xr:uid="{00000000-0005-0000-0000-000028300000}"/>
    <cellStyle name="Normal 4 85 2" xfId="12331" xr:uid="{00000000-0005-0000-0000-000029300000}"/>
    <cellStyle name="Normal 4 85 2 2" xfId="12332" xr:uid="{00000000-0005-0000-0000-00002A300000}"/>
    <cellStyle name="Normal 4 85 2 3" xfId="12333" xr:uid="{00000000-0005-0000-0000-00002B300000}"/>
    <cellStyle name="Normal 4 85 3" xfId="12334" xr:uid="{00000000-0005-0000-0000-00002C300000}"/>
    <cellStyle name="Normal 4 85 4" xfId="12335" xr:uid="{00000000-0005-0000-0000-00002D300000}"/>
    <cellStyle name="Normal 4 86" xfId="12336" xr:uid="{00000000-0005-0000-0000-00002E300000}"/>
    <cellStyle name="Normal 4 86 2" xfId="12337" xr:uid="{00000000-0005-0000-0000-00002F300000}"/>
    <cellStyle name="Normal 4 86 2 2" xfId="12338" xr:uid="{00000000-0005-0000-0000-000030300000}"/>
    <cellStyle name="Normal 4 86 2 3" xfId="12339" xr:uid="{00000000-0005-0000-0000-000031300000}"/>
    <cellStyle name="Normal 4 86 3" xfId="12340" xr:uid="{00000000-0005-0000-0000-000032300000}"/>
    <cellStyle name="Normal 4 86 4" xfId="12341" xr:uid="{00000000-0005-0000-0000-000033300000}"/>
    <cellStyle name="Normal 4 87" xfId="12342" xr:uid="{00000000-0005-0000-0000-000034300000}"/>
    <cellStyle name="Normal 4 87 2" xfId="12343" xr:uid="{00000000-0005-0000-0000-000035300000}"/>
    <cellStyle name="Normal 4 87 2 2" xfId="12344" xr:uid="{00000000-0005-0000-0000-000036300000}"/>
    <cellStyle name="Normal 4 87 2 3" xfId="12345" xr:uid="{00000000-0005-0000-0000-000037300000}"/>
    <cellStyle name="Normal 4 87 3" xfId="12346" xr:uid="{00000000-0005-0000-0000-000038300000}"/>
    <cellStyle name="Normal 4 87 4" xfId="12347" xr:uid="{00000000-0005-0000-0000-000039300000}"/>
    <cellStyle name="Normal 4 88" xfId="12348" xr:uid="{00000000-0005-0000-0000-00003A300000}"/>
    <cellStyle name="Normal 4 88 2" xfId="12349" xr:uid="{00000000-0005-0000-0000-00003B300000}"/>
    <cellStyle name="Normal 4 88 2 2" xfId="12350" xr:uid="{00000000-0005-0000-0000-00003C300000}"/>
    <cellStyle name="Normal 4 88 2 3" xfId="12351" xr:uid="{00000000-0005-0000-0000-00003D300000}"/>
    <cellStyle name="Normal 4 88 3" xfId="12352" xr:uid="{00000000-0005-0000-0000-00003E300000}"/>
    <cellStyle name="Normal 4 88 4" xfId="12353" xr:uid="{00000000-0005-0000-0000-00003F300000}"/>
    <cellStyle name="Normal 4 89" xfId="12354" xr:uid="{00000000-0005-0000-0000-000040300000}"/>
    <cellStyle name="Normal 4 89 2" xfId="12355" xr:uid="{00000000-0005-0000-0000-000041300000}"/>
    <cellStyle name="Normal 4 89 2 2" xfId="12356" xr:uid="{00000000-0005-0000-0000-000042300000}"/>
    <cellStyle name="Normal 4 89 2 3" xfId="12357" xr:uid="{00000000-0005-0000-0000-000043300000}"/>
    <cellStyle name="Normal 4 89 3" xfId="12358" xr:uid="{00000000-0005-0000-0000-000044300000}"/>
    <cellStyle name="Normal 4 89 4" xfId="12359" xr:uid="{00000000-0005-0000-0000-000045300000}"/>
    <cellStyle name="Normal 4 9" xfId="12360" xr:uid="{00000000-0005-0000-0000-000046300000}"/>
    <cellStyle name="Normal 4 9 2" xfId="12361" xr:uid="{00000000-0005-0000-0000-000047300000}"/>
    <cellStyle name="Normal 4 90" xfId="12362" xr:uid="{00000000-0005-0000-0000-000048300000}"/>
    <cellStyle name="Normal 4 90 2" xfId="12363" xr:uid="{00000000-0005-0000-0000-000049300000}"/>
    <cellStyle name="Normal 4 90 2 2" xfId="12364" xr:uid="{00000000-0005-0000-0000-00004A300000}"/>
    <cellStyle name="Normal 4 90 2 3" xfId="12365" xr:uid="{00000000-0005-0000-0000-00004B300000}"/>
    <cellStyle name="Normal 4 90 3" xfId="12366" xr:uid="{00000000-0005-0000-0000-00004C300000}"/>
    <cellStyle name="Normal 4 90 4" xfId="12367" xr:uid="{00000000-0005-0000-0000-00004D300000}"/>
    <cellStyle name="Normal 4 91" xfId="12368" xr:uid="{00000000-0005-0000-0000-00004E300000}"/>
    <cellStyle name="Normal 4 91 2" xfId="12369" xr:uid="{00000000-0005-0000-0000-00004F300000}"/>
    <cellStyle name="Normal 4 91 2 2" xfId="12370" xr:uid="{00000000-0005-0000-0000-000050300000}"/>
    <cellStyle name="Normal 4 91 2 3" xfId="12371" xr:uid="{00000000-0005-0000-0000-000051300000}"/>
    <cellStyle name="Normal 4 91 3" xfId="12372" xr:uid="{00000000-0005-0000-0000-000052300000}"/>
    <cellStyle name="Normal 4 91 4" xfId="12373" xr:uid="{00000000-0005-0000-0000-000053300000}"/>
    <cellStyle name="Normal 4 92" xfId="12374" xr:uid="{00000000-0005-0000-0000-000054300000}"/>
    <cellStyle name="Normal 4 92 2" xfId="12375" xr:uid="{00000000-0005-0000-0000-000055300000}"/>
    <cellStyle name="Normal 4 92 2 2" xfId="12376" xr:uid="{00000000-0005-0000-0000-000056300000}"/>
    <cellStyle name="Normal 4 92 2 3" xfId="12377" xr:uid="{00000000-0005-0000-0000-000057300000}"/>
    <cellStyle name="Normal 4 92 3" xfId="12378" xr:uid="{00000000-0005-0000-0000-000058300000}"/>
    <cellStyle name="Normal 4 92 4" xfId="12379" xr:uid="{00000000-0005-0000-0000-000059300000}"/>
    <cellStyle name="Normal 4 93" xfId="12380" xr:uid="{00000000-0005-0000-0000-00005A300000}"/>
    <cellStyle name="Normal 4 93 2" xfId="12381" xr:uid="{00000000-0005-0000-0000-00005B300000}"/>
    <cellStyle name="Normal 4 93 2 2" xfId="12382" xr:uid="{00000000-0005-0000-0000-00005C300000}"/>
    <cellStyle name="Normal 4 93 2 3" xfId="12383" xr:uid="{00000000-0005-0000-0000-00005D300000}"/>
    <cellStyle name="Normal 4 93 3" xfId="12384" xr:uid="{00000000-0005-0000-0000-00005E300000}"/>
    <cellStyle name="Normal 4 93 4" xfId="12385" xr:uid="{00000000-0005-0000-0000-00005F300000}"/>
    <cellStyle name="Normal 4 94" xfId="12386" xr:uid="{00000000-0005-0000-0000-000060300000}"/>
    <cellStyle name="Normal 4 94 2" xfId="12387" xr:uid="{00000000-0005-0000-0000-000061300000}"/>
    <cellStyle name="Normal 4 94 2 2" xfId="12388" xr:uid="{00000000-0005-0000-0000-000062300000}"/>
    <cellStyle name="Normal 4 94 2 3" xfId="12389" xr:uid="{00000000-0005-0000-0000-000063300000}"/>
    <cellStyle name="Normal 4 94 3" xfId="12390" xr:uid="{00000000-0005-0000-0000-000064300000}"/>
    <cellStyle name="Normal 4 94 4" xfId="12391" xr:uid="{00000000-0005-0000-0000-000065300000}"/>
    <cellStyle name="Normal 4 95" xfId="12392" xr:uid="{00000000-0005-0000-0000-000066300000}"/>
    <cellStyle name="Normal 4 95 2" xfId="12393" xr:uid="{00000000-0005-0000-0000-000067300000}"/>
    <cellStyle name="Normal 4 95 2 2" xfId="12394" xr:uid="{00000000-0005-0000-0000-000068300000}"/>
    <cellStyle name="Normal 4 95 2 3" xfId="12395" xr:uid="{00000000-0005-0000-0000-000069300000}"/>
    <cellStyle name="Normal 4 95 3" xfId="12396" xr:uid="{00000000-0005-0000-0000-00006A300000}"/>
    <cellStyle name="Normal 4 95 4" xfId="12397" xr:uid="{00000000-0005-0000-0000-00006B300000}"/>
    <cellStyle name="Normal 4 96" xfId="12398" xr:uid="{00000000-0005-0000-0000-00006C300000}"/>
    <cellStyle name="Normal 4 96 2" xfId="12399" xr:uid="{00000000-0005-0000-0000-00006D300000}"/>
    <cellStyle name="Normal 4 96 2 2" xfId="12400" xr:uid="{00000000-0005-0000-0000-00006E300000}"/>
    <cellStyle name="Normal 4 96 2 3" xfId="12401" xr:uid="{00000000-0005-0000-0000-00006F300000}"/>
    <cellStyle name="Normal 4 96 3" xfId="12402" xr:uid="{00000000-0005-0000-0000-000070300000}"/>
    <cellStyle name="Normal 4 96 4" xfId="12403" xr:uid="{00000000-0005-0000-0000-000071300000}"/>
    <cellStyle name="Normal 4 97" xfId="12404" xr:uid="{00000000-0005-0000-0000-000072300000}"/>
    <cellStyle name="Normal 4 97 2" xfId="12405" xr:uid="{00000000-0005-0000-0000-000073300000}"/>
    <cellStyle name="Normal 4 97 2 2" xfId="12406" xr:uid="{00000000-0005-0000-0000-000074300000}"/>
    <cellStyle name="Normal 4 97 2 3" xfId="12407" xr:uid="{00000000-0005-0000-0000-000075300000}"/>
    <cellStyle name="Normal 4 97 3" xfId="12408" xr:uid="{00000000-0005-0000-0000-000076300000}"/>
    <cellStyle name="Normal 4 97 4" xfId="12409" xr:uid="{00000000-0005-0000-0000-000077300000}"/>
    <cellStyle name="Normal 4 98" xfId="12410" xr:uid="{00000000-0005-0000-0000-000078300000}"/>
    <cellStyle name="Normal 4 98 2" xfId="12411" xr:uid="{00000000-0005-0000-0000-000079300000}"/>
    <cellStyle name="Normal 4 98 2 2" xfId="12412" xr:uid="{00000000-0005-0000-0000-00007A300000}"/>
    <cellStyle name="Normal 4 98 2 3" xfId="12413" xr:uid="{00000000-0005-0000-0000-00007B300000}"/>
    <cellStyle name="Normal 4 98 3" xfId="12414" xr:uid="{00000000-0005-0000-0000-00007C300000}"/>
    <cellStyle name="Normal 4 98 4" xfId="12415" xr:uid="{00000000-0005-0000-0000-00007D300000}"/>
    <cellStyle name="Normal 4 99" xfId="12416" xr:uid="{00000000-0005-0000-0000-00007E300000}"/>
    <cellStyle name="Normal 4 99 2" xfId="12417" xr:uid="{00000000-0005-0000-0000-00007F300000}"/>
    <cellStyle name="Normal 4 99 2 2" xfId="12418" xr:uid="{00000000-0005-0000-0000-000080300000}"/>
    <cellStyle name="Normal 4 99 2 3" xfId="12419" xr:uid="{00000000-0005-0000-0000-000081300000}"/>
    <cellStyle name="Normal 4 99 3" xfId="12420" xr:uid="{00000000-0005-0000-0000-000082300000}"/>
    <cellStyle name="Normal 4 99 4" xfId="12421" xr:uid="{00000000-0005-0000-0000-000083300000}"/>
    <cellStyle name="Normal 4_Non-TOU BP Original" xfId="12422" xr:uid="{00000000-0005-0000-0000-000084300000}"/>
    <cellStyle name="Normal 40" xfId="12423" xr:uid="{00000000-0005-0000-0000-000085300000}"/>
    <cellStyle name="Normal 40 2" xfId="12424" xr:uid="{00000000-0005-0000-0000-000086300000}"/>
    <cellStyle name="Normal 40 2 2" xfId="12425" xr:uid="{00000000-0005-0000-0000-000087300000}"/>
    <cellStyle name="Normal 40 2 3" xfId="12426" xr:uid="{00000000-0005-0000-0000-000088300000}"/>
    <cellStyle name="Normal 40 3" xfId="12427" xr:uid="{00000000-0005-0000-0000-000089300000}"/>
    <cellStyle name="Normal 40 4" xfId="12428" xr:uid="{00000000-0005-0000-0000-00008A300000}"/>
    <cellStyle name="Normal 41" xfId="12429" xr:uid="{00000000-0005-0000-0000-00008B300000}"/>
    <cellStyle name="Normal 41 2" xfId="12430" xr:uid="{00000000-0005-0000-0000-00008C300000}"/>
    <cellStyle name="Normal 41 2 2" xfId="12431" xr:uid="{00000000-0005-0000-0000-00008D300000}"/>
    <cellStyle name="Normal 41 2 3" xfId="12432" xr:uid="{00000000-0005-0000-0000-00008E300000}"/>
    <cellStyle name="Normal 41 3" xfId="12433" xr:uid="{00000000-0005-0000-0000-00008F300000}"/>
    <cellStyle name="Normal 41 4" xfId="12434" xr:uid="{00000000-0005-0000-0000-000090300000}"/>
    <cellStyle name="Normal 41 5" xfId="12435" xr:uid="{00000000-0005-0000-0000-000091300000}"/>
    <cellStyle name="Normal 41 5 2" xfId="12436" xr:uid="{00000000-0005-0000-0000-000092300000}"/>
    <cellStyle name="Normal 42" xfId="12437" xr:uid="{00000000-0005-0000-0000-000093300000}"/>
    <cellStyle name="Normal 42 2" xfId="12438" xr:uid="{00000000-0005-0000-0000-000094300000}"/>
    <cellStyle name="Normal 42 2 2" xfId="12439" xr:uid="{00000000-0005-0000-0000-000095300000}"/>
    <cellStyle name="Normal 42 2 3" xfId="12440" xr:uid="{00000000-0005-0000-0000-000096300000}"/>
    <cellStyle name="Normal 42 3" xfId="12441" xr:uid="{00000000-0005-0000-0000-000097300000}"/>
    <cellStyle name="Normal 42 4" xfId="12442" xr:uid="{00000000-0005-0000-0000-000098300000}"/>
    <cellStyle name="Normal 43" xfId="12443" xr:uid="{00000000-0005-0000-0000-000099300000}"/>
    <cellStyle name="Normal 44" xfId="12444" xr:uid="{00000000-0005-0000-0000-00009A300000}"/>
    <cellStyle name="Normal 44 2" xfId="12445" xr:uid="{00000000-0005-0000-0000-00009B300000}"/>
    <cellStyle name="Normal 44 2 2" xfId="12446" xr:uid="{00000000-0005-0000-0000-00009C300000}"/>
    <cellStyle name="Normal 44 2 3" xfId="12447" xr:uid="{00000000-0005-0000-0000-00009D300000}"/>
    <cellStyle name="Normal 44 3" xfId="12448" xr:uid="{00000000-0005-0000-0000-00009E300000}"/>
    <cellStyle name="Normal 44 4" xfId="12449" xr:uid="{00000000-0005-0000-0000-00009F300000}"/>
    <cellStyle name="Normal 45" xfId="12450" xr:uid="{00000000-0005-0000-0000-0000A0300000}"/>
    <cellStyle name="Normal 45 2" xfId="12451" xr:uid="{00000000-0005-0000-0000-0000A1300000}"/>
    <cellStyle name="Normal 45 2 2" xfId="12452" xr:uid="{00000000-0005-0000-0000-0000A2300000}"/>
    <cellStyle name="Normal 45 2 3" xfId="12453" xr:uid="{00000000-0005-0000-0000-0000A3300000}"/>
    <cellStyle name="Normal 45 3" xfId="12454" xr:uid="{00000000-0005-0000-0000-0000A4300000}"/>
    <cellStyle name="Normal 45 4" xfId="12455" xr:uid="{00000000-0005-0000-0000-0000A5300000}"/>
    <cellStyle name="Normal 46" xfId="12456" xr:uid="{00000000-0005-0000-0000-0000A6300000}"/>
    <cellStyle name="Normal 46 2" xfId="12457" xr:uid="{00000000-0005-0000-0000-0000A7300000}"/>
    <cellStyle name="Normal 46 2 2" xfId="12458" xr:uid="{00000000-0005-0000-0000-0000A8300000}"/>
    <cellStyle name="Normal 46 2 3" xfId="12459" xr:uid="{00000000-0005-0000-0000-0000A9300000}"/>
    <cellStyle name="Normal 46 3" xfId="12460" xr:uid="{00000000-0005-0000-0000-0000AA300000}"/>
    <cellStyle name="Normal 46 4" xfId="12461" xr:uid="{00000000-0005-0000-0000-0000AB300000}"/>
    <cellStyle name="Normal 47" xfId="12462" xr:uid="{00000000-0005-0000-0000-0000AC300000}"/>
    <cellStyle name="Normal 47 2" xfId="12463" xr:uid="{00000000-0005-0000-0000-0000AD300000}"/>
    <cellStyle name="Normal 47 2 2" xfId="12464" xr:uid="{00000000-0005-0000-0000-0000AE300000}"/>
    <cellStyle name="Normal 47 2 3" xfId="12465" xr:uid="{00000000-0005-0000-0000-0000AF300000}"/>
    <cellStyle name="Normal 47 3" xfId="12466" xr:uid="{00000000-0005-0000-0000-0000B0300000}"/>
    <cellStyle name="Normal 47 4" xfId="12467" xr:uid="{00000000-0005-0000-0000-0000B1300000}"/>
    <cellStyle name="Normal 48" xfId="12468" xr:uid="{00000000-0005-0000-0000-0000B2300000}"/>
    <cellStyle name="Normal 48 2" xfId="12469" xr:uid="{00000000-0005-0000-0000-0000B3300000}"/>
    <cellStyle name="Normal 48 2 2" xfId="12470" xr:uid="{00000000-0005-0000-0000-0000B4300000}"/>
    <cellStyle name="Normal 48 2 3" xfId="12471" xr:uid="{00000000-0005-0000-0000-0000B5300000}"/>
    <cellStyle name="Normal 48 3" xfId="12472" xr:uid="{00000000-0005-0000-0000-0000B6300000}"/>
    <cellStyle name="Normal 48 4" xfId="12473" xr:uid="{00000000-0005-0000-0000-0000B7300000}"/>
    <cellStyle name="Normal 49" xfId="12474" xr:uid="{00000000-0005-0000-0000-0000B8300000}"/>
    <cellStyle name="Normal 49 2" xfId="12475" xr:uid="{00000000-0005-0000-0000-0000B9300000}"/>
    <cellStyle name="Normal 49 2 2" xfId="12476" xr:uid="{00000000-0005-0000-0000-0000BA300000}"/>
    <cellStyle name="Normal 49 2 3" xfId="12477" xr:uid="{00000000-0005-0000-0000-0000BB300000}"/>
    <cellStyle name="Normal 49 3" xfId="12478" xr:uid="{00000000-0005-0000-0000-0000BC300000}"/>
    <cellStyle name="Normal 49 4" xfId="12479" xr:uid="{00000000-0005-0000-0000-0000BD300000}"/>
    <cellStyle name="Normal 5" xfId="2" xr:uid="{00000000-0005-0000-0000-0000BE300000}"/>
    <cellStyle name="Normal 5 10" xfId="12480" xr:uid="{00000000-0005-0000-0000-0000BF300000}"/>
    <cellStyle name="Normal 5 10 2" xfId="12481" xr:uid="{00000000-0005-0000-0000-0000C0300000}"/>
    <cellStyle name="Normal 5 100" xfId="12482" xr:uid="{00000000-0005-0000-0000-0000C1300000}"/>
    <cellStyle name="Normal 5 11" xfId="12483" xr:uid="{00000000-0005-0000-0000-0000C2300000}"/>
    <cellStyle name="Normal 5 11 2" xfId="12484" xr:uid="{00000000-0005-0000-0000-0000C3300000}"/>
    <cellStyle name="Normal 5 12" xfId="12485" xr:uid="{00000000-0005-0000-0000-0000C4300000}"/>
    <cellStyle name="Normal 5 12 2" xfId="12486" xr:uid="{00000000-0005-0000-0000-0000C5300000}"/>
    <cellStyle name="Normal 5 13" xfId="12487" xr:uid="{00000000-0005-0000-0000-0000C6300000}"/>
    <cellStyle name="Normal 5 13 2" xfId="12488" xr:uid="{00000000-0005-0000-0000-0000C7300000}"/>
    <cellStyle name="Normal 5 14" xfId="12489" xr:uid="{00000000-0005-0000-0000-0000C8300000}"/>
    <cellStyle name="Normal 5 14 2" xfId="12490" xr:uid="{00000000-0005-0000-0000-0000C9300000}"/>
    <cellStyle name="Normal 5 15" xfId="12491" xr:uid="{00000000-0005-0000-0000-0000CA300000}"/>
    <cellStyle name="Normal 5 15 2" xfId="12492" xr:uid="{00000000-0005-0000-0000-0000CB300000}"/>
    <cellStyle name="Normal 5 16" xfId="12493" xr:uid="{00000000-0005-0000-0000-0000CC300000}"/>
    <cellStyle name="Normal 5 16 2" xfId="12494" xr:uid="{00000000-0005-0000-0000-0000CD300000}"/>
    <cellStyle name="Normal 5 17" xfId="12495" xr:uid="{00000000-0005-0000-0000-0000CE300000}"/>
    <cellStyle name="Normal 5 17 2" xfId="12496" xr:uid="{00000000-0005-0000-0000-0000CF300000}"/>
    <cellStyle name="Normal 5 18" xfId="12497" xr:uid="{00000000-0005-0000-0000-0000D0300000}"/>
    <cellStyle name="Normal 5 18 2" xfId="12498" xr:uid="{00000000-0005-0000-0000-0000D1300000}"/>
    <cellStyle name="Normal 5 19" xfId="12499" xr:uid="{00000000-0005-0000-0000-0000D2300000}"/>
    <cellStyle name="Normal 5 19 2" xfId="12500" xr:uid="{00000000-0005-0000-0000-0000D3300000}"/>
    <cellStyle name="Normal 5 2" xfId="12501" xr:uid="{00000000-0005-0000-0000-0000D4300000}"/>
    <cellStyle name="Normal 5 2 2" xfId="12502" xr:uid="{00000000-0005-0000-0000-0000D5300000}"/>
    <cellStyle name="Normal 5 2 2 2" xfId="12503" xr:uid="{00000000-0005-0000-0000-0000D6300000}"/>
    <cellStyle name="Normal 5 2 2 2 2" xfId="12504" xr:uid="{00000000-0005-0000-0000-0000D7300000}"/>
    <cellStyle name="Normal 5 2 2 3" xfId="12505" xr:uid="{00000000-0005-0000-0000-0000D8300000}"/>
    <cellStyle name="Normal 5 2 2 4" xfId="12506" xr:uid="{00000000-0005-0000-0000-0000D9300000}"/>
    <cellStyle name="Normal 5 2 2 5" xfId="12507" xr:uid="{00000000-0005-0000-0000-0000DA300000}"/>
    <cellStyle name="Normal 5 2 3" xfId="12508" xr:uid="{00000000-0005-0000-0000-0000DB300000}"/>
    <cellStyle name="Normal 5 2 3 2" xfId="12509" xr:uid="{00000000-0005-0000-0000-0000DC300000}"/>
    <cellStyle name="Normal 5 2 3 3" xfId="12510" xr:uid="{00000000-0005-0000-0000-0000DD300000}"/>
    <cellStyle name="Normal 5 2 4" xfId="12511" xr:uid="{00000000-0005-0000-0000-0000DE300000}"/>
    <cellStyle name="Normal 5 2 5" xfId="12512" xr:uid="{00000000-0005-0000-0000-0000DF300000}"/>
    <cellStyle name="Normal 5 2 6" xfId="12513" xr:uid="{00000000-0005-0000-0000-0000E0300000}"/>
    <cellStyle name="Normal 5 20" xfId="12514" xr:uid="{00000000-0005-0000-0000-0000E1300000}"/>
    <cellStyle name="Normal 5 20 2" xfId="12515" xr:uid="{00000000-0005-0000-0000-0000E2300000}"/>
    <cellStyle name="Normal 5 21" xfId="12516" xr:uid="{00000000-0005-0000-0000-0000E3300000}"/>
    <cellStyle name="Normal 5 21 2" xfId="12517" xr:uid="{00000000-0005-0000-0000-0000E4300000}"/>
    <cellStyle name="Normal 5 22" xfId="12518" xr:uid="{00000000-0005-0000-0000-0000E5300000}"/>
    <cellStyle name="Normal 5 22 2" xfId="12519" xr:uid="{00000000-0005-0000-0000-0000E6300000}"/>
    <cellStyle name="Normal 5 23" xfId="12520" xr:uid="{00000000-0005-0000-0000-0000E7300000}"/>
    <cellStyle name="Normal 5 23 2" xfId="12521" xr:uid="{00000000-0005-0000-0000-0000E8300000}"/>
    <cellStyle name="Normal 5 24" xfId="12522" xr:uid="{00000000-0005-0000-0000-0000E9300000}"/>
    <cellStyle name="Normal 5 24 2" xfId="12523" xr:uid="{00000000-0005-0000-0000-0000EA300000}"/>
    <cellStyle name="Normal 5 25" xfId="12524" xr:uid="{00000000-0005-0000-0000-0000EB300000}"/>
    <cellStyle name="Normal 5 25 2" xfId="12525" xr:uid="{00000000-0005-0000-0000-0000EC300000}"/>
    <cellStyle name="Normal 5 26" xfId="12526" xr:uid="{00000000-0005-0000-0000-0000ED300000}"/>
    <cellStyle name="Normal 5 26 2" xfId="12527" xr:uid="{00000000-0005-0000-0000-0000EE300000}"/>
    <cellStyle name="Normal 5 27" xfId="12528" xr:uid="{00000000-0005-0000-0000-0000EF300000}"/>
    <cellStyle name="Normal 5 27 2" xfId="12529" xr:uid="{00000000-0005-0000-0000-0000F0300000}"/>
    <cellStyle name="Normal 5 28" xfId="12530" xr:uid="{00000000-0005-0000-0000-0000F1300000}"/>
    <cellStyle name="Normal 5 28 2" xfId="12531" xr:uid="{00000000-0005-0000-0000-0000F2300000}"/>
    <cellStyle name="Normal 5 29" xfId="12532" xr:uid="{00000000-0005-0000-0000-0000F3300000}"/>
    <cellStyle name="Normal 5 29 2" xfId="12533" xr:uid="{00000000-0005-0000-0000-0000F4300000}"/>
    <cellStyle name="Normal 5 3" xfId="12534" xr:uid="{00000000-0005-0000-0000-0000F5300000}"/>
    <cellStyle name="Normal 5 3 2" xfId="12535" xr:uid="{00000000-0005-0000-0000-0000F6300000}"/>
    <cellStyle name="Normal 5 3 2 2" xfId="12536" xr:uid="{00000000-0005-0000-0000-0000F7300000}"/>
    <cellStyle name="Normal 5 3 3" xfId="12537" xr:uid="{00000000-0005-0000-0000-0000F8300000}"/>
    <cellStyle name="Normal 5 3 3 2" xfId="12538" xr:uid="{00000000-0005-0000-0000-0000F9300000}"/>
    <cellStyle name="Normal 5 3 4" xfId="12539" xr:uid="{00000000-0005-0000-0000-0000FA300000}"/>
    <cellStyle name="Normal 5 30" xfId="12540" xr:uid="{00000000-0005-0000-0000-0000FB300000}"/>
    <cellStyle name="Normal 5 30 2" xfId="12541" xr:uid="{00000000-0005-0000-0000-0000FC300000}"/>
    <cellStyle name="Normal 5 31" xfId="12542" xr:uid="{00000000-0005-0000-0000-0000FD300000}"/>
    <cellStyle name="Normal 5 31 2" xfId="12543" xr:uid="{00000000-0005-0000-0000-0000FE300000}"/>
    <cellStyle name="Normal 5 32" xfId="12544" xr:uid="{00000000-0005-0000-0000-0000FF300000}"/>
    <cellStyle name="Normal 5 32 2" xfId="12545" xr:uid="{00000000-0005-0000-0000-000000310000}"/>
    <cellStyle name="Normal 5 33" xfId="12546" xr:uid="{00000000-0005-0000-0000-000001310000}"/>
    <cellStyle name="Normal 5 33 2" xfId="12547" xr:uid="{00000000-0005-0000-0000-000002310000}"/>
    <cellStyle name="Normal 5 34" xfId="12548" xr:uid="{00000000-0005-0000-0000-000003310000}"/>
    <cellStyle name="Normal 5 34 2" xfId="12549" xr:uid="{00000000-0005-0000-0000-000004310000}"/>
    <cellStyle name="Normal 5 35" xfId="12550" xr:uid="{00000000-0005-0000-0000-000005310000}"/>
    <cellStyle name="Normal 5 35 2" xfId="12551" xr:uid="{00000000-0005-0000-0000-000006310000}"/>
    <cellStyle name="Normal 5 36" xfId="12552" xr:uid="{00000000-0005-0000-0000-000007310000}"/>
    <cellStyle name="Normal 5 36 2" xfId="12553" xr:uid="{00000000-0005-0000-0000-000008310000}"/>
    <cellStyle name="Normal 5 37" xfId="12554" xr:uid="{00000000-0005-0000-0000-000009310000}"/>
    <cellStyle name="Normal 5 37 2" xfId="12555" xr:uid="{00000000-0005-0000-0000-00000A310000}"/>
    <cellStyle name="Normal 5 38" xfId="12556" xr:uid="{00000000-0005-0000-0000-00000B310000}"/>
    <cellStyle name="Normal 5 38 2" xfId="12557" xr:uid="{00000000-0005-0000-0000-00000C310000}"/>
    <cellStyle name="Normal 5 39" xfId="12558" xr:uid="{00000000-0005-0000-0000-00000D310000}"/>
    <cellStyle name="Normal 5 39 2" xfId="12559" xr:uid="{00000000-0005-0000-0000-00000E310000}"/>
    <cellStyle name="Normal 5 4" xfId="12560" xr:uid="{00000000-0005-0000-0000-00000F310000}"/>
    <cellStyle name="Normal 5 4 2" xfId="12561" xr:uid="{00000000-0005-0000-0000-000010310000}"/>
    <cellStyle name="Normal 5 4 2 2" xfId="12562" xr:uid="{00000000-0005-0000-0000-000011310000}"/>
    <cellStyle name="Normal 5 4 3" xfId="12563" xr:uid="{00000000-0005-0000-0000-000012310000}"/>
    <cellStyle name="Normal 5 4 3 2" xfId="12564" xr:uid="{00000000-0005-0000-0000-000013310000}"/>
    <cellStyle name="Normal 5 4 4" xfId="12565" xr:uid="{00000000-0005-0000-0000-000014310000}"/>
    <cellStyle name="Normal 5 40" xfId="12566" xr:uid="{00000000-0005-0000-0000-000015310000}"/>
    <cellStyle name="Normal 5 40 2" xfId="12567" xr:uid="{00000000-0005-0000-0000-000016310000}"/>
    <cellStyle name="Normal 5 41" xfId="12568" xr:uid="{00000000-0005-0000-0000-000017310000}"/>
    <cellStyle name="Normal 5 41 2" xfId="12569" xr:uid="{00000000-0005-0000-0000-000018310000}"/>
    <cellStyle name="Normal 5 42" xfId="12570" xr:uid="{00000000-0005-0000-0000-000019310000}"/>
    <cellStyle name="Normal 5 42 2" xfId="12571" xr:uid="{00000000-0005-0000-0000-00001A310000}"/>
    <cellStyle name="Normal 5 43" xfId="12572" xr:uid="{00000000-0005-0000-0000-00001B310000}"/>
    <cellStyle name="Normal 5 43 2" xfId="12573" xr:uid="{00000000-0005-0000-0000-00001C310000}"/>
    <cellStyle name="Normal 5 44" xfId="12574" xr:uid="{00000000-0005-0000-0000-00001D310000}"/>
    <cellStyle name="Normal 5 44 2" xfId="12575" xr:uid="{00000000-0005-0000-0000-00001E310000}"/>
    <cellStyle name="Normal 5 45" xfId="12576" xr:uid="{00000000-0005-0000-0000-00001F310000}"/>
    <cellStyle name="Normal 5 45 2" xfId="12577" xr:uid="{00000000-0005-0000-0000-000020310000}"/>
    <cellStyle name="Normal 5 46" xfId="12578" xr:uid="{00000000-0005-0000-0000-000021310000}"/>
    <cellStyle name="Normal 5 46 2" xfId="12579" xr:uid="{00000000-0005-0000-0000-000022310000}"/>
    <cellStyle name="Normal 5 47" xfId="12580" xr:uid="{00000000-0005-0000-0000-000023310000}"/>
    <cellStyle name="Normal 5 47 2" xfId="12581" xr:uid="{00000000-0005-0000-0000-000024310000}"/>
    <cellStyle name="Normal 5 48" xfId="12582" xr:uid="{00000000-0005-0000-0000-000025310000}"/>
    <cellStyle name="Normal 5 48 2" xfId="12583" xr:uid="{00000000-0005-0000-0000-000026310000}"/>
    <cellStyle name="Normal 5 49" xfId="12584" xr:uid="{00000000-0005-0000-0000-000027310000}"/>
    <cellStyle name="Normal 5 49 2" xfId="12585" xr:uid="{00000000-0005-0000-0000-000028310000}"/>
    <cellStyle name="Normal 5 5" xfId="12586" xr:uid="{00000000-0005-0000-0000-000029310000}"/>
    <cellStyle name="Normal 5 5 2" xfId="12587" xr:uid="{00000000-0005-0000-0000-00002A310000}"/>
    <cellStyle name="Normal 5 50" xfId="12588" xr:uid="{00000000-0005-0000-0000-00002B310000}"/>
    <cellStyle name="Normal 5 50 2" xfId="12589" xr:uid="{00000000-0005-0000-0000-00002C310000}"/>
    <cellStyle name="Normal 5 51" xfId="12590" xr:uid="{00000000-0005-0000-0000-00002D310000}"/>
    <cellStyle name="Normal 5 51 2" xfId="12591" xr:uid="{00000000-0005-0000-0000-00002E310000}"/>
    <cellStyle name="Normal 5 52" xfId="12592" xr:uid="{00000000-0005-0000-0000-00002F310000}"/>
    <cellStyle name="Normal 5 52 2" xfId="12593" xr:uid="{00000000-0005-0000-0000-000030310000}"/>
    <cellStyle name="Normal 5 53" xfId="12594" xr:uid="{00000000-0005-0000-0000-000031310000}"/>
    <cellStyle name="Normal 5 53 2" xfId="12595" xr:uid="{00000000-0005-0000-0000-000032310000}"/>
    <cellStyle name="Normal 5 54" xfId="12596" xr:uid="{00000000-0005-0000-0000-000033310000}"/>
    <cellStyle name="Normal 5 54 2" xfId="12597" xr:uid="{00000000-0005-0000-0000-000034310000}"/>
    <cellStyle name="Normal 5 55" xfId="12598" xr:uid="{00000000-0005-0000-0000-000035310000}"/>
    <cellStyle name="Normal 5 55 2" xfId="12599" xr:uid="{00000000-0005-0000-0000-000036310000}"/>
    <cellStyle name="Normal 5 56" xfId="12600" xr:uid="{00000000-0005-0000-0000-000037310000}"/>
    <cellStyle name="Normal 5 56 2" xfId="12601" xr:uid="{00000000-0005-0000-0000-000038310000}"/>
    <cellStyle name="Normal 5 57" xfId="12602" xr:uid="{00000000-0005-0000-0000-000039310000}"/>
    <cellStyle name="Normal 5 57 2" xfId="12603" xr:uid="{00000000-0005-0000-0000-00003A310000}"/>
    <cellStyle name="Normal 5 58" xfId="12604" xr:uid="{00000000-0005-0000-0000-00003B310000}"/>
    <cellStyle name="Normal 5 58 2" xfId="12605" xr:uid="{00000000-0005-0000-0000-00003C310000}"/>
    <cellStyle name="Normal 5 59" xfId="12606" xr:uid="{00000000-0005-0000-0000-00003D310000}"/>
    <cellStyle name="Normal 5 59 2" xfId="12607" xr:uid="{00000000-0005-0000-0000-00003E310000}"/>
    <cellStyle name="Normal 5 6" xfId="12608" xr:uid="{00000000-0005-0000-0000-00003F310000}"/>
    <cellStyle name="Normal 5 6 2" xfId="12609" xr:uid="{00000000-0005-0000-0000-000040310000}"/>
    <cellStyle name="Normal 5 60" xfId="12610" xr:uid="{00000000-0005-0000-0000-000041310000}"/>
    <cellStyle name="Normal 5 60 2" xfId="12611" xr:uid="{00000000-0005-0000-0000-000042310000}"/>
    <cellStyle name="Normal 5 61" xfId="12612" xr:uid="{00000000-0005-0000-0000-000043310000}"/>
    <cellStyle name="Normal 5 61 2" xfId="12613" xr:uid="{00000000-0005-0000-0000-000044310000}"/>
    <cellStyle name="Normal 5 62" xfId="12614" xr:uid="{00000000-0005-0000-0000-000045310000}"/>
    <cellStyle name="Normal 5 62 2" xfId="12615" xr:uid="{00000000-0005-0000-0000-000046310000}"/>
    <cellStyle name="Normal 5 63" xfId="12616" xr:uid="{00000000-0005-0000-0000-000047310000}"/>
    <cellStyle name="Normal 5 63 2" xfId="12617" xr:uid="{00000000-0005-0000-0000-000048310000}"/>
    <cellStyle name="Normal 5 64" xfId="12618" xr:uid="{00000000-0005-0000-0000-000049310000}"/>
    <cellStyle name="Normal 5 64 2" xfId="12619" xr:uid="{00000000-0005-0000-0000-00004A310000}"/>
    <cellStyle name="Normal 5 65" xfId="12620" xr:uid="{00000000-0005-0000-0000-00004B310000}"/>
    <cellStyle name="Normal 5 65 2" xfId="12621" xr:uid="{00000000-0005-0000-0000-00004C310000}"/>
    <cellStyle name="Normal 5 66" xfId="12622" xr:uid="{00000000-0005-0000-0000-00004D310000}"/>
    <cellStyle name="Normal 5 66 2" xfId="12623" xr:uid="{00000000-0005-0000-0000-00004E310000}"/>
    <cellStyle name="Normal 5 67" xfId="12624" xr:uid="{00000000-0005-0000-0000-00004F310000}"/>
    <cellStyle name="Normal 5 67 2" xfId="12625" xr:uid="{00000000-0005-0000-0000-000050310000}"/>
    <cellStyle name="Normal 5 68" xfId="12626" xr:uid="{00000000-0005-0000-0000-000051310000}"/>
    <cellStyle name="Normal 5 68 2" xfId="12627" xr:uid="{00000000-0005-0000-0000-000052310000}"/>
    <cellStyle name="Normal 5 69" xfId="12628" xr:uid="{00000000-0005-0000-0000-000053310000}"/>
    <cellStyle name="Normal 5 69 2" xfId="12629" xr:uid="{00000000-0005-0000-0000-000054310000}"/>
    <cellStyle name="Normal 5 7" xfId="12630" xr:uid="{00000000-0005-0000-0000-000055310000}"/>
    <cellStyle name="Normal 5 7 2" xfId="12631" xr:uid="{00000000-0005-0000-0000-000056310000}"/>
    <cellStyle name="Normal 5 70" xfId="12632" xr:uid="{00000000-0005-0000-0000-000057310000}"/>
    <cellStyle name="Normal 5 70 2" xfId="12633" xr:uid="{00000000-0005-0000-0000-000058310000}"/>
    <cellStyle name="Normal 5 71" xfId="12634" xr:uid="{00000000-0005-0000-0000-000059310000}"/>
    <cellStyle name="Normal 5 71 2" xfId="12635" xr:uid="{00000000-0005-0000-0000-00005A310000}"/>
    <cellStyle name="Normal 5 72" xfId="12636" xr:uid="{00000000-0005-0000-0000-00005B310000}"/>
    <cellStyle name="Normal 5 72 2" xfId="12637" xr:uid="{00000000-0005-0000-0000-00005C310000}"/>
    <cellStyle name="Normal 5 73" xfId="12638" xr:uid="{00000000-0005-0000-0000-00005D310000}"/>
    <cellStyle name="Normal 5 73 2" xfId="12639" xr:uid="{00000000-0005-0000-0000-00005E310000}"/>
    <cellStyle name="Normal 5 73 3" xfId="12640" xr:uid="{00000000-0005-0000-0000-00005F310000}"/>
    <cellStyle name="Normal 5 73 4" xfId="12641" xr:uid="{00000000-0005-0000-0000-000060310000}"/>
    <cellStyle name="Normal 5 74" xfId="12642" xr:uid="{00000000-0005-0000-0000-000061310000}"/>
    <cellStyle name="Normal 5 74 2" xfId="12643" xr:uid="{00000000-0005-0000-0000-000062310000}"/>
    <cellStyle name="Normal 5 75" xfId="12644" xr:uid="{00000000-0005-0000-0000-000063310000}"/>
    <cellStyle name="Normal 5 76" xfId="12645" xr:uid="{00000000-0005-0000-0000-000064310000}"/>
    <cellStyle name="Normal 5 76 2" xfId="12646" xr:uid="{00000000-0005-0000-0000-000065310000}"/>
    <cellStyle name="Normal 5 76 2 2" xfId="12647" xr:uid="{00000000-0005-0000-0000-000066310000}"/>
    <cellStyle name="Normal 5 76 2 3" xfId="12648" xr:uid="{00000000-0005-0000-0000-000067310000}"/>
    <cellStyle name="Normal 5 76 3" xfId="12649" xr:uid="{00000000-0005-0000-0000-000068310000}"/>
    <cellStyle name="Normal 5 76 4" xfId="12650" xr:uid="{00000000-0005-0000-0000-000069310000}"/>
    <cellStyle name="Normal 5 77" xfId="12651" xr:uid="{00000000-0005-0000-0000-00006A310000}"/>
    <cellStyle name="Normal 5 77 2" xfId="12652" xr:uid="{00000000-0005-0000-0000-00006B310000}"/>
    <cellStyle name="Normal 5 77 2 2" xfId="12653" xr:uid="{00000000-0005-0000-0000-00006C310000}"/>
    <cellStyle name="Normal 5 77 2 3" xfId="12654" xr:uid="{00000000-0005-0000-0000-00006D310000}"/>
    <cellStyle name="Normal 5 77 3" xfId="12655" xr:uid="{00000000-0005-0000-0000-00006E310000}"/>
    <cellStyle name="Normal 5 77 4" xfId="12656" xr:uid="{00000000-0005-0000-0000-00006F310000}"/>
    <cellStyle name="Normal 5 78" xfId="12657" xr:uid="{00000000-0005-0000-0000-000070310000}"/>
    <cellStyle name="Normal 5 78 2" xfId="12658" xr:uid="{00000000-0005-0000-0000-000071310000}"/>
    <cellStyle name="Normal 5 78 2 2" xfId="12659" xr:uid="{00000000-0005-0000-0000-000072310000}"/>
    <cellStyle name="Normal 5 78 2 3" xfId="12660" xr:uid="{00000000-0005-0000-0000-000073310000}"/>
    <cellStyle name="Normal 5 78 3" xfId="12661" xr:uid="{00000000-0005-0000-0000-000074310000}"/>
    <cellStyle name="Normal 5 78 4" xfId="12662" xr:uid="{00000000-0005-0000-0000-000075310000}"/>
    <cellStyle name="Normal 5 79" xfId="12663" xr:uid="{00000000-0005-0000-0000-000076310000}"/>
    <cellStyle name="Normal 5 79 2" xfId="12664" xr:uid="{00000000-0005-0000-0000-000077310000}"/>
    <cellStyle name="Normal 5 79 2 2" xfId="12665" xr:uid="{00000000-0005-0000-0000-000078310000}"/>
    <cellStyle name="Normal 5 79 2 3" xfId="12666" xr:uid="{00000000-0005-0000-0000-000079310000}"/>
    <cellStyle name="Normal 5 79 3" xfId="12667" xr:uid="{00000000-0005-0000-0000-00007A310000}"/>
    <cellStyle name="Normal 5 79 4" xfId="12668" xr:uid="{00000000-0005-0000-0000-00007B310000}"/>
    <cellStyle name="Normal 5 8" xfId="12669" xr:uid="{00000000-0005-0000-0000-00007C310000}"/>
    <cellStyle name="Normal 5 8 2" xfId="12670" xr:uid="{00000000-0005-0000-0000-00007D310000}"/>
    <cellStyle name="Normal 5 80" xfId="12671" xr:uid="{00000000-0005-0000-0000-00007E310000}"/>
    <cellStyle name="Normal 5 80 2" xfId="12672" xr:uid="{00000000-0005-0000-0000-00007F310000}"/>
    <cellStyle name="Normal 5 80 2 2" xfId="12673" xr:uid="{00000000-0005-0000-0000-000080310000}"/>
    <cellStyle name="Normal 5 80 2 3" xfId="12674" xr:uid="{00000000-0005-0000-0000-000081310000}"/>
    <cellStyle name="Normal 5 80 3" xfId="12675" xr:uid="{00000000-0005-0000-0000-000082310000}"/>
    <cellStyle name="Normal 5 80 4" xfId="12676" xr:uid="{00000000-0005-0000-0000-000083310000}"/>
    <cellStyle name="Normal 5 81" xfId="12677" xr:uid="{00000000-0005-0000-0000-000084310000}"/>
    <cellStyle name="Normal 5 81 2" xfId="12678" xr:uid="{00000000-0005-0000-0000-000085310000}"/>
    <cellStyle name="Normal 5 81 2 2" xfId="12679" xr:uid="{00000000-0005-0000-0000-000086310000}"/>
    <cellStyle name="Normal 5 81 2 3" xfId="12680" xr:uid="{00000000-0005-0000-0000-000087310000}"/>
    <cellStyle name="Normal 5 81 3" xfId="12681" xr:uid="{00000000-0005-0000-0000-000088310000}"/>
    <cellStyle name="Normal 5 81 4" xfId="12682" xr:uid="{00000000-0005-0000-0000-000089310000}"/>
    <cellStyle name="Normal 5 82" xfId="12683" xr:uid="{00000000-0005-0000-0000-00008A310000}"/>
    <cellStyle name="Normal 5 82 2" xfId="12684" xr:uid="{00000000-0005-0000-0000-00008B310000}"/>
    <cellStyle name="Normal 5 82 2 2" xfId="12685" xr:uid="{00000000-0005-0000-0000-00008C310000}"/>
    <cellStyle name="Normal 5 82 2 3" xfId="12686" xr:uid="{00000000-0005-0000-0000-00008D310000}"/>
    <cellStyle name="Normal 5 82 3" xfId="12687" xr:uid="{00000000-0005-0000-0000-00008E310000}"/>
    <cellStyle name="Normal 5 82 4" xfId="12688" xr:uid="{00000000-0005-0000-0000-00008F310000}"/>
    <cellStyle name="Normal 5 83" xfId="12689" xr:uid="{00000000-0005-0000-0000-000090310000}"/>
    <cellStyle name="Normal 5 83 2" xfId="12690" xr:uid="{00000000-0005-0000-0000-000091310000}"/>
    <cellStyle name="Normal 5 83 2 2" xfId="12691" xr:uid="{00000000-0005-0000-0000-000092310000}"/>
    <cellStyle name="Normal 5 83 2 3" xfId="12692" xr:uid="{00000000-0005-0000-0000-000093310000}"/>
    <cellStyle name="Normal 5 83 3" xfId="12693" xr:uid="{00000000-0005-0000-0000-000094310000}"/>
    <cellStyle name="Normal 5 83 4" xfId="12694" xr:uid="{00000000-0005-0000-0000-000095310000}"/>
    <cellStyle name="Normal 5 84" xfId="12695" xr:uid="{00000000-0005-0000-0000-000096310000}"/>
    <cellStyle name="Normal 5 84 2" xfId="12696" xr:uid="{00000000-0005-0000-0000-000097310000}"/>
    <cellStyle name="Normal 5 84 2 2" xfId="12697" xr:uid="{00000000-0005-0000-0000-000098310000}"/>
    <cellStyle name="Normal 5 84 2 3" xfId="12698" xr:uid="{00000000-0005-0000-0000-000099310000}"/>
    <cellStyle name="Normal 5 84 3" xfId="12699" xr:uid="{00000000-0005-0000-0000-00009A310000}"/>
    <cellStyle name="Normal 5 84 4" xfId="12700" xr:uid="{00000000-0005-0000-0000-00009B310000}"/>
    <cellStyle name="Normal 5 85" xfId="12701" xr:uid="{00000000-0005-0000-0000-00009C310000}"/>
    <cellStyle name="Normal 5 85 2" xfId="12702" xr:uid="{00000000-0005-0000-0000-00009D310000}"/>
    <cellStyle name="Normal 5 85 2 2" xfId="12703" xr:uid="{00000000-0005-0000-0000-00009E310000}"/>
    <cellStyle name="Normal 5 85 2 3" xfId="12704" xr:uid="{00000000-0005-0000-0000-00009F310000}"/>
    <cellStyle name="Normal 5 85 3" xfId="12705" xr:uid="{00000000-0005-0000-0000-0000A0310000}"/>
    <cellStyle name="Normal 5 85 4" xfId="12706" xr:uid="{00000000-0005-0000-0000-0000A1310000}"/>
    <cellStyle name="Normal 5 86" xfId="12707" xr:uid="{00000000-0005-0000-0000-0000A2310000}"/>
    <cellStyle name="Normal 5 86 2" xfId="12708" xr:uid="{00000000-0005-0000-0000-0000A3310000}"/>
    <cellStyle name="Normal 5 86 2 2" xfId="12709" xr:uid="{00000000-0005-0000-0000-0000A4310000}"/>
    <cellStyle name="Normal 5 86 2 3" xfId="12710" xr:uid="{00000000-0005-0000-0000-0000A5310000}"/>
    <cellStyle name="Normal 5 86 3" xfId="12711" xr:uid="{00000000-0005-0000-0000-0000A6310000}"/>
    <cellStyle name="Normal 5 86 4" xfId="12712" xr:uid="{00000000-0005-0000-0000-0000A7310000}"/>
    <cellStyle name="Normal 5 87" xfId="12713" xr:uid="{00000000-0005-0000-0000-0000A8310000}"/>
    <cellStyle name="Normal 5 87 2" xfId="12714" xr:uid="{00000000-0005-0000-0000-0000A9310000}"/>
    <cellStyle name="Normal 5 87 2 2" xfId="12715" xr:uid="{00000000-0005-0000-0000-0000AA310000}"/>
    <cellStyle name="Normal 5 87 2 3" xfId="12716" xr:uid="{00000000-0005-0000-0000-0000AB310000}"/>
    <cellStyle name="Normal 5 87 3" xfId="12717" xr:uid="{00000000-0005-0000-0000-0000AC310000}"/>
    <cellStyle name="Normal 5 87 4" xfId="12718" xr:uid="{00000000-0005-0000-0000-0000AD310000}"/>
    <cellStyle name="Normal 5 88" xfId="12719" xr:uid="{00000000-0005-0000-0000-0000AE310000}"/>
    <cellStyle name="Normal 5 88 2" xfId="12720" xr:uid="{00000000-0005-0000-0000-0000AF310000}"/>
    <cellStyle name="Normal 5 88 2 2" xfId="12721" xr:uid="{00000000-0005-0000-0000-0000B0310000}"/>
    <cellStyle name="Normal 5 88 2 3" xfId="12722" xr:uid="{00000000-0005-0000-0000-0000B1310000}"/>
    <cellStyle name="Normal 5 88 3" xfId="12723" xr:uid="{00000000-0005-0000-0000-0000B2310000}"/>
    <cellStyle name="Normal 5 88 4" xfId="12724" xr:uid="{00000000-0005-0000-0000-0000B3310000}"/>
    <cellStyle name="Normal 5 89" xfId="12725" xr:uid="{00000000-0005-0000-0000-0000B4310000}"/>
    <cellStyle name="Normal 5 89 2" xfId="12726" xr:uid="{00000000-0005-0000-0000-0000B5310000}"/>
    <cellStyle name="Normal 5 89 2 2" xfId="12727" xr:uid="{00000000-0005-0000-0000-0000B6310000}"/>
    <cellStyle name="Normal 5 89 2 3" xfId="12728" xr:uid="{00000000-0005-0000-0000-0000B7310000}"/>
    <cellStyle name="Normal 5 89 3" xfId="12729" xr:uid="{00000000-0005-0000-0000-0000B8310000}"/>
    <cellStyle name="Normal 5 89 4" xfId="12730" xr:uid="{00000000-0005-0000-0000-0000B9310000}"/>
    <cellStyle name="Normal 5 9" xfId="12731" xr:uid="{00000000-0005-0000-0000-0000BA310000}"/>
    <cellStyle name="Normal 5 9 2" xfId="12732" xr:uid="{00000000-0005-0000-0000-0000BB310000}"/>
    <cellStyle name="Normal 5 90" xfId="12733" xr:uid="{00000000-0005-0000-0000-0000BC310000}"/>
    <cellStyle name="Normal 5 90 2" xfId="12734" xr:uid="{00000000-0005-0000-0000-0000BD310000}"/>
    <cellStyle name="Normal 5 90 2 2" xfId="12735" xr:uid="{00000000-0005-0000-0000-0000BE310000}"/>
    <cellStyle name="Normal 5 90 2 3" xfId="12736" xr:uid="{00000000-0005-0000-0000-0000BF310000}"/>
    <cellStyle name="Normal 5 90 3" xfId="12737" xr:uid="{00000000-0005-0000-0000-0000C0310000}"/>
    <cellStyle name="Normal 5 90 4" xfId="12738" xr:uid="{00000000-0005-0000-0000-0000C1310000}"/>
    <cellStyle name="Normal 5 91" xfId="12739" xr:uid="{00000000-0005-0000-0000-0000C2310000}"/>
    <cellStyle name="Normal 5 91 2" xfId="12740" xr:uid="{00000000-0005-0000-0000-0000C3310000}"/>
    <cellStyle name="Normal 5 91 2 2" xfId="12741" xr:uid="{00000000-0005-0000-0000-0000C4310000}"/>
    <cellStyle name="Normal 5 91 2 3" xfId="12742" xr:uid="{00000000-0005-0000-0000-0000C5310000}"/>
    <cellStyle name="Normal 5 91 3" xfId="12743" xr:uid="{00000000-0005-0000-0000-0000C6310000}"/>
    <cellStyle name="Normal 5 91 4" xfId="12744" xr:uid="{00000000-0005-0000-0000-0000C7310000}"/>
    <cellStyle name="Normal 5 92" xfId="12745" xr:uid="{00000000-0005-0000-0000-0000C8310000}"/>
    <cellStyle name="Normal 5 92 2" xfId="12746" xr:uid="{00000000-0005-0000-0000-0000C9310000}"/>
    <cellStyle name="Normal 5 92 2 2" xfId="12747" xr:uid="{00000000-0005-0000-0000-0000CA310000}"/>
    <cellStyle name="Normal 5 92 2 3" xfId="12748" xr:uid="{00000000-0005-0000-0000-0000CB310000}"/>
    <cellStyle name="Normal 5 92 3" xfId="12749" xr:uid="{00000000-0005-0000-0000-0000CC310000}"/>
    <cellStyle name="Normal 5 92 4" xfId="12750" xr:uid="{00000000-0005-0000-0000-0000CD310000}"/>
    <cellStyle name="Normal 5 93" xfId="12751" xr:uid="{00000000-0005-0000-0000-0000CE310000}"/>
    <cellStyle name="Normal 5 93 2" xfId="12752" xr:uid="{00000000-0005-0000-0000-0000CF310000}"/>
    <cellStyle name="Normal 5 93 2 2" xfId="12753" xr:uid="{00000000-0005-0000-0000-0000D0310000}"/>
    <cellStyle name="Normal 5 93 2 3" xfId="12754" xr:uid="{00000000-0005-0000-0000-0000D1310000}"/>
    <cellStyle name="Normal 5 93 3" xfId="12755" xr:uid="{00000000-0005-0000-0000-0000D2310000}"/>
    <cellStyle name="Normal 5 93 4" xfId="12756" xr:uid="{00000000-0005-0000-0000-0000D3310000}"/>
    <cellStyle name="Normal 5 94" xfId="12757" xr:uid="{00000000-0005-0000-0000-0000D4310000}"/>
    <cellStyle name="Normal 5 94 2" xfId="12758" xr:uid="{00000000-0005-0000-0000-0000D5310000}"/>
    <cellStyle name="Normal 5 94 2 2" xfId="12759" xr:uid="{00000000-0005-0000-0000-0000D6310000}"/>
    <cellStyle name="Normal 5 94 2 3" xfId="12760" xr:uid="{00000000-0005-0000-0000-0000D7310000}"/>
    <cellStyle name="Normal 5 94 3" xfId="12761" xr:uid="{00000000-0005-0000-0000-0000D8310000}"/>
    <cellStyle name="Normal 5 94 4" xfId="12762" xr:uid="{00000000-0005-0000-0000-0000D9310000}"/>
    <cellStyle name="Normal 5 95" xfId="12763" xr:uid="{00000000-0005-0000-0000-0000DA310000}"/>
    <cellStyle name="Normal 5 95 2" xfId="12764" xr:uid="{00000000-0005-0000-0000-0000DB310000}"/>
    <cellStyle name="Normal 5 95 2 2" xfId="12765" xr:uid="{00000000-0005-0000-0000-0000DC310000}"/>
    <cellStyle name="Normal 5 95 2 3" xfId="12766" xr:uid="{00000000-0005-0000-0000-0000DD310000}"/>
    <cellStyle name="Normal 5 95 3" xfId="12767" xr:uid="{00000000-0005-0000-0000-0000DE310000}"/>
    <cellStyle name="Normal 5 95 4" xfId="12768" xr:uid="{00000000-0005-0000-0000-0000DF310000}"/>
    <cellStyle name="Normal 5 96" xfId="12769" xr:uid="{00000000-0005-0000-0000-0000E0310000}"/>
    <cellStyle name="Normal 5 96 2" xfId="12770" xr:uid="{00000000-0005-0000-0000-0000E1310000}"/>
    <cellStyle name="Normal 5 96 2 2" xfId="12771" xr:uid="{00000000-0005-0000-0000-0000E2310000}"/>
    <cellStyle name="Normal 5 96 2 3" xfId="12772" xr:uid="{00000000-0005-0000-0000-0000E3310000}"/>
    <cellStyle name="Normal 5 96 3" xfId="12773" xr:uid="{00000000-0005-0000-0000-0000E4310000}"/>
    <cellStyle name="Normal 5 96 4" xfId="12774" xr:uid="{00000000-0005-0000-0000-0000E5310000}"/>
    <cellStyle name="Normal 5 97" xfId="12775" xr:uid="{00000000-0005-0000-0000-0000E6310000}"/>
    <cellStyle name="Normal 5 97 2" xfId="12776" xr:uid="{00000000-0005-0000-0000-0000E7310000}"/>
    <cellStyle name="Normal 5 97 2 2" xfId="12777" xr:uid="{00000000-0005-0000-0000-0000E8310000}"/>
    <cellStyle name="Normal 5 97 2 3" xfId="12778" xr:uid="{00000000-0005-0000-0000-0000E9310000}"/>
    <cellStyle name="Normal 5 97 3" xfId="12779" xr:uid="{00000000-0005-0000-0000-0000EA310000}"/>
    <cellStyle name="Normal 5 97 4" xfId="12780" xr:uid="{00000000-0005-0000-0000-0000EB310000}"/>
    <cellStyle name="Normal 5 98" xfId="12781" xr:uid="{00000000-0005-0000-0000-0000EC310000}"/>
    <cellStyle name="Normal 5 98 2" xfId="12782" xr:uid="{00000000-0005-0000-0000-0000ED310000}"/>
    <cellStyle name="Normal 5 98 2 2" xfId="12783" xr:uid="{00000000-0005-0000-0000-0000EE310000}"/>
    <cellStyle name="Normal 5 98 2 3" xfId="12784" xr:uid="{00000000-0005-0000-0000-0000EF310000}"/>
    <cellStyle name="Normal 5 98 3" xfId="12785" xr:uid="{00000000-0005-0000-0000-0000F0310000}"/>
    <cellStyle name="Normal 5 98 4" xfId="12786" xr:uid="{00000000-0005-0000-0000-0000F1310000}"/>
    <cellStyle name="Normal 5 99" xfId="12787" xr:uid="{00000000-0005-0000-0000-0000F2310000}"/>
    <cellStyle name="Normal 50" xfId="12788" xr:uid="{00000000-0005-0000-0000-0000F3310000}"/>
    <cellStyle name="Normal 50 2" xfId="12789" xr:uid="{00000000-0005-0000-0000-0000F4310000}"/>
    <cellStyle name="Normal 50 2 2" xfId="12790" xr:uid="{00000000-0005-0000-0000-0000F5310000}"/>
    <cellStyle name="Normal 50 2 3" xfId="12791" xr:uid="{00000000-0005-0000-0000-0000F6310000}"/>
    <cellStyle name="Normal 50 3" xfId="12792" xr:uid="{00000000-0005-0000-0000-0000F7310000}"/>
    <cellStyle name="Normal 50 4" xfId="12793" xr:uid="{00000000-0005-0000-0000-0000F8310000}"/>
    <cellStyle name="Normal 51" xfId="12794" xr:uid="{00000000-0005-0000-0000-0000F9310000}"/>
    <cellStyle name="Normal 51 2" xfId="12795" xr:uid="{00000000-0005-0000-0000-0000FA310000}"/>
    <cellStyle name="Normal 51 2 2" xfId="12796" xr:uid="{00000000-0005-0000-0000-0000FB310000}"/>
    <cellStyle name="Normal 51 2 3" xfId="12797" xr:uid="{00000000-0005-0000-0000-0000FC310000}"/>
    <cellStyle name="Normal 51 3" xfId="12798" xr:uid="{00000000-0005-0000-0000-0000FD310000}"/>
    <cellStyle name="Normal 51 4" xfId="12799" xr:uid="{00000000-0005-0000-0000-0000FE310000}"/>
    <cellStyle name="Normal 52" xfId="12800" xr:uid="{00000000-0005-0000-0000-0000FF310000}"/>
    <cellStyle name="Normal 52 2" xfId="12801" xr:uid="{00000000-0005-0000-0000-000000320000}"/>
    <cellStyle name="Normal 52 2 2" xfId="12802" xr:uid="{00000000-0005-0000-0000-000001320000}"/>
    <cellStyle name="Normal 52 2 3" xfId="12803" xr:uid="{00000000-0005-0000-0000-000002320000}"/>
    <cellStyle name="Normal 52 3" xfId="12804" xr:uid="{00000000-0005-0000-0000-000003320000}"/>
    <cellStyle name="Normal 52 4" xfId="12805" xr:uid="{00000000-0005-0000-0000-000004320000}"/>
    <cellStyle name="Normal 53" xfId="12806" xr:uid="{00000000-0005-0000-0000-000005320000}"/>
    <cellStyle name="Normal 53 2" xfId="12807" xr:uid="{00000000-0005-0000-0000-000006320000}"/>
    <cellStyle name="Normal 53 2 2" xfId="12808" xr:uid="{00000000-0005-0000-0000-000007320000}"/>
    <cellStyle name="Normal 53 2 3" xfId="12809" xr:uid="{00000000-0005-0000-0000-000008320000}"/>
    <cellStyle name="Normal 53 3" xfId="12810" xr:uid="{00000000-0005-0000-0000-000009320000}"/>
    <cellStyle name="Normal 53 4" xfId="12811" xr:uid="{00000000-0005-0000-0000-00000A320000}"/>
    <cellStyle name="Normal 54" xfId="12812" xr:uid="{00000000-0005-0000-0000-00000B320000}"/>
    <cellStyle name="Normal 54 10" xfId="12813" xr:uid="{00000000-0005-0000-0000-00000C320000}"/>
    <cellStyle name="Normal 54 10 2" xfId="12814" xr:uid="{00000000-0005-0000-0000-00000D320000}"/>
    <cellStyle name="Normal 54 10 2 2" xfId="12815" xr:uid="{00000000-0005-0000-0000-00000E320000}"/>
    <cellStyle name="Normal 54 10 2 3" xfId="12816" xr:uid="{00000000-0005-0000-0000-00000F320000}"/>
    <cellStyle name="Normal 54 10 3" xfId="12817" xr:uid="{00000000-0005-0000-0000-000010320000}"/>
    <cellStyle name="Normal 54 10 4" xfId="12818" xr:uid="{00000000-0005-0000-0000-000011320000}"/>
    <cellStyle name="Normal 54 11" xfId="12819" xr:uid="{00000000-0005-0000-0000-000012320000}"/>
    <cellStyle name="Normal 54 11 2" xfId="12820" xr:uid="{00000000-0005-0000-0000-000013320000}"/>
    <cellStyle name="Normal 54 11 2 2" xfId="12821" xr:uid="{00000000-0005-0000-0000-000014320000}"/>
    <cellStyle name="Normal 54 11 2 3" xfId="12822" xr:uid="{00000000-0005-0000-0000-000015320000}"/>
    <cellStyle name="Normal 54 11 3" xfId="12823" xr:uid="{00000000-0005-0000-0000-000016320000}"/>
    <cellStyle name="Normal 54 11 4" xfId="12824" xr:uid="{00000000-0005-0000-0000-000017320000}"/>
    <cellStyle name="Normal 54 12" xfId="12825" xr:uid="{00000000-0005-0000-0000-000018320000}"/>
    <cellStyle name="Normal 54 12 2" xfId="12826" xr:uid="{00000000-0005-0000-0000-000019320000}"/>
    <cellStyle name="Normal 54 12 2 2" xfId="12827" xr:uid="{00000000-0005-0000-0000-00001A320000}"/>
    <cellStyle name="Normal 54 12 2 3" xfId="12828" xr:uid="{00000000-0005-0000-0000-00001B320000}"/>
    <cellStyle name="Normal 54 12 3" xfId="12829" xr:uid="{00000000-0005-0000-0000-00001C320000}"/>
    <cellStyle name="Normal 54 12 4" xfId="12830" xr:uid="{00000000-0005-0000-0000-00001D320000}"/>
    <cellStyle name="Normal 54 13" xfId="12831" xr:uid="{00000000-0005-0000-0000-00001E320000}"/>
    <cellStyle name="Normal 54 13 2" xfId="12832" xr:uid="{00000000-0005-0000-0000-00001F320000}"/>
    <cellStyle name="Normal 54 13 2 2" xfId="12833" xr:uid="{00000000-0005-0000-0000-000020320000}"/>
    <cellStyle name="Normal 54 13 2 3" xfId="12834" xr:uid="{00000000-0005-0000-0000-000021320000}"/>
    <cellStyle name="Normal 54 13 3" xfId="12835" xr:uid="{00000000-0005-0000-0000-000022320000}"/>
    <cellStyle name="Normal 54 13 4" xfId="12836" xr:uid="{00000000-0005-0000-0000-000023320000}"/>
    <cellStyle name="Normal 54 14" xfId="12837" xr:uid="{00000000-0005-0000-0000-000024320000}"/>
    <cellStyle name="Normal 54 14 2" xfId="12838" xr:uid="{00000000-0005-0000-0000-000025320000}"/>
    <cellStyle name="Normal 54 14 2 2" xfId="12839" xr:uid="{00000000-0005-0000-0000-000026320000}"/>
    <cellStyle name="Normal 54 14 2 3" xfId="12840" xr:uid="{00000000-0005-0000-0000-000027320000}"/>
    <cellStyle name="Normal 54 14 3" xfId="12841" xr:uid="{00000000-0005-0000-0000-000028320000}"/>
    <cellStyle name="Normal 54 14 4" xfId="12842" xr:uid="{00000000-0005-0000-0000-000029320000}"/>
    <cellStyle name="Normal 54 15" xfId="12843" xr:uid="{00000000-0005-0000-0000-00002A320000}"/>
    <cellStyle name="Normal 54 15 2" xfId="12844" xr:uid="{00000000-0005-0000-0000-00002B320000}"/>
    <cellStyle name="Normal 54 15 2 2" xfId="12845" xr:uid="{00000000-0005-0000-0000-00002C320000}"/>
    <cellStyle name="Normal 54 15 2 3" xfId="12846" xr:uid="{00000000-0005-0000-0000-00002D320000}"/>
    <cellStyle name="Normal 54 15 3" xfId="12847" xr:uid="{00000000-0005-0000-0000-00002E320000}"/>
    <cellStyle name="Normal 54 15 4" xfId="12848" xr:uid="{00000000-0005-0000-0000-00002F320000}"/>
    <cellStyle name="Normal 54 16" xfId="12849" xr:uid="{00000000-0005-0000-0000-000030320000}"/>
    <cellStyle name="Normal 54 16 2" xfId="12850" xr:uid="{00000000-0005-0000-0000-000031320000}"/>
    <cellStyle name="Normal 54 16 2 2" xfId="12851" xr:uid="{00000000-0005-0000-0000-000032320000}"/>
    <cellStyle name="Normal 54 16 2 3" xfId="12852" xr:uid="{00000000-0005-0000-0000-000033320000}"/>
    <cellStyle name="Normal 54 16 3" xfId="12853" xr:uid="{00000000-0005-0000-0000-000034320000}"/>
    <cellStyle name="Normal 54 16 4" xfId="12854" xr:uid="{00000000-0005-0000-0000-000035320000}"/>
    <cellStyle name="Normal 54 17" xfId="12855" xr:uid="{00000000-0005-0000-0000-000036320000}"/>
    <cellStyle name="Normal 54 17 2" xfId="12856" xr:uid="{00000000-0005-0000-0000-000037320000}"/>
    <cellStyle name="Normal 54 17 2 2" xfId="12857" xr:uid="{00000000-0005-0000-0000-000038320000}"/>
    <cellStyle name="Normal 54 17 2 3" xfId="12858" xr:uid="{00000000-0005-0000-0000-000039320000}"/>
    <cellStyle name="Normal 54 17 3" xfId="12859" xr:uid="{00000000-0005-0000-0000-00003A320000}"/>
    <cellStyle name="Normal 54 17 4" xfId="12860" xr:uid="{00000000-0005-0000-0000-00003B320000}"/>
    <cellStyle name="Normal 54 18" xfId="12861" xr:uid="{00000000-0005-0000-0000-00003C320000}"/>
    <cellStyle name="Normal 54 18 2" xfId="12862" xr:uid="{00000000-0005-0000-0000-00003D320000}"/>
    <cellStyle name="Normal 54 18 2 2" xfId="12863" xr:uid="{00000000-0005-0000-0000-00003E320000}"/>
    <cellStyle name="Normal 54 18 2 3" xfId="12864" xr:uid="{00000000-0005-0000-0000-00003F320000}"/>
    <cellStyle name="Normal 54 18 3" xfId="12865" xr:uid="{00000000-0005-0000-0000-000040320000}"/>
    <cellStyle name="Normal 54 18 4" xfId="12866" xr:uid="{00000000-0005-0000-0000-000041320000}"/>
    <cellStyle name="Normal 54 19" xfId="12867" xr:uid="{00000000-0005-0000-0000-000042320000}"/>
    <cellStyle name="Normal 54 19 2" xfId="12868" xr:uid="{00000000-0005-0000-0000-000043320000}"/>
    <cellStyle name="Normal 54 19 2 2" xfId="12869" xr:uid="{00000000-0005-0000-0000-000044320000}"/>
    <cellStyle name="Normal 54 19 2 3" xfId="12870" xr:uid="{00000000-0005-0000-0000-000045320000}"/>
    <cellStyle name="Normal 54 19 3" xfId="12871" xr:uid="{00000000-0005-0000-0000-000046320000}"/>
    <cellStyle name="Normal 54 19 4" xfId="12872" xr:uid="{00000000-0005-0000-0000-000047320000}"/>
    <cellStyle name="Normal 54 2" xfId="12873" xr:uid="{00000000-0005-0000-0000-000048320000}"/>
    <cellStyle name="Normal 54 2 2" xfId="12874" xr:uid="{00000000-0005-0000-0000-000049320000}"/>
    <cellStyle name="Normal 54 2 2 2" xfId="12875" xr:uid="{00000000-0005-0000-0000-00004A320000}"/>
    <cellStyle name="Normal 54 2 2 3" xfId="12876" xr:uid="{00000000-0005-0000-0000-00004B320000}"/>
    <cellStyle name="Normal 54 2 3" xfId="12877" xr:uid="{00000000-0005-0000-0000-00004C320000}"/>
    <cellStyle name="Normal 54 2 4" xfId="12878" xr:uid="{00000000-0005-0000-0000-00004D320000}"/>
    <cellStyle name="Normal 54 20" xfId="12879" xr:uid="{00000000-0005-0000-0000-00004E320000}"/>
    <cellStyle name="Normal 54 20 2" xfId="12880" xr:uid="{00000000-0005-0000-0000-00004F320000}"/>
    <cellStyle name="Normal 54 20 2 2" xfId="12881" xr:uid="{00000000-0005-0000-0000-000050320000}"/>
    <cellStyle name="Normal 54 20 2 3" xfId="12882" xr:uid="{00000000-0005-0000-0000-000051320000}"/>
    <cellStyle name="Normal 54 20 3" xfId="12883" xr:uid="{00000000-0005-0000-0000-000052320000}"/>
    <cellStyle name="Normal 54 20 4" xfId="12884" xr:uid="{00000000-0005-0000-0000-000053320000}"/>
    <cellStyle name="Normal 54 21" xfId="12885" xr:uid="{00000000-0005-0000-0000-000054320000}"/>
    <cellStyle name="Normal 54 21 2" xfId="12886" xr:uid="{00000000-0005-0000-0000-000055320000}"/>
    <cellStyle name="Normal 54 21 2 2" xfId="12887" xr:uid="{00000000-0005-0000-0000-000056320000}"/>
    <cellStyle name="Normal 54 21 2 3" xfId="12888" xr:uid="{00000000-0005-0000-0000-000057320000}"/>
    <cellStyle name="Normal 54 21 3" xfId="12889" xr:uid="{00000000-0005-0000-0000-000058320000}"/>
    <cellStyle name="Normal 54 21 4" xfId="12890" xr:uid="{00000000-0005-0000-0000-000059320000}"/>
    <cellStyle name="Normal 54 22" xfId="12891" xr:uid="{00000000-0005-0000-0000-00005A320000}"/>
    <cellStyle name="Normal 54 22 2" xfId="12892" xr:uid="{00000000-0005-0000-0000-00005B320000}"/>
    <cellStyle name="Normal 54 22 2 2" xfId="12893" xr:uid="{00000000-0005-0000-0000-00005C320000}"/>
    <cellStyle name="Normal 54 22 2 3" xfId="12894" xr:uid="{00000000-0005-0000-0000-00005D320000}"/>
    <cellStyle name="Normal 54 22 3" xfId="12895" xr:uid="{00000000-0005-0000-0000-00005E320000}"/>
    <cellStyle name="Normal 54 22 4" xfId="12896" xr:uid="{00000000-0005-0000-0000-00005F320000}"/>
    <cellStyle name="Normal 54 23" xfId="12897" xr:uid="{00000000-0005-0000-0000-000060320000}"/>
    <cellStyle name="Normal 54 23 2" xfId="12898" xr:uid="{00000000-0005-0000-0000-000061320000}"/>
    <cellStyle name="Normal 54 23 2 2" xfId="12899" xr:uid="{00000000-0005-0000-0000-000062320000}"/>
    <cellStyle name="Normal 54 23 2 3" xfId="12900" xr:uid="{00000000-0005-0000-0000-000063320000}"/>
    <cellStyle name="Normal 54 23 3" xfId="12901" xr:uid="{00000000-0005-0000-0000-000064320000}"/>
    <cellStyle name="Normal 54 23 4" xfId="12902" xr:uid="{00000000-0005-0000-0000-000065320000}"/>
    <cellStyle name="Normal 54 24" xfId="12903" xr:uid="{00000000-0005-0000-0000-000066320000}"/>
    <cellStyle name="Normal 54 24 2" xfId="12904" xr:uid="{00000000-0005-0000-0000-000067320000}"/>
    <cellStyle name="Normal 54 24 3" xfId="12905" xr:uid="{00000000-0005-0000-0000-000068320000}"/>
    <cellStyle name="Normal 54 25" xfId="12906" xr:uid="{00000000-0005-0000-0000-000069320000}"/>
    <cellStyle name="Normal 54 26" xfId="12907" xr:uid="{00000000-0005-0000-0000-00006A320000}"/>
    <cellStyle name="Normal 54 3" xfId="12908" xr:uid="{00000000-0005-0000-0000-00006B320000}"/>
    <cellStyle name="Normal 54 3 2" xfId="12909" xr:uid="{00000000-0005-0000-0000-00006C320000}"/>
    <cellStyle name="Normal 54 3 2 2" xfId="12910" xr:uid="{00000000-0005-0000-0000-00006D320000}"/>
    <cellStyle name="Normal 54 3 2 3" xfId="12911" xr:uid="{00000000-0005-0000-0000-00006E320000}"/>
    <cellStyle name="Normal 54 3 3" xfId="12912" xr:uid="{00000000-0005-0000-0000-00006F320000}"/>
    <cellStyle name="Normal 54 3 4" xfId="12913" xr:uid="{00000000-0005-0000-0000-000070320000}"/>
    <cellStyle name="Normal 54 4" xfId="12914" xr:uid="{00000000-0005-0000-0000-000071320000}"/>
    <cellStyle name="Normal 54 4 2" xfId="12915" xr:uid="{00000000-0005-0000-0000-000072320000}"/>
    <cellStyle name="Normal 54 4 2 2" xfId="12916" xr:uid="{00000000-0005-0000-0000-000073320000}"/>
    <cellStyle name="Normal 54 4 2 3" xfId="12917" xr:uid="{00000000-0005-0000-0000-000074320000}"/>
    <cellStyle name="Normal 54 4 3" xfId="12918" xr:uid="{00000000-0005-0000-0000-000075320000}"/>
    <cellStyle name="Normal 54 4 4" xfId="12919" xr:uid="{00000000-0005-0000-0000-000076320000}"/>
    <cellStyle name="Normal 54 5" xfId="12920" xr:uid="{00000000-0005-0000-0000-000077320000}"/>
    <cellStyle name="Normal 54 5 2" xfId="12921" xr:uid="{00000000-0005-0000-0000-000078320000}"/>
    <cellStyle name="Normal 54 5 2 2" xfId="12922" xr:uid="{00000000-0005-0000-0000-000079320000}"/>
    <cellStyle name="Normal 54 5 2 3" xfId="12923" xr:uid="{00000000-0005-0000-0000-00007A320000}"/>
    <cellStyle name="Normal 54 5 3" xfId="12924" xr:uid="{00000000-0005-0000-0000-00007B320000}"/>
    <cellStyle name="Normal 54 5 4" xfId="12925" xr:uid="{00000000-0005-0000-0000-00007C320000}"/>
    <cellStyle name="Normal 54 6" xfId="12926" xr:uid="{00000000-0005-0000-0000-00007D320000}"/>
    <cellStyle name="Normal 54 6 2" xfId="12927" xr:uid="{00000000-0005-0000-0000-00007E320000}"/>
    <cellStyle name="Normal 54 6 2 2" xfId="12928" xr:uid="{00000000-0005-0000-0000-00007F320000}"/>
    <cellStyle name="Normal 54 6 2 3" xfId="12929" xr:uid="{00000000-0005-0000-0000-000080320000}"/>
    <cellStyle name="Normal 54 6 3" xfId="12930" xr:uid="{00000000-0005-0000-0000-000081320000}"/>
    <cellStyle name="Normal 54 6 4" xfId="12931" xr:uid="{00000000-0005-0000-0000-000082320000}"/>
    <cellStyle name="Normal 54 7" xfId="12932" xr:uid="{00000000-0005-0000-0000-000083320000}"/>
    <cellStyle name="Normal 54 7 2" xfId="12933" xr:uid="{00000000-0005-0000-0000-000084320000}"/>
    <cellStyle name="Normal 54 7 2 2" xfId="12934" xr:uid="{00000000-0005-0000-0000-000085320000}"/>
    <cellStyle name="Normal 54 7 2 3" xfId="12935" xr:uid="{00000000-0005-0000-0000-000086320000}"/>
    <cellStyle name="Normal 54 7 3" xfId="12936" xr:uid="{00000000-0005-0000-0000-000087320000}"/>
    <cellStyle name="Normal 54 7 4" xfId="12937" xr:uid="{00000000-0005-0000-0000-000088320000}"/>
    <cellStyle name="Normal 54 8" xfId="12938" xr:uid="{00000000-0005-0000-0000-000089320000}"/>
    <cellStyle name="Normal 54 8 2" xfId="12939" xr:uid="{00000000-0005-0000-0000-00008A320000}"/>
    <cellStyle name="Normal 54 8 2 2" xfId="12940" xr:uid="{00000000-0005-0000-0000-00008B320000}"/>
    <cellStyle name="Normal 54 8 2 3" xfId="12941" xr:uid="{00000000-0005-0000-0000-00008C320000}"/>
    <cellStyle name="Normal 54 8 3" xfId="12942" xr:uid="{00000000-0005-0000-0000-00008D320000}"/>
    <cellStyle name="Normal 54 8 4" xfId="12943" xr:uid="{00000000-0005-0000-0000-00008E320000}"/>
    <cellStyle name="Normal 54 9" xfId="12944" xr:uid="{00000000-0005-0000-0000-00008F320000}"/>
    <cellStyle name="Normal 54 9 2" xfId="12945" xr:uid="{00000000-0005-0000-0000-000090320000}"/>
    <cellStyle name="Normal 54 9 2 2" xfId="12946" xr:uid="{00000000-0005-0000-0000-000091320000}"/>
    <cellStyle name="Normal 54 9 2 3" xfId="12947" xr:uid="{00000000-0005-0000-0000-000092320000}"/>
    <cellStyle name="Normal 54 9 3" xfId="12948" xr:uid="{00000000-0005-0000-0000-000093320000}"/>
    <cellStyle name="Normal 54 9 4" xfId="12949" xr:uid="{00000000-0005-0000-0000-000094320000}"/>
    <cellStyle name="Normal 55" xfId="12950" xr:uid="{00000000-0005-0000-0000-000095320000}"/>
    <cellStyle name="Normal 55 10" xfId="12951" xr:uid="{00000000-0005-0000-0000-000096320000}"/>
    <cellStyle name="Normal 55 10 2" xfId="12952" xr:uid="{00000000-0005-0000-0000-000097320000}"/>
    <cellStyle name="Normal 55 10 2 2" xfId="12953" xr:uid="{00000000-0005-0000-0000-000098320000}"/>
    <cellStyle name="Normal 55 10 2 3" xfId="12954" xr:uid="{00000000-0005-0000-0000-000099320000}"/>
    <cellStyle name="Normal 55 10 3" xfId="12955" xr:uid="{00000000-0005-0000-0000-00009A320000}"/>
    <cellStyle name="Normal 55 10 4" xfId="12956" xr:uid="{00000000-0005-0000-0000-00009B320000}"/>
    <cellStyle name="Normal 55 11" xfId="12957" xr:uid="{00000000-0005-0000-0000-00009C320000}"/>
    <cellStyle name="Normal 55 11 2" xfId="12958" xr:uid="{00000000-0005-0000-0000-00009D320000}"/>
    <cellStyle name="Normal 55 11 2 2" xfId="12959" xr:uid="{00000000-0005-0000-0000-00009E320000}"/>
    <cellStyle name="Normal 55 11 2 3" xfId="12960" xr:uid="{00000000-0005-0000-0000-00009F320000}"/>
    <cellStyle name="Normal 55 11 3" xfId="12961" xr:uid="{00000000-0005-0000-0000-0000A0320000}"/>
    <cellStyle name="Normal 55 11 4" xfId="12962" xr:uid="{00000000-0005-0000-0000-0000A1320000}"/>
    <cellStyle name="Normal 55 12" xfId="12963" xr:uid="{00000000-0005-0000-0000-0000A2320000}"/>
    <cellStyle name="Normal 55 12 2" xfId="12964" xr:uid="{00000000-0005-0000-0000-0000A3320000}"/>
    <cellStyle name="Normal 55 12 2 2" xfId="12965" xr:uid="{00000000-0005-0000-0000-0000A4320000}"/>
    <cellStyle name="Normal 55 12 2 3" xfId="12966" xr:uid="{00000000-0005-0000-0000-0000A5320000}"/>
    <cellStyle name="Normal 55 12 3" xfId="12967" xr:uid="{00000000-0005-0000-0000-0000A6320000}"/>
    <cellStyle name="Normal 55 12 4" xfId="12968" xr:uid="{00000000-0005-0000-0000-0000A7320000}"/>
    <cellStyle name="Normal 55 13" xfId="12969" xr:uid="{00000000-0005-0000-0000-0000A8320000}"/>
    <cellStyle name="Normal 55 13 2" xfId="12970" xr:uid="{00000000-0005-0000-0000-0000A9320000}"/>
    <cellStyle name="Normal 55 13 2 2" xfId="12971" xr:uid="{00000000-0005-0000-0000-0000AA320000}"/>
    <cellStyle name="Normal 55 13 2 3" xfId="12972" xr:uid="{00000000-0005-0000-0000-0000AB320000}"/>
    <cellStyle name="Normal 55 13 3" xfId="12973" xr:uid="{00000000-0005-0000-0000-0000AC320000}"/>
    <cellStyle name="Normal 55 13 4" xfId="12974" xr:uid="{00000000-0005-0000-0000-0000AD320000}"/>
    <cellStyle name="Normal 55 14" xfId="12975" xr:uid="{00000000-0005-0000-0000-0000AE320000}"/>
    <cellStyle name="Normal 55 14 2" xfId="12976" xr:uid="{00000000-0005-0000-0000-0000AF320000}"/>
    <cellStyle name="Normal 55 14 2 2" xfId="12977" xr:uid="{00000000-0005-0000-0000-0000B0320000}"/>
    <cellStyle name="Normal 55 14 2 3" xfId="12978" xr:uid="{00000000-0005-0000-0000-0000B1320000}"/>
    <cellStyle name="Normal 55 14 3" xfId="12979" xr:uid="{00000000-0005-0000-0000-0000B2320000}"/>
    <cellStyle name="Normal 55 14 4" xfId="12980" xr:uid="{00000000-0005-0000-0000-0000B3320000}"/>
    <cellStyle name="Normal 55 15" xfId="12981" xr:uid="{00000000-0005-0000-0000-0000B4320000}"/>
    <cellStyle name="Normal 55 15 2" xfId="12982" xr:uid="{00000000-0005-0000-0000-0000B5320000}"/>
    <cellStyle name="Normal 55 15 2 2" xfId="12983" xr:uid="{00000000-0005-0000-0000-0000B6320000}"/>
    <cellStyle name="Normal 55 15 2 3" xfId="12984" xr:uid="{00000000-0005-0000-0000-0000B7320000}"/>
    <cellStyle name="Normal 55 15 3" xfId="12985" xr:uid="{00000000-0005-0000-0000-0000B8320000}"/>
    <cellStyle name="Normal 55 15 4" xfId="12986" xr:uid="{00000000-0005-0000-0000-0000B9320000}"/>
    <cellStyle name="Normal 55 16" xfId="12987" xr:uid="{00000000-0005-0000-0000-0000BA320000}"/>
    <cellStyle name="Normal 55 16 2" xfId="12988" xr:uid="{00000000-0005-0000-0000-0000BB320000}"/>
    <cellStyle name="Normal 55 16 2 2" xfId="12989" xr:uid="{00000000-0005-0000-0000-0000BC320000}"/>
    <cellStyle name="Normal 55 16 2 3" xfId="12990" xr:uid="{00000000-0005-0000-0000-0000BD320000}"/>
    <cellStyle name="Normal 55 16 3" xfId="12991" xr:uid="{00000000-0005-0000-0000-0000BE320000}"/>
    <cellStyle name="Normal 55 16 4" xfId="12992" xr:uid="{00000000-0005-0000-0000-0000BF320000}"/>
    <cellStyle name="Normal 55 17" xfId="12993" xr:uid="{00000000-0005-0000-0000-0000C0320000}"/>
    <cellStyle name="Normal 55 17 2" xfId="12994" xr:uid="{00000000-0005-0000-0000-0000C1320000}"/>
    <cellStyle name="Normal 55 17 2 2" xfId="12995" xr:uid="{00000000-0005-0000-0000-0000C2320000}"/>
    <cellStyle name="Normal 55 17 2 3" xfId="12996" xr:uid="{00000000-0005-0000-0000-0000C3320000}"/>
    <cellStyle name="Normal 55 17 3" xfId="12997" xr:uid="{00000000-0005-0000-0000-0000C4320000}"/>
    <cellStyle name="Normal 55 17 4" xfId="12998" xr:uid="{00000000-0005-0000-0000-0000C5320000}"/>
    <cellStyle name="Normal 55 18" xfId="12999" xr:uid="{00000000-0005-0000-0000-0000C6320000}"/>
    <cellStyle name="Normal 55 18 2" xfId="13000" xr:uid="{00000000-0005-0000-0000-0000C7320000}"/>
    <cellStyle name="Normal 55 18 2 2" xfId="13001" xr:uid="{00000000-0005-0000-0000-0000C8320000}"/>
    <cellStyle name="Normal 55 18 2 3" xfId="13002" xr:uid="{00000000-0005-0000-0000-0000C9320000}"/>
    <cellStyle name="Normal 55 18 3" xfId="13003" xr:uid="{00000000-0005-0000-0000-0000CA320000}"/>
    <cellStyle name="Normal 55 18 4" xfId="13004" xr:uid="{00000000-0005-0000-0000-0000CB320000}"/>
    <cellStyle name="Normal 55 19" xfId="13005" xr:uid="{00000000-0005-0000-0000-0000CC320000}"/>
    <cellStyle name="Normal 55 19 2" xfId="13006" xr:uid="{00000000-0005-0000-0000-0000CD320000}"/>
    <cellStyle name="Normal 55 19 2 2" xfId="13007" xr:uid="{00000000-0005-0000-0000-0000CE320000}"/>
    <cellStyle name="Normal 55 19 2 3" xfId="13008" xr:uid="{00000000-0005-0000-0000-0000CF320000}"/>
    <cellStyle name="Normal 55 19 3" xfId="13009" xr:uid="{00000000-0005-0000-0000-0000D0320000}"/>
    <cellStyle name="Normal 55 19 4" xfId="13010" xr:uid="{00000000-0005-0000-0000-0000D1320000}"/>
    <cellStyle name="Normal 55 2" xfId="13011" xr:uid="{00000000-0005-0000-0000-0000D2320000}"/>
    <cellStyle name="Normal 55 2 2" xfId="13012" xr:uid="{00000000-0005-0000-0000-0000D3320000}"/>
    <cellStyle name="Normal 55 2 2 2" xfId="13013" xr:uid="{00000000-0005-0000-0000-0000D4320000}"/>
    <cellStyle name="Normal 55 2 2 3" xfId="13014" xr:uid="{00000000-0005-0000-0000-0000D5320000}"/>
    <cellStyle name="Normal 55 2 3" xfId="13015" xr:uid="{00000000-0005-0000-0000-0000D6320000}"/>
    <cellStyle name="Normal 55 2 4" xfId="13016" xr:uid="{00000000-0005-0000-0000-0000D7320000}"/>
    <cellStyle name="Normal 55 20" xfId="13017" xr:uid="{00000000-0005-0000-0000-0000D8320000}"/>
    <cellStyle name="Normal 55 20 2" xfId="13018" xr:uid="{00000000-0005-0000-0000-0000D9320000}"/>
    <cellStyle name="Normal 55 20 2 2" xfId="13019" xr:uid="{00000000-0005-0000-0000-0000DA320000}"/>
    <cellStyle name="Normal 55 20 2 3" xfId="13020" xr:uid="{00000000-0005-0000-0000-0000DB320000}"/>
    <cellStyle name="Normal 55 20 3" xfId="13021" xr:uid="{00000000-0005-0000-0000-0000DC320000}"/>
    <cellStyle name="Normal 55 20 4" xfId="13022" xr:uid="{00000000-0005-0000-0000-0000DD320000}"/>
    <cellStyle name="Normal 55 21" xfId="13023" xr:uid="{00000000-0005-0000-0000-0000DE320000}"/>
    <cellStyle name="Normal 55 21 2" xfId="13024" xr:uid="{00000000-0005-0000-0000-0000DF320000}"/>
    <cellStyle name="Normal 55 21 2 2" xfId="13025" xr:uid="{00000000-0005-0000-0000-0000E0320000}"/>
    <cellStyle name="Normal 55 21 2 3" xfId="13026" xr:uid="{00000000-0005-0000-0000-0000E1320000}"/>
    <cellStyle name="Normal 55 21 3" xfId="13027" xr:uid="{00000000-0005-0000-0000-0000E2320000}"/>
    <cellStyle name="Normal 55 21 4" xfId="13028" xr:uid="{00000000-0005-0000-0000-0000E3320000}"/>
    <cellStyle name="Normal 55 22" xfId="13029" xr:uid="{00000000-0005-0000-0000-0000E4320000}"/>
    <cellStyle name="Normal 55 22 2" xfId="13030" xr:uid="{00000000-0005-0000-0000-0000E5320000}"/>
    <cellStyle name="Normal 55 22 2 2" xfId="13031" xr:uid="{00000000-0005-0000-0000-0000E6320000}"/>
    <cellStyle name="Normal 55 22 2 3" xfId="13032" xr:uid="{00000000-0005-0000-0000-0000E7320000}"/>
    <cellStyle name="Normal 55 22 3" xfId="13033" xr:uid="{00000000-0005-0000-0000-0000E8320000}"/>
    <cellStyle name="Normal 55 22 4" xfId="13034" xr:uid="{00000000-0005-0000-0000-0000E9320000}"/>
    <cellStyle name="Normal 55 23" xfId="13035" xr:uid="{00000000-0005-0000-0000-0000EA320000}"/>
    <cellStyle name="Normal 55 23 2" xfId="13036" xr:uid="{00000000-0005-0000-0000-0000EB320000}"/>
    <cellStyle name="Normal 55 23 2 2" xfId="13037" xr:uid="{00000000-0005-0000-0000-0000EC320000}"/>
    <cellStyle name="Normal 55 23 2 3" xfId="13038" xr:uid="{00000000-0005-0000-0000-0000ED320000}"/>
    <cellStyle name="Normal 55 23 3" xfId="13039" xr:uid="{00000000-0005-0000-0000-0000EE320000}"/>
    <cellStyle name="Normal 55 23 4" xfId="13040" xr:uid="{00000000-0005-0000-0000-0000EF320000}"/>
    <cellStyle name="Normal 55 24" xfId="13041" xr:uid="{00000000-0005-0000-0000-0000F0320000}"/>
    <cellStyle name="Normal 55 24 2" xfId="13042" xr:uid="{00000000-0005-0000-0000-0000F1320000}"/>
    <cellStyle name="Normal 55 24 3" xfId="13043" xr:uid="{00000000-0005-0000-0000-0000F2320000}"/>
    <cellStyle name="Normal 55 25" xfId="13044" xr:uid="{00000000-0005-0000-0000-0000F3320000}"/>
    <cellStyle name="Normal 55 26" xfId="13045" xr:uid="{00000000-0005-0000-0000-0000F4320000}"/>
    <cellStyle name="Normal 55 3" xfId="13046" xr:uid="{00000000-0005-0000-0000-0000F5320000}"/>
    <cellStyle name="Normal 55 3 2" xfId="13047" xr:uid="{00000000-0005-0000-0000-0000F6320000}"/>
    <cellStyle name="Normal 55 3 2 2" xfId="13048" xr:uid="{00000000-0005-0000-0000-0000F7320000}"/>
    <cellStyle name="Normal 55 3 2 3" xfId="13049" xr:uid="{00000000-0005-0000-0000-0000F8320000}"/>
    <cellStyle name="Normal 55 3 3" xfId="13050" xr:uid="{00000000-0005-0000-0000-0000F9320000}"/>
    <cellStyle name="Normal 55 3 4" xfId="13051" xr:uid="{00000000-0005-0000-0000-0000FA320000}"/>
    <cellStyle name="Normal 55 4" xfId="13052" xr:uid="{00000000-0005-0000-0000-0000FB320000}"/>
    <cellStyle name="Normal 55 4 2" xfId="13053" xr:uid="{00000000-0005-0000-0000-0000FC320000}"/>
    <cellStyle name="Normal 55 4 2 2" xfId="13054" xr:uid="{00000000-0005-0000-0000-0000FD320000}"/>
    <cellStyle name="Normal 55 4 2 3" xfId="13055" xr:uid="{00000000-0005-0000-0000-0000FE320000}"/>
    <cellStyle name="Normal 55 4 3" xfId="13056" xr:uid="{00000000-0005-0000-0000-0000FF320000}"/>
    <cellStyle name="Normal 55 4 4" xfId="13057" xr:uid="{00000000-0005-0000-0000-000000330000}"/>
    <cellStyle name="Normal 55 5" xfId="13058" xr:uid="{00000000-0005-0000-0000-000001330000}"/>
    <cellStyle name="Normal 55 5 2" xfId="13059" xr:uid="{00000000-0005-0000-0000-000002330000}"/>
    <cellStyle name="Normal 55 5 2 2" xfId="13060" xr:uid="{00000000-0005-0000-0000-000003330000}"/>
    <cellStyle name="Normal 55 5 2 3" xfId="13061" xr:uid="{00000000-0005-0000-0000-000004330000}"/>
    <cellStyle name="Normal 55 5 3" xfId="13062" xr:uid="{00000000-0005-0000-0000-000005330000}"/>
    <cellStyle name="Normal 55 5 4" xfId="13063" xr:uid="{00000000-0005-0000-0000-000006330000}"/>
    <cellStyle name="Normal 55 6" xfId="13064" xr:uid="{00000000-0005-0000-0000-000007330000}"/>
    <cellStyle name="Normal 55 6 2" xfId="13065" xr:uid="{00000000-0005-0000-0000-000008330000}"/>
    <cellStyle name="Normal 55 6 2 2" xfId="13066" xr:uid="{00000000-0005-0000-0000-000009330000}"/>
    <cellStyle name="Normal 55 6 2 3" xfId="13067" xr:uid="{00000000-0005-0000-0000-00000A330000}"/>
    <cellStyle name="Normal 55 6 3" xfId="13068" xr:uid="{00000000-0005-0000-0000-00000B330000}"/>
    <cellStyle name="Normal 55 6 4" xfId="13069" xr:uid="{00000000-0005-0000-0000-00000C330000}"/>
    <cellStyle name="Normal 55 7" xfId="13070" xr:uid="{00000000-0005-0000-0000-00000D330000}"/>
    <cellStyle name="Normal 55 7 2" xfId="13071" xr:uid="{00000000-0005-0000-0000-00000E330000}"/>
    <cellStyle name="Normal 55 7 2 2" xfId="13072" xr:uid="{00000000-0005-0000-0000-00000F330000}"/>
    <cellStyle name="Normal 55 7 2 3" xfId="13073" xr:uid="{00000000-0005-0000-0000-000010330000}"/>
    <cellStyle name="Normal 55 7 3" xfId="13074" xr:uid="{00000000-0005-0000-0000-000011330000}"/>
    <cellStyle name="Normal 55 7 4" xfId="13075" xr:uid="{00000000-0005-0000-0000-000012330000}"/>
    <cellStyle name="Normal 55 8" xfId="13076" xr:uid="{00000000-0005-0000-0000-000013330000}"/>
    <cellStyle name="Normal 55 8 2" xfId="13077" xr:uid="{00000000-0005-0000-0000-000014330000}"/>
    <cellStyle name="Normal 55 8 2 2" xfId="13078" xr:uid="{00000000-0005-0000-0000-000015330000}"/>
    <cellStyle name="Normal 55 8 2 3" xfId="13079" xr:uid="{00000000-0005-0000-0000-000016330000}"/>
    <cellStyle name="Normal 55 8 3" xfId="13080" xr:uid="{00000000-0005-0000-0000-000017330000}"/>
    <cellStyle name="Normal 55 8 4" xfId="13081" xr:uid="{00000000-0005-0000-0000-000018330000}"/>
    <cellStyle name="Normal 55 9" xfId="13082" xr:uid="{00000000-0005-0000-0000-000019330000}"/>
    <cellStyle name="Normal 55 9 2" xfId="13083" xr:uid="{00000000-0005-0000-0000-00001A330000}"/>
    <cellStyle name="Normal 55 9 2 2" xfId="13084" xr:uid="{00000000-0005-0000-0000-00001B330000}"/>
    <cellStyle name="Normal 55 9 2 3" xfId="13085" xr:uid="{00000000-0005-0000-0000-00001C330000}"/>
    <cellStyle name="Normal 55 9 3" xfId="13086" xr:uid="{00000000-0005-0000-0000-00001D330000}"/>
    <cellStyle name="Normal 55 9 4" xfId="13087" xr:uid="{00000000-0005-0000-0000-00001E330000}"/>
    <cellStyle name="Normal 56" xfId="13088" xr:uid="{00000000-0005-0000-0000-00001F330000}"/>
    <cellStyle name="Normal 56 10" xfId="13089" xr:uid="{00000000-0005-0000-0000-000020330000}"/>
    <cellStyle name="Normal 56 10 2" xfId="13090" xr:uid="{00000000-0005-0000-0000-000021330000}"/>
    <cellStyle name="Normal 56 10 2 2" xfId="13091" xr:uid="{00000000-0005-0000-0000-000022330000}"/>
    <cellStyle name="Normal 56 10 2 3" xfId="13092" xr:uid="{00000000-0005-0000-0000-000023330000}"/>
    <cellStyle name="Normal 56 10 3" xfId="13093" xr:uid="{00000000-0005-0000-0000-000024330000}"/>
    <cellStyle name="Normal 56 10 4" xfId="13094" xr:uid="{00000000-0005-0000-0000-000025330000}"/>
    <cellStyle name="Normal 56 11" xfId="13095" xr:uid="{00000000-0005-0000-0000-000026330000}"/>
    <cellStyle name="Normal 56 11 2" xfId="13096" xr:uid="{00000000-0005-0000-0000-000027330000}"/>
    <cellStyle name="Normal 56 11 2 2" xfId="13097" xr:uid="{00000000-0005-0000-0000-000028330000}"/>
    <cellStyle name="Normal 56 11 2 3" xfId="13098" xr:uid="{00000000-0005-0000-0000-000029330000}"/>
    <cellStyle name="Normal 56 11 3" xfId="13099" xr:uid="{00000000-0005-0000-0000-00002A330000}"/>
    <cellStyle name="Normal 56 11 4" xfId="13100" xr:uid="{00000000-0005-0000-0000-00002B330000}"/>
    <cellStyle name="Normal 56 12" xfId="13101" xr:uid="{00000000-0005-0000-0000-00002C330000}"/>
    <cellStyle name="Normal 56 12 2" xfId="13102" xr:uid="{00000000-0005-0000-0000-00002D330000}"/>
    <cellStyle name="Normal 56 12 2 2" xfId="13103" xr:uid="{00000000-0005-0000-0000-00002E330000}"/>
    <cellStyle name="Normal 56 12 2 3" xfId="13104" xr:uid="{00000000-0005-0000-0000-00002F330000}"/>
    <cellStyle name="Normal 56 12 3" xfId="13105" xr:uid="{00000000-0005-0000-0000-000030330000}"/>
    <cellStyle name="Normal 56 12 4" xfId="13106" xr:uid="{00000000-0005-0000-0000-000031330000}"/>
    <cellStyle name="Normal 56 13" xfId="13107" xr:uid="{00000000-0005-0000-0000-000032330000}"/>
    <cellStyle name="Normal 56 13 2" xfId="13108" xr:uid="{00000000-0005-0000-0000-000033330000}"/>
    <cellStyle name="Normal 56 13 2 2" xfId="13109" xr:uid="{00000000-0005-0000-0000-000034330000}"/>
    <cellStyle name="Normal 56 13 2 3" xfId="13110" xr:uid="{00000000-0005-0000-0000-000035330000}"/>
    <cellStyle name="Normal 56 13 3" xfId="13111" xr:uid="{00000000-0005-0000-0000-000036330000}"/>
    <cellStyle name="Normal 56 13 4" xfId="13112" xr:uid="{00000000-0005-0000-0000-000037330000}"/>
    <cellStyle name="Normal 56 14" xfId="13113" xr:uid="{00000000-0005-0000-0000-000038330000}"/>
    <cellStyle name="Normal 56 14 2" xfId="13114" xr:uid="{00000000-0005-0000-0000-000039330000}"/>
    <cellStyle name="Normal 56 14 2 2" xfId="13115" xr:uid="{00000000-0005-0000-0000-00003A330000}"/>
    <cellStyle name="Normal 56 14 2 3" xfId="13116" xr:uid="{00000000-0005-0000-0000-00003B330000}"/>
    <cellStyle name="Normal 56 14 3" xfId="13117" xr:uid="{00000000-0005-0000-0000-00003C330000}"/>
    <cellStyle name="Normal 56 14 4" xfId="13118" xr:uid="{00000000-0005-0000-0000-00003D330000}"/>
    <cellStyle name="Normal 56 15" xfId="13119" xr:uid="{00000000-0005-0000-0000-00003E330000}"/>
    <cellStyle name="Normal 56 15 2" xfId="13120" xr:uid="{00000000-0005-0000-0000-00003F330000}"/>
    <cellStyle name="Normal 56 15 2 2" xfId="13121" xr:uid="{00000000-0005-0000-0000-000040330000}"/>
    <cellStyle name="Normal 56 15 2 3" xfId="13122" xr:uid="{00000000-0005-0000-0000-000041330000}"/>
    <cellStyle name="Normal 56 15 3" xfId="13123" xr:uid="{00000000-0005-0000-0000-000042330000}"/>
    <cellStyle name="Normal 56 15 4" xfId="13124" xr:uid="{00000000-0005-0000-0000-000043330000}"/>
    <cellStyle name="Normal 56 16" xfId="13125" xr:uid="{00000000-0005-0000-0000-000044330000}"/>
    <cellStyle name="Normal 56 16 2" xfId="13126" xr:uid="{00000000-0005-0000-0000-000045330000}"/>
    <cellStyle name="Normal 56 16 2 2" xfId="13127" xr:uid="{00000000-0005-0000-0000-000046330000}"/>
    <cellStyle name="Normal 56 16 2 3" xfId="13128" xr:uid="{00000000-0005-0000-0000-000047330000}"/>
    <cellStyle name="Normal 56 16 3" xfId="13129" xr:uid="{00000000-0005-0000-0000-000048330000}"/>
    <cellStyle name="Normal 56 16 4" xfId="13130" xr:uid="{00000000-0005-0000-0000-000049330000}"/>
    <cellStyle name="Normal 56 17" xfId="13131" xr:uid="{00000000-0005-0000-0000-00004A330000}"/>
    <cellStyle name="Normal 56 17 2" xfId="13132" xr:uid="{00000000-0005-0000-0000-00004B330000}"/>
    <cellStyle name="Normal 56 17 2 2" xfId="13133" xr:uid="{00000000-0005-0000-0000-00004C330000}"/>
    <cellStyle name="Normal 56 17 2 3" xfId="13134" xr:uid="{00000000-0005-0000-0000-00004D330000}"/>
    <cellStyle name="Normal 56 17 3" xfId="13135" xr:uid="{00000000-0005-0000-0000-00004E330000}"/>
    <cellStyle name="Normal 56 17 4" xfId="13136" xr:uid="{00000000-0005-0000-0000-00004F330000}"/>
    <cellStyle name="Normal 56 18" xfId="13137" xr:uid="{00000000-0005-0000-0000-000050330000}"/>
    <cellStyle name="Normal 56 18 2" xfId="13138" xr:uid="{00000000-0005-0000-0000-000051330000}"/>
    <cellStyle name="Normal 56 18 2 2" xfId="13139" xr:uid="{00000000-0005-0000-0000-000052330000}"/>
    <cellStyle name="Normal 56 18 2 3" xfId="13140" xr:uid="{00000000-0005-0000-0000-000053330000}"/>
    <cellStyle name="Normal 56 18 3" xfId="13141" xr:uid="{00000000-0005-0000-0000-000054330000}"/>
    <cellStyle name="Normal 56 18 4" xfId="13142" xr:uid="{00000000-0005-0000-0000-000055330000}"/>
    <cellStyle name="Normal 56 19" xfId="13143" xr:uid="{00000000-0005-0000-0000-000056330000}"/>
    <cellStyle name="Normal 56 19 2" xfId="13144" xr:uid="{00000000-0005-0000-0000-000057330000}"/>
    <cellStyle name="Normal 56 19 2 2" xfId="13145" xr:uid="{00000000-0005-0000-0000-000058330000}"/>
    <cellStyle name="Normal 56 19 2 3" xfId="13146" xr:uid="{00000000-0005-0000-0000-000059330000}"/>
    <cellStyle name="Normal 56 19 3" xfId="13147" xr:uid="{00000000-0005-0000-0000-00005A330000}"/>
    <cellStyle name="Normal 56 19 4" xfId="13148" xr:uid="{00000000-0005-0000-0000-00005B330000}"/>
    <cellStyle name="Normal 56 2" xfId="13149" xr:uid="{00000000-0005-0000-0000-00005C330000}"/>
    <cellStyle name="Normal 56 2 2" xfId="13150" xr:uid="{00000000-0005-0000-0000-00005D330000}"/>
    <cellStyle name="Normal 56 2 2 2" xfId="13151" xr:uid="{00000000-0005-0000-0000-00005E330000}"/>
    <cellStyle name="Normal 56 2 2 3" xfId="13152" xr:uid="{00000000-0005-0000-0000-00005F330000}"/>
    <cellStyle name="Normal 56 2 3" xfId="13153" xr:uid="{00000000-0005-0000-0000-000060330000}"/>
    <cellStyle name="Normal 56 2 4" xfId="13154" xr:uid="{00000000-0005-0000-0000-000061330000}"/>
    <cellStyle name="Normal 56 20" xfId="13155" xr:uid="{00000000-0005-0000-0000-000062330000}"/>
    <cellStyle name="Normal 56 20 2" xfId="13156" xr:uid="{00000000-0005-0000-0000-000063330000}"/>
    <cellStyle name="Normal 56 20 2 2" xfId="13157" xr:uid="{00000000-0005-0000-0000-000064330000}"/>
    <cellStyle name="Normal 56 20 2 3" xfId="13158" xr:uid="{00000000-0005-0000-0000-000065330000}"/>
    <cellStyle name="Normal 56 20 3" xfId="13159" xr:uid="{00000000-0005-0000-0000-000066330000}"/>
    <cellStyle name="Normal 56 20 4" xfId="13160" xr:uid="{00000000-0005-0000-0000-000067330000}"/>
    <cellStyle name="Normal 56 21" xfId="13161" xr:uid="{00000000-0005-0000-0000-000068330000}"/>
    <cellStyle name="Normal 56 21 2" xfId="13162" xr:uid="{00000000-0005-0000-0000-000069330000}"/>
    <cellStyle name="Normal 56 21 2 2" xfId="13163" xr:uid="{00000000-0005-0000-0000-00006A330000}"/>
    <cellStyle name="Normal 56 21 2 3" xfId="13164" xr:uid="{00000000-0005-0000-0000-00006B330000}"/>
    <cellStyle name="Normal 56 21 3" xfId="13165" xr:uid="{00000000-0005-0000-0000-00006C330000}"/>
    <cellStyle name="Normal 56 21 4" xfId="13166" xr:uid="{00000000-0005-0000-0000-00006D330000}"/>
    <cellStyle name="Normal 56 22" xfId="13167" xr:uid="{00000000-0005-0000-0000-00006E330000}"/>
    <cellStyle name="Normal 56 22 2" xfId="13168" xr:uid="{00000000-0005-0000-0000-00006F330000}"/>
    <cellStyle name="Normal 56 22 2 2" xfId="13169" xr:uid="{00000000-0005-0000-0000-000070330000}"/>
    <cellStyle name="Normal 56 22 2 3" xfId="13170" xr:uid="{00000000-0005-0000-0000-000071330000}"/>
    <cellStyle name="Normal 56 22 3" xfId="13171" xr:uid="{00000000-0005-0000-0000-000072330000}"/>
    <cellStyle name="Normal 56 22 4" xfId="13172" xr:uid="{00000000-0005-0000-0000-000073330000}"/>
    <cellStyle name="Normal 56 23" xfId="13173" xr:uid="{00000000-0005-0000-0000-000074330000}"/>
    <cellStyle name="Normal 56 23 2" xfId="13174" xr:uid="{00000000-0005-0000-0000-000075330000}"/>
    <cellStyle name="Normal 56 23 2 2" xfId="13175" xr:uid="{00000000-0005-0000-0000-000076330000}"/>
    <cellStyle name="Normal 56 23 2 3" xfId="13176" xr:uid="{00000000-0005-0000-0000-000077330000}"/>
    <cellStyle name="Normal 56 23 3" xfId="13177" xr:uid="{00000000-0005-0000-0000-000078330000}"/>
    <cellStyle name="Normal 56 23 4" xfId="13178" xr:uid="{00000000-0005-0000-0000-000079330000}"/>
    <cellStyle name="Normal 56 24" xfId="13179" xr:uid="{00000000-0005-0000-0000-00007A330000}"/>
    <cellStyle name="Normal 56 24 2" xfId="13180" xr:uid="{00000000-0005-0000-0000-00007B330000}"/>
    <cellStyle name="Normal 56 24 3" xfId="13181" xr:uid="{00000000-0005-0000-0000-00007C330000}"/>
    <cellStyle name="Normal 56 25" xfId="13182" xr:uid="{00000000-0005-0000-0000-00007D330000}"/>
    <cellStyle name="Normal 56 26" xfId="13183" xr:uid="{00000000-0005-0000-0000-00007E330000}"/>
    <cellStyle name="Normal 56 3" xfId="13184" xr:uid="{00000000-0005-0000-0000-00007F330000}"/>
    <cellStyle name="Normal 56 3 2" xfId="13185" xr:uid="{00000000-0005-0000-0000-000080330000}"/>
    <cellStyle name="Normal 56 3 2 2" xfId="13186" xr:uid="{00000000-0005-0000-0000-000081330000}"/>
    <cellStyle name="Normal 56 3 2 3" xfId="13187" xr:uid="{00000000-0005-0000-0000-000082330000}"/>
    <cellStyle name="Normal 56 3 3" xfId="13188" xr:uid="{00000000-0005-0000-0000-000083330000}"/>
    <cellStyle name="Normal 56 3 4" xfId="13189" xr:uid="{00000000-0005-0000-0000-000084330000}"/>
    <cellStyle name="Normal 56 4" xfId="13190" xr:uid="{00000000-0005-0000-0000-000085330000}"/>
    <cellStyle name="Normal 56 4 2" xfId="13191" xr:uid="{00000000-0005-0000-0000-000086330000}"/>
    <cellStyle name="Normal 56 4 2 2" xfId="13192" xr:uid="{00000000-0005-0000-0000-000087330000}"/>
    <cellStyle name="Normal 56 4 2 3" xfId="13193" xr:uid="{00000000-0005-0000-0000-000088330000}"/>
    <cellStyle name="Normal 56 4 3" xfId="13194" xr:uid="{00000000-0005-0000-0000-000089330000}"/>
    <cellStyle name="Normal 56 4 4" xfId="13195" xr:uid="{00000000-0005-0000-0000-00008A330000}"/>
    <cellStyle name="Normal 56 5" xfId="13196" xr:uid="{00000000-0005-0000-0000-00008B330000}"/>
    <cellStyle name="Normal 56 5 2" xfId="13197" xr:uid="{00000000-0005-0000-0000-00008C330000}"/>
    <cellStyle name="Normal 56 5 2 2" xfId="13198" xr:uid="{00000000-0005-0000-0000-00008D330000}"/>
    <cellStyle name="Normal 56 5 2 3" xfId="13199" xr:uid="{00000000-0005-0000-0000-00008E330000}"/>
    <cellStyle name="Normal 56 5 3" xfId="13200" xr:uid="{00000000-0005-0000-0000-00008F330000}"/>
    <cellStyle name="Normal 56 5 4" xfId="13201" xr:uid="{00000000-0005-0000-0000-000090330000}"/>
    <cellStyle name="Normal 56 6" xfId="13202" xr:uid="{00000000-0005-0000-0000-000091330000}"/>
    <cellStyle name="Normal 56 6 2" xfId="13203" xr:uid="{00000000-0005-0000-0000-000092330000}"/>
    <cellStyle name="Normal 56 6 2 2" xfId="13204" xr:uid="{00000000-0005-0000-0000-000093330000}"/>
    <cellStyle name="Normal 56 6 2 3" xfId="13205" xr:uid="{00000000-0005-0000-0000-000094330000}"/>
    <cellStyle name="Normal 56 6 3" xfId="13206" xr:uid="{00000000-0005-0000-0000-000095330000}"/>
    <cellStyle name="Normal 56 6 4" xfId="13207" xr:uid="{00000000-0005-0000-0000-000096330000}"/>
    <cellStyle name="Normal 56 7" xfId="13208" xr:uid="{00000000-0005-0000-0000-000097330000}"/>
    <cellStyle name="Normal 56 7 2" xfId="13209" xr:uid="{00000000-0005-0000-0000-000098330000}"/>
    <cellStyle name="Normal 56 7 2 2" xfId="13210" xr:uid="{00000000-0005-0000-0000-000099330000}"/>
    <cellStyle name="Normal 56 7 2 3" xfId="13211" xr:uid="{00000000-0005-0000-0000-00009A330000}"/>
    <cellStyle name="Normal 56 7 3" xfId="13212" xr:uid="{00000000-0005-0000-0000-00009B330000}"/>
    <cellStyle name="Normal 56 7 4" xfId="13213" xr:uid="{00000000-0005-0000-0000-00009C330000}"/>
    <cellStyle name="Normal 56 8" xfId="13214" xr:uid="{00000000-0005-0000-0000-00009D330000}"/>
    <cellStyle name="Normal 56 8 2" xfId="13215" xr:uid="{00000000-0005-0000-0000-00009E330000}"/>
    <cellStyle name="Normal 56 8 2 2" xfId="13216" xr:uid="{00000000-0005-0000-0000-00009F330000}"/>
    <cellStyle name="Normal 56 8 2 3" xfId="13217" xr:uid="{00000000-0005-0000-0000-0000A0330000}"/>
    <cellStyle name="Normal 56 8 3" xfId="13218" xr:uid="{00000000-0005-0000-0000-0000A1330000}"/>
    <cellStyle name="Normal 56 8 4" xfId="13219" xr:uid="{00000000-0005-0000-0000-0000A2330000}"/>
    <cellStyle name="Normal 56 9" xfId="13220" xr:uid="{00000000-0005-0000-0000-0000A3330000}"/>
    <cellStyle name="Normal 56 9 2" xfId="13221" xr:uid="{00000000-0005-0000-0000-0000A4330000}"/>
    <cellStyle name="Normal 56 9 2 2" xfId="13222" xr:uid="{00000000-0005-0000-0000-0000A5330000}"/>
    <cellStyle name="Normal 56 9 2 3" xfId="13223" xr:uid="{00000000-0005-0000-0000-0000A6330000}"/>
    <cellStyle name="Normal 56 9 3" xfId="13224" xr:uid="{00000000-0005-0000-0000-0000A7330000}"/>
    <cellStyle name="Normal 56 9 4" xfId="13225" xr:uid="{00000000-0005-0000-0000-0000A8330000}"/>
    <cellStyle name="Normal 57" xfId="13226" xr:uid="{00000000-0005-0000-0000-0000A9330000}"/>
    <cellStyle name="Normal 57 10" xfId="13227" xr:uid="{00000000-0005-0000-0000-0000AA330000}"/>
    <cellStyle name="Normal 57 10 2" xfId="13228" xr:uid="{00000000-0005-0000-0000-0000AB330000}"/>
    <cellStyle name="Normal 57 10 2 2" xfId="13229" xr:uid="{00000000-0005-0000-0000-0000AC330000}"/>
    <cellStyle name="Normal 57 10 2 3" xfId="13230" xr:uid="{00000000-0005-0000-0000-0000AD330000}"/>
    <cellStyle name="Normal 57 10 3" xfId="13231" xr:uid="{00000000-0005-0000-0000-0000AE330000}"/>
    <cellStyle name="Normal 57 10 4" xfId="13232" xr:uid="{00000000-0005-0000-0000-0000AF330000}"/>
    <cellStyle name="Normal 57 11" xfId="13233" xr:uid="{00000000-0005-0000-0000-0000B0330000}"/>
    <cellStyle name="Normal 57 11 2" xfId="13234" xr:uid="{00000000-0005-0000-0000-0000B1330000}"/>
    <cellStyle name="Normal 57 11 2 2" xfId="13235" xr:uid="{00000000-0005-0000-0000-0000B2330000}"/>
    <cellStyle name="Normal 57 11 2 3" xfId="13236" xr:uid="{00000000-0005-0000-0000-0000B3330000}"/>
    <cellStyle name="Normal 57 11 3" xfId="13237" xr:uid="{00000000-0005-0000-0000-0000B4330000}"/>
    <cellStyle name="Normal 57 11 4" xfId="13238" xr:uid="{00000000-0005-0000-0000-0000B5330000}"/>
    <cellStyle name="Normal 57 12" xfId="13239" xr:uid="{00000000-0005-0000-0000-0000B6330000}"/>
    <cellStyle name="Normal 57 12 2" xfId="13240" xr:uid="{00000000-0005-0000-0000-0000B7330000}"/>
    <cellStyle name="Normal 57 12 2 2" xfId="13241" xr:uid="{00000000-0005-0000-0000-0000B8330000}"/>
    <cellStyle name="Normal 57 12 2 3" xfId="13242" xr:uid="{00000000-0005-0000-0000-0000B9330000}"/>
    <cellStyle name="Normal 57 12 3" xfId="13243" xr:uid="{00000000-0005-0000-0000-0000BA330000}"/>
    <cellStyle name="Normal 57 12 4" xfId="13244" xr:uid="{00000000-0005-0000-0000-0000BB330000}"/>
    <cellStyle name="Normal 57 13" xfId="13245" xr:uid="{00000000-0005-0000-0000-0000BC330000}"/>
    <cellStyle name="Normal 57 13 2" xfId="13246" xr:uid="{00000000-0005-0000-0000-0000BD330000}"/>
    <cellStyle name="Normal 57 13 2 2" xfId="13247" xr:uid="{00000000-0005-0000-0000-0000BE330000}"/>
    <cellStyle name="Normal 57 13 2 3" xfId="13248" xr:uid="{00000000-0005-0000-0000-0000BF330000}"/>
    <cellStyle name="Normal 57 13 3" xfId="13249" xr:uid="{00000000-0005-0000-0000-0000C0330000}"/>
    <cellStyle name="Normal 57 13 4" xfId="13250" xr:uid="{00000000-0005-0000-0000-0000C1330000}"/>
    <cellStyle name="Normal 57 14" xfId="13251" xr:uid="{00000000-0005-0000-0000-0000C2330000}"/>
    <cellStyle name="Normal 57 14 2" xfId="13252" xr:uid="{00000000-0005-0000-0000-0000C3330000}"/>
    <cellStyle name="Normal 57 14 2 2" xfId="13253" xr:uid="{00000000-0005-0000-0000-0000C4330000}"/>
    <cellStyle name="Normal 57 14 2 3" xfId="13254" xr:uid="{00000000-0005-0000-0000-0000C5330000}"/>
    <cellStyle name="Normal 57 14 3" xfId="13255" xr:uid="{00000000-0005-0000-0000-0000C6330000}"/>
    <cellStyle name="Normal 57 14 4" xfId="13256" xr:uid="{00000000-0005-0000-0000-0000C7330000}"/>
    <cellStyle name="Normal 57 15" xfId="13257" xr:uid="{00000000-0005-0000-0000-0000C8330000}"/>
    <cellStyle name="Normal 57 15 2" xfId="13258" xr:uid="{00000000-0005-0000-0000-0000C9330000}"/>
    <cellStyle name="Normal 57 15 2 2" xfId="13259" xr:uid="{00000000-0005-0000-0000-0000CA330000}"/>
    <cellStyle name="Normal 57 15 2 3" xfId="13260" xr:uid="{00000000-0005-0000-0000-0000CB330000}"/>
    <cellStyle name="Normal 57 15 3" xfId="13261" xr:uid="{00000000-0005-0000-0000-0000CC330000}"/>
    <cellStyle name="Normal 57 15 4" xfId="13262" xr:uid="{00000000-0005-0000-0000-0000CD330000}"/>
    <cellStyle name="Normal 57 16" xfId="13263" xr:uid="{00000000-0005-0000-0000-0000CE330000}"/>
    <cellStyle name="Normal 57 16 2" xfId="13264" xr:uid="{00000000-0005-0000-0000-0000CF330000}"/>
    <cellStyle name="Normal 57 16 2 2" xfId="13265" xr:uid="{00000000-0005-0000-0000-0000D0330000}"/>
    <cellStyle name="Normal 57 16 2 3" xfId="13266" xr:uid="{00000000-0005-0000-0000-0000D1330000}"/>
    <cellStyle name="Normal 57 16 3" xfId="13267" xr:uid="{00000000-0005-0000-0000-0000D2330000}"/>
    <cellStyle name="Normal 57 16 4" xfId="13268" xr:uid="{00000000-0005-0000-0000-0000D3330000}"/>
    <cellStyle name="Normal 57 17" xfId="13269" xr:uid="{00000000-0005-0000-0000-0000D4330000}"/>
    <cellStyle name="Normal 57 17 2" xfId="13270" xr:uid="{00000000-0005-0000-0000-0000D5330000}"/>
    <cellStyle name="Normal 57 17 2 2" xfId="13271" xr:uid="{00000000-0005-0000-0000-0000D6330000}"/>
    <cellStyle name="Normal 57 17 2 3" xfId="13272" xr:uid="{00000000-0005-0000-0000-0000D7330000}"/>
    <cellStyle name="Normal 57 17 3" xfId="13273" xr:uid="{00000000-0005-0000-0000-0000D8330000}"/>
    <cellStyle name="Normal 57 17 4" xfId="13274" xr:uid="{00000000-0005-0000-0000-0000D9330000}"/>
    <cellStyle name="Normal 57 18" xfId="13275" xr:uid="{00000000-0005-0000-0000-0000DA330000}"/>
    <cellStyle name="Normal 57 18 2" xfId="13276" xr:uid="{00000000-0005-0000-0000-0000DB330000}"/>
    <cellStyle name="Normal 57 18 2 2" xfId="13277" xr:uid="{00000000-0005-0000-0000-0000DC330000}"/>
    <cellStyle name="Normal 57 18 2 3" xfId="13278" xr:uid="{00000000-0005-0000-0000-0000DD330000}"/>
    <cellStyle name="Normal 57 18 3" xfId="13279" xr:uid="{00000000-0005-0000-0000-0000DE330000}"/>
    <cellStyle name="Normal 57 18 4" xfId="13280" xr:uid="{00000000-0005-0000-0000-0000DF330000}"/>
    <cellStyle name="Normal 57 19" xfId="13281" xr:uid="{00000000-0005-0000-0000-0000E0330000}"/>
    <cellStyle name="Normal 57 19 2" xfId="13282" xr:uid="{00000000-0005-0000-0000-0000E1330000}"/>
    <cellStyle name="Normal 57 19 2 2" xfId="13283" xr:uid="{00000000-0005-0000-0000-0000E2330000}"/>
    <cellStyle name="Normal 57 19 2 3" xfId="13284" xr:uid="{00000000-0005-0000-0000-0000E3330000}"/>
    <cellStyle name="Normal 57 19 3" xfId="13285" xr:uid="{00000000-0005-0000-0000-0000E4330000}"/>
    <cellStyle name="Normal 57 19 4" xfId="13286" xr:uid="{00000000-0005-0000-0000-0000E5330000}"/>
    <cellStyle name="Normal 57 2" xfId="13287" xr:uid="{00000000-0005-0000-0000-0000E6330000}"/>
    <cellStyle name="Normal 57 2 2" xfId="13288" xr:uid="{00000000-0005-0000-0000-0000E7330000}"/>
    <cellStyle name="Normal 57 2 2 2" xfId="13289" xr:uid="{00000000-0005-0000-0000-0000E8330000}"/>
    <cellStyle name="Normal 57 2 2 3" xfId="13290" xr:uid="{00000000-0005-0000-0000-0000E9330000}"/>
    <cellStyle name="Normal 57 2 3" xfId="13291" xr:uid="{00000000-0005-0000-0000-0000EA330000}"/>
    <cellStyle name="Normal 57 2 4" xfId="13292" xr:uid="{00000000-0005-0000-0000-0000EB330000}"/>
    <cellStyle name="Normal 57 20" xfId="13293" xr:uid="{00000000-0005-0000-0000-0000EC330000}"/>
    <cellStyle name="Normal 57 20 2" xfId="13294" xr:uid="{00000000-0005-0000-0000-0000ED330000}"/>
    <cellStyle name="Normal 57 20 2 2" xfId="13295" xr:uid="{00000000-0005-0000-0000-0000EE330000}"/>
    <cellStyle name="Normal 57 20 2 3" xfId="13296" xr:uid="{00000000-0005-0000-0000-0000EF330000}"/>
    <cellStyle name="Normal 57 20 3" xfId="13297" xr:uid="{00000000-0005-0000-0000-0000F0330000}"/>
    <cellStyle name="Normal 57 20 4" xfId="13298" xr:uid="{00000000-0005-0000-0000-0000F1330000}"/>
    <cellStyle name="Normal 57 21" xfId="13299" xr:uid="{00000000-0005-0000-0000-0000F2330000}"/>
    <cellStyle name="Normal 57 21 2" xfId="13300" xr:uid="{00000000-0005-0000-0000-0000F3330000}"/>
    <cellStyle name="Normal 57 21 2 2" xfId="13301" xr:uid="{00000000-0005-0000-0000-0000F4330000}"/>
    <cellStyle name="Normal 57 21 2 3" xfId="13302" xr:uid="{00000000-0005-0000-0000-0000F5330000}"/>
    <cellStyle name="Normal 57 21 3" xfId="13303" xr:uid="{00000000-0005-0000-0000-0000F6330000}"/>
    <cellStyle name="Normal 57 21 4" xfId="13304" xr:uid="{00000000-0005-0000-0000-0000F7330000}"/>
    <cellStyle name="Normal 57 22" xfId="13305" xr:uid="{00000000-0005-0000-0000-0000F8330000}"/>
    <cellStyle name="Normal 57 22 2" xfId="13306" xr:uid="{00000000-0005-0000-0000-0000F9330000}"/>
    <cellStyle name="Normal 57 22 2 2" xfId="13307" xr:uid="{00000000-0005-0000-0000-0000FA330000}"/>
    <cellStyle name="Normal 57 22 2 3" xfId="13308" xr:uid="{00000000-0005-0000-0000-0000FB330000}"/>
    <cellStyle name="Normal 57 22 3" xfId="13309" xr:uid="{00000000-0005-0000-0000-0000FC330000}"/>
    <cellStyle name="Normal 57 22 4" xfId="13310" xr:uid="{00000000-0005-0000-0000-0000FD330000}"/>
    <cellStyle name="Normal 57 23" xfId="13311" xr:uid="{00000000-0005-0000-0000-0000FE330000}"/>
    <cellStyle name="Normal 57 23 2" xfId="13312" xr:uid="{00000000-0005-0000-0000-0000FF330000}"/>
    <cellStyle name="Normal 57 23 2 2" xfId="13313" xr:uid="{00000000-0005-0000-0000-000000340000}"/>
    <cellStyle name="Normal 57 23 2 3" xfId="13314" xr:uid="{00000000-0005-0000-0000-000001340000}"/>
    <cellStyle name="Normal 57 23 3" xfId="13315" xr:uid="{00000000-0005-0000-0000-000002340000}"/>
    <cellStyle name="Normal 57 23 4" xfId="13316" xr:uid="{00000000-0005-0000-0000-000003340000}"/>
    <cellStyle name="Normal 57 24" xfId="13317" xr:uid="{00000000-0005-0000-0000-000004340000}"/>
    <cellStyle name="Normal 57 24 2" xfId="13318" xr:uid="{00000000-0005-0000-0000-000005340000}"/>
    <cellStyle name="Normal 57 24 3" xfId="13319" xr:uid="{00000000-0005-0000-0000-000006340000}"/>
    <cellStyle name="Normal 57 25" xfId="13320" xr:uid="{00000000-0005-0000-0000-000007340000}"/>
    <cellStyle name="Normal 57 26" xfId="13321" xr:uid="{00000000-0005-0000-0000-000008340000}"/>
    <cellStyle name="Normal 57 3" xfId="13322" xr:uid="{00000000-0005-0000-0000-000009340000}"/>
    <cellStyle name="Normal 57 3 2" xfId="13323" xr:uid="{00000000-0005-0000-0000-00000A340000}"/>
    <cellStyle name="Normal 57 3 2 2" xfId="13324" xr:uid="{00000000-0005-0000-0000-00000B340000}"/>
    <cellStyle name="Normal 57 3 2 3" xfId="13325" xr:uid="{00000000-0005-0000-0000-00000C340000}"/>
    <cellStyle name="Normal 57 3 3" xfId="13326" xr:uid="{00000000-0005-0000-0000-00000D340000}"/>
    <cellStyle name="Normal 57 3 4" xfId="13327" xr:uid="{00000000-0005-0000-0000-00000E340000}"/>
    <cellStyle name="Normal 57 4" xfId="13328" xr:uid="{00000000-0005-0000-0000-00000F340000}"/>
    <cellStyle name="Normal 57 4 2" xfId="13329" xr:uid="{00000000-0005-0000-0000-000010340000}"/>
    <cellStyle name="Normal 57 4 2 2" xfId="13330" xr:uid="{00000000-0005-0000-0000-000011340000}"/>
    <cellStyle name="Normal 57 4 2 3" xfId="13331" xr:uid="{00000000-0005-0000-0000-000012340000}"/>
    <cellStyle name="Normal 57 4 3" xfId="13332" xr:uid="{00000000-0005-0000-0000-000013340000}"/>
    <cellStyle name="Normal 57 4 4" xfId="13333" xr:uid="{00000000-0005-0000-0000-000014340000}"/>
    <cellStyle name="Normal 57 5" xfId="13334" xr:uid="{00000000-0005-0000-0000-000015340000}"/>
    <cellStyle name="Normal 57 5 2" xfId="13335" xr:uid="{00000000-0005-0000-0000-000016340000}"/>
    <cellStyle name="Normal 57 5 2 2" xfId="13336" xr:uid="{00000000-0005-0000-0000-000017340000}"/>
    <cellStyle name="Normal 57 5 2 3" xfId="13337" xr:uid="{00000000-0005-0000-0000-000018340000}"/>
    <cellStyle name="Normal 57 5 3" xfId="13338" xr:uid="{00000000-0005-0000-0000-000019340000}"/>
    <cellStyle name="Normal 57 5 4" xfId="13339" xr:uid="{00000000-0005-0000-0000-00001A340000}"/>
    <cellStyle name="Normal 57 6" xfId="13340" xr:uid="{00000000-0005-0000-0000-00001B340000}"/>
    <cellStyle name="Normal 57 6 2" xfId="13341" xr:uid="{00000000-0005-0000-0000-00001C340000}"/>
    <cellStyle name="Normal 57 6 2 2" xfId="13342" xr:uid="{00000000-0005-0000-0000-00001D340000}"/>
    <cellStyle name="Normal 57 6 2 3" xfId="13343" xr:uid="{00000000-0005-0000-0000-00001E340000}"/>
    <cellStyle name="Normal 57 6 3" xfId="13344" xr:uid="{00000000-0005-0000-0000-00001F340000}"/>
    <cellStyle name="Normal 57 6 4" xfId="13345" xr:uid="{00000000-0005-0000-0000-000020340000}"/>
    <cellStyle name="Normal 57 7" xfId="13346" xr:uid="{00000000-0005-0000-0000-000021340000}"/>
    <cellStyle name="Normal 57 7 2" xfId="13347" xr:uid="{00000000-0005-0000-0000-000022340000}"/>
    <cellStyle name="Normal 57 7 2 2" xfId="13348" xr:uid="{00000000-0005-0000-0000-000023340000}"/>
    <cellStyle name="Normal 57 7 2 3" xfId="13349" xr:uid="{00000000-0005-0000-0000-000024340000}"/>
    <cellStyle name="Normal 57 7 3" xfId="13350" xr:uid="{00000000-0005-0000-0000-000025340000}"/>
    <cellStyle name="Normal 57 7 4" xfId="13351" xr:uid="{00000000-0005-0000-0000-000026340000}"/>
    <cellStyle name="Normal 57 8" xfId="13352" xr:uid="{00000000-0005-0000-0000-000027340000}"/>
    <cellStyle name="Normal 57 8 2" xfId="13353" xr:uid="{00000000-0005-0000-0000-000028340000}"/>
    <cellStyle name="Normal 57 8 2 2" xfId="13354" xr:uid="{00000000-0005-0000-0000-000029340000}"/>
    <cellStyle name="Normal 57 8 2 3" xfId="13355" xr:uid="{00000000-0005-0000-0000-00002A340000}"/>
    <cellStyle name="Normal 57 8 3" xfId="13356" xr:uid="{00000000-0005-0000-0000-00002B340000}"/>
    <cellStyle name="Normal 57 8 4" xfId="13357" xr:uid="{00000000-0005-0000-0000-00002C340000}"/>
    <cellStyle name="Normal 57 9" xfId="13358" xr:uid="{00000000-0005-0000-0000-00002D340000}"/>
    <cellStyle name="Normal 57 9 2" xfId="13359" xr:uid="{00000000-0005-0000-0000-00002E340000}"/>
    <cellStyle name="Normal 57 9 2 2" xfId="13360" xr:uid="{00000000-0005-0000-0000-00002F340000}"/>
    <cellStyle name="Normal 57 9 2 3" xfId="13361" xr:uid="{00000000-0005-0000-0000-000030340000}"/>
    <cellStyle name="Normal 57 9 3" xfId="13362" xr:uid="{00000000-0005-0000-0000-000031340000}"/>
    <cellStyle name="Normal 57 9 4" xfId="13363" xr:uid="{00000000-0005-0000-0000-000032340000}"/>
    <cellStyle name="Normal 58" xfId="13364" xr:uid="{00000000-0005-0000-0000-000033340000}"/>
    <cellStyle name="Normal 58 10" xfId="13365" xr:uid="{00000000-0005-0000-0000-000034340000}"/>
    <cellStyle name="Normal 58 10 2" xfId="13366" xr:uid="{00000000-0005-0000-0000-000035340000}"/>
    <cellStyle name="Normal 58 10 2 2" xfId="13367" xr:uid="{00000000-0005-0000-0000-000036340000}"/>
    <cellStyle name="Normal 58 10 2 3" xfId="13368" xr:uid="{00000000-0005-0000-0000-000037340000}"/>
    <cellStyle name="Normal 58 10 3" xfId="13369" xr:uid="{00000000-0005-0000-0000-000038340000}"/>
    <cellStyle name="Normal 58 10 4" xfId="13370" xr:uid="{00000000-0005-0000-0000-000039340000}"/>
    <cellStyle name="Normal 58 11" xfId="13371" xr:uid="{00000000-0005-0000-0000-00003A340000}"/>
    <cellStyle name="Normal 58 11 2" xfId="13372" xr:uid="{00000000-0005-0000-0000-00003B340000}"/>
    <cellStyle name="Normal 58 11 2 2" xfId="13373" xr:uid="{00000000-0005-0000-0000-00003C340000}"/>
    <cellStyle name="Normal 58 11 2 3" xfId="13374" xr:uid="{00000000-0005-0000-0000-00003D340000}"/>
    <cellStyle name="Normal 58 11 3" xfId="13375" xr:uid="{00000000-0005-0000-0000-00003E340000}"/>
    <cellStyle name="Normal 58 11 4" xfId="13376" xr:uid="{00000000-0005-0000-0000-00003F340000}"/>
    <cellStyle name="Normal 58 12" xfId="13377" xr:uid="{00000000-0005-0000-0000-000040340000}"/>
    <cellStyle name="Normal 58 12 2" xfId="13378" xr:uid="{00000000-0005-0000-0000-000041340000}"/>
    <cellStyle name="Normal 58 12 2 2" xfId="13379" xr:uid="{00000000-0005-0000-0000-000042340000}"/>
    <cellStyle name="Normal 58 12 2 3" xfId="13380" xr:uid="{00000000-0005-0000-0000-000043340000}"/>
    <cellStyle name="Normal 58 12 3" xfId="13381" xr:uid="{00000000-0005-0000-0000-000044340000}"/>
    <cellStyle name="Normal 58 12 4" xfId="13382" xr:uid="{00000000-0005-0000-0000-000045340000}"/>
    <cellStyle name="Normal 58 13" xfId="13383" xr:uid="{00000000-0005-0000-0000-000046340000}"/>
    <cellStyle name="Normal 58 13 2" xfId="13384" xr:uid="{00000000-0005-0000-0000-000047340000}"/>
    <cellStyle name="Normal 58 13 2 2" xfId="13385" xr:uid="{00000000-0005-0000-0000-000048340000}"/>
    <cellStyle name="Normal 58 13 2 3" xfId="13386" xr:uid="{00000000-0005-0000-0000-000049340000}"/>
    <cellStyle name="Normal 58 13 3" xfId="13387" xr:uid="{00000000-0005-0000-0000-00004A340000}"/>
    <cellStyle name="Normal 58 13 4" xfId="13388" xr:uid="{00000000-0005-0000-0000-00004B340000}"/>
    <cellStyle name="Normal 58 14" xfId="13389" xr:uid="{00000000-0005-0000-0000-00004C340000}"/>
    <cellStyle name="Normal 58 14 2" xfId="13390" xr:uid="{00000000-0005-0000-0000-00004D340000}"/>
    <cellStyle name="Normal 58 14 2 2" xfId="13391" xr:uid="{00000000-0005-0000-0000-00004E340000}"/>
    <cellStyle name="Normal 58 14 2 3" xfId="13392" xr:uid="{00000000-0005-0000-0000-00004F340000}"/>
    <cellStyle name="Normal 58 14 3" xfId="13393" xr:uid="{00000000-0005-0000-0000-000050340000}"/>
    <cellStyle name="Normal 58 14 4" xfId="13394" xr:uid="{00000000-0005-0000-0000-000051340000}"/>
    <cellStyle name="Normal 58 15" xfId="13395" xr:uid="{00000000-0005-0000-0000-000052340000}"/>
    <cellStyle name="Normal 58 15 2" xfId="13396" xr:uid="{00000000-0005-0000-0000-000053340000}"/>
    <cellStyle name="Normal 58 15 2 2" xfId="13397" xr:uid="{00000000-0005-0000-0000-000054340000}"/>
    <cellStyle name="Normal 58 15 2 3" xfId="13398" xr:uid="{00000000-0005-0000-0000-000055340000}"/>
    <cellStyle name="Normal 58 15 3" xfId="13399" xr:uid="{00000000-0005-0000-0000-000056340000}"/>
    <cellStyle name="Normal 58 15 4" xfId="13400" xr:uid="{00000000-0005-0000-0000-000057340000}"/>
    <cellStyle name="Normal 58 16" xfId="13401" xr:uid="{00000000-0005-0000-0000-000058340000}"/>
    <cellStyle name="Normal 58 16 2" xfId="13402" xr:uid="{00000000-0005-0000-0000-000059340000}"/>
    <cellStyle name="Normal 58 16 2 2" xfId="13403" xr:uid="{00000000-0005-0000-0000-00005A340000}"/>
    <cellStyle name="Normal 58 16 2 3" xfId="13404" xr:uid="{00000000-0005-0000-0000-00005B340000}"/>
    <cellStyle name="Normal 58 16 3" xfId="13405" xr:uid="{00000000-0005-0000-0000-00005C340000}"/>
    <cellStyle name="Normal 58 16 4" xfId="13406" xr:uid="{00000000-0005-0000-0000-00005D340000}"/>
    <cellStyle name="Normal 58 17" xfId="13407" xr:uid="{00000000-0005-0000-0000-00005E340000}"/>
    <cellStyle name="Normal 58 17 2" xfId="13408" xr:uid="{00000000-0005-0000-0000-00005F340000}"/>
    <cellStyle name="Normal 58 17 2 2" xfId="13409" xr:uid="{00000000-0005-0000-0000-000060340000}"/>
    <cellStyle name="Normal 58 17 2 3" xfId="13410" xr:uid="{00000000-0005-0000-0000-000061340000}"/>
    <cellStyle name="Normal 58 17 3" xfId="13411" xr:uid="{00000000-0005-0000-0000-000062340000}"/>
    <cellStyle name="Normal 58 17 4" xfId="13412" xr:uid="{00000000-0005-0000-0000-000063340000}"/>
    <cellStyle name="Normal 58 18" xfId="13413" xr:uid="{00000000-0005-0000-0000-000064340000}"/>
    <cellStyle name="Normal 58 18 2" xfId="13414" xr:uid="{00000000-0005-0000-0000-000065340000}"/>
    <cellStyle name="Normal 58 18 2 2" xfId="13415" xr:uid="{00000000-0005-0000-0000-000066340000}"/>
    <cellStyle name="Normal 58 18 2 3" xfId="13416" xr:uid="{00000000-0005-0000-0000-000067340000}"/>
    <cellStyle name="Normal 58 18 3" xfId="13417" xr:uid="{00000000-0005-0000-0000-000068340000}"/>
    <cellStyle name="Normal 58 18 4" xfId="13418" xr:uid="{00000000-0005-0000-0000-000069340000}"/>
    <cellStyle name="Normal 58 19" xfId="13419" xr:uid="{00000000-0005-0000-0000-00006A340000}"/>
    <cellStyle name="Normal 58 19 2" xfId="13420" xr:uid="{00000000-0005-0000-0000-00006B340000}"/>
    <cellStyle name="Normal 58 19 2 2" xfId="13421" xr:uid="{00000000-0005-0000-0000-00006C340000}"/>
    <cellStyle name="Normal 58 19 2 3" xfId="13422" xr:uid="{00000000-0005-0000-0000-00006D340000}"/>
    <cellStyle name="Normal 58 19 3" xfId="13423" xr:uid="{00000000-0005-0000-0000-00006E340000}"/>
    <cellStyle name="Normal 58 19 4" xfId="13424" xr:uid="{00000000-0005-0000-0000-00006F340000}"/>
    <cellStyle name="Normal 58 2" xfId="13425" xr:uid="{00000000-0005-0000-0000-000070340000}"/>
    <cellStyle name="Normal 58 2 2" xfId="13426" xr:uid="{00000000-0005-0000-0000-000071340000}"/>
    <cellStyle name="Normal 58 2 2 2" xfId="13427" xr:uid="{00000000-0005-0000-0000-000072340000}"/>
    <cellStyle name="Normal 58 2 2 3" xfId="13428" xr:uid="{00000000-0005-0000-0000-000073340000}"/>
    <cellStyle name="Normal 58 2 3" xfId="13429" xr:uid="{00000000-0005-0000-0000-000074340000}"/>
    <cellStyle name="Normal 58 2 4" xfId="13430" xr:uid="{00000000-0005-0000-0000-000075340000}"/>
    <cellStyle name="Normal 58 20" xfId="13431" xr:uid="{00000000-0005-0000-0000-000076340000}"/>
    <cellStyle name="Normal 58 20 2" xfId="13432" xr:uid="{00000000-0005-0000-0000-000077340000}"/>
    <cellStyle name="Normal 58 20 2 2" xfId="13433" xr:uid="{00000000-0005-0000-0000-000078340000}"/>
    <cellStyle name="Normal 58 20 2 3" xfId="13434" xr:uid="{00000000-0005-0000-0000-000079340000}"/>
    <cellStyle name="Normal 58 20 3" xfId="13435" xr:uid="{00000000-0005-0000-0000-00007A340000}"/>
    <cellStyle name="Normal 58 20 4" xfId="13436" xr:uid="{00000000-0005-0000-0000-00007B340000}"/>
    <cellStyle name="Normal 58 21" xfId="13437" xr:uid="{00000000-0005-0000-0000-00007C340000}"/>
    <cellStyle name="Normal 58 21 2" xfId="13438" xr:uid="{00000000-0005-0000-0000-00007D340000}"/>
    <cellStyle name="Normal 58 21 2 2" xfId="13439" xr:uid="{00000000-0005-0000-0000-00007E340000}"/>
    <cellStyle name="Normal 58 21 2 3" xfId="13440" xr:uid="{00000000-0005-0000-0000-00007F340000}"/>
    <cellStyle name="Normal 58 21 3" xfId="13441" xr:uid="{00000000-0005-0000-0000-000080340000}"/>
    <cellStyle name="Normal 58 21 4" xfId="13442" xr:uid="{00000000-0005-0000-0000-000081340000}"/>
    <cellStyle name="Normal 58 22" xfId="13443" xr:uid="{00000000-0005-0000-0000-000082340000}"/>
    <cellStyle name="Normal 58 22 2" xfId="13444" xr:uid="{00000000-0005-0000-0000-000083340000}"/>
    <cellStyle name="Normal 58 22 2 2" xfId="13445" xr:uid="{00000000-0005-0000-0000-000084340000}"/>
    <cellStyle name="Normal 58 22 2 3" xfId="13446" xr:uid="{00000000-0005-0000-0000-000085340000}"/>
    <cellStyle name="Normal 58 22 3" xfId="13447" xr:uid="{00000000-0005-0000-0000-000086340000}"/>
    <cellStyle name="Normal 58 22 4" xfId="13448" xr:uid="{00000000-0005-0000-0000-000087340000}"/>
    <cellStyle name="Normal 58 23" xfId="13449" xr:uid="{00000000-0005-0000-0000-000088340000}"/>
    <cellStyle name="Normal 58 23 2" xfId="13450" xr:uid="{00000000-0005-0000-0000-000089340000}"/>
    <cellStyle name="Normal 58 23 2 2" xfId="13451" xr:uid="{00000000-0005-0000-0000-00008A340000}"/>
    <cellStyle name="Normal 58 23 2 3" xfId="13452" xr:uid="{00000000-0005-0000-0000-00008B340000}"/>
    <cellStyle name="Normal 58 23 3" xfId="13453" xr:uid="{00000000-0005-0000-0000-00008C340000}"/>
    <cellStyle name="Normal 58 23 4" xfId="13454" xr:uid="{00000000-0005-0000-0000-00008D340000}"/>
    <cellStyle name="Normal 58 24" xfId="13455" xr:uid="{00000000-0005-0000-0000-00008E340000}"/>
    <cellStyle name="Normal 58 24 2" xfId="13456" xr:uid="{00000000-0005-0000-0000-00008F340000}"/>
    <cellStyle name="Normal 58 24 3" xfId="13457" xr:uid="{00000000-0005-0000-0000-000090340000}"/>
    <cellStyle name="Normal 58 25" xfId="13458" xr:uid="{00000000-0005-0000-0000-000091340000}"/>
    <cellStyle name="Normal 58 26" xfId="13459" xr:uid="{00000000-0005-0000-0000-000092340000}"/>
    <cellStyle name="Normal 58 3" xfId="13460" xr:uid="{00000000-0005-0000-0000-000093340000}"/>
    <cellStyle name="Normal 58 3 2" xfId="13461" xr:uid="{00000000-0005-0000-0000-000094340000}"/>
    <cellStyle name="Normal 58 3 2 2" xfId="13462" xr:uid="{00000000-0005-0000-0000-000095340000}"/>
    <cellStyle name="Normal 58 3 2 3" xfId="13463" xr:uid="{00000000-0005-0000-0000-000096340000}"/>
    <cellStyle name="Normal 58 3 3" xfId="13464" xr:uid="{00000000-0005-0000-0000-000097340000}"/>
    <cellStyle name="Normal 58 3 4" xfId="13465" xr:uid="{00000000-0005-0000-0000-000098340000}"/>
    <cellStyle name="Normal 58 4" xfId="13466" xr:uid="{00000000-0005-0000-0000-000099340000}"/>
    <cellStyle name="Normal 58 4 2" xfId="13467" xr:uid="{00000000-0005-0000-0000-00009A340000}"/>
    <cellStyle name="Normal 58 4 2 2" xfId="13468" xr:uid="{00000000-0005-0000-0000-00009B340000}"/>
    <cellStyle name="Normal 58 4 2 3" xfId="13469" xr:uid="{00000000-0005-0000-0000-00009C340000}"/>
    <cellStyle name="Normal 58 4 3" xfId="13470" xr:uid="{00000000-0005-0000-0000-00009D340000}"/>
    <cellStyle name="Normal 58 4 4" xfId="13471" xr:uid="{00000000-0005-0000-0000-00009E340000}"/>
    <cellStyle name="Normal 58 5" xfId="13472" xr:uid="{00000000-0005-0000-0000-00009F340000}"/>
    <cellStyle name="Normal 58 5 2" xfId="13473" xr:uid="{00000000-0005-0000-0000-0000A0340000}"/>
    <cellStyle name="Normal 58 5 2 2" xfId="13474" xr:uid="{00000000-0005-0000-0000-0000A1340000}"/>
    <cellStyle name="Normal 58 5 2 3" xfId="13475" xr:uid="{00000000-0005-0000-0000-0000A2340000}"/>
    <cellStyle name="Normal 58 5 3" xfId="13476" xr:uid="{00000000-0005-0000-0000-0000A3340000}"/>
    <cellStyle name="Normal 58 5 4" xfId="13477" xr:uid="{00000000-0005-0000-0000-0000A4340000}"/>
    <cellStyle name="Normal 58 6" xfId="13478" xr:uid="{00000000-0005-0000-0000-0000A5340000}"/>
    <cellStyle name="Normal 58 6 2" xfId="13479" xr:uid="{00000000-0005-0000-0000-0000A6340000}"/>
    <cellStyle name="Normal 58 6 2 2" xfId="13480" xr:uid="{00000000-0005-0000-0000-0000A7340000}"/>
    <cellStyle name="Normal 58 6 2 3" xfId="13481" xr:uid="{00000000-0005-0000-0000-0000A8340000}"/>
    <cellStyle name="Normal 58 6 3" xfId="13482" xr:uid="{00000000-0005-0000-0000-0000A9340000}"/>
    <cellStyle name="Normal 58 6 4" xfId="13483" xr:uid="{00000000-0005-0000-0000-0000AA340000}"/>
    <cellStyle name="Normal 58 7" xfId="13484" xr:uid="{00000000-0005-0000-0000-0000AB340000}"/>
    <cellStyle name="Normal 58 7 2" xfId="13485" xr:uid="{00000000-0005-0000-0000-0000AC340000}"/>
    <cellStyle name="Normal 58 7 2 2" xfId="13486" xr:uid="{00000000-0005-0000-0000-0000AD340000}"/>
    <cellStyle name="Normal 58 7 2 3" xfId="13487" xr:uid="{00000000-0005-0000-0000-0000AE340000}"/>
    <cellStyle name="Normal 58 7 3" xfId="13488" xr:uid="{00000000-0005-0000-0000-0000AF340000}"/>
    <cellStyle name="Normal 58 7 4" xfId="13489" xr:uid="{00000000-0005-0000-0000-0000B0340000}"/>
    <cellStyle name="Normal 58 8" xfId="13490" xr:uid="{00000000-0005-0000-0000-0000B1340000}"/>
    <cellStyle name="Normal 58 8 2" xfId="13491" xr:uid="{00000000-0005-0000-0000-0000B2340000}"/>
    <cellStyle name="Normal 58 8 2 2" xfId="13492" xr:uid="{00000000-0005-0000-0000-0000B3340000}"/>
    <cellStyle name="Normal 58 8 2 3" xfId="13493" xr:uid="{00000000-0005-0000-0000-0000B4340000}"/>
    <cellStyle name="Normal 58 8 3" xfId="13494" xr:uid="{00000000-0005-0000-0000-0000B5340000}"/>
    <cellStyle name="Normal 58 8 4" xfId="13495" xr:uid="{00000000-0005-0000-0000-0000B6340000}"/>
    <cellStyle name="Normal 58 9" xfId="13496" xr:uid="{00000000-0005-0000-0000-0000B7340000}"/>
    <cellStyle name="Normal 58 9 2" xfId="13497" xr:uid="{00000000-0005-0000-0000-0000B8340000}"/>
    <cellStyle name="Normal 58 9 2 2" xfId="13498" xr:uid="{00000000-0005-0000-0000-0000B9340000}"/>
    <cellStyle name="Normal 58 9 2 3" xfId="13499" xr:uid="{00000000-0005-0000-0000-0000BA340000}"/>
    <cellStyle name="Normal 58 9 3" xfId="13500" xr:uid="{00000000-0005-0000-0000-0000BB340000}"/>
    <cellStyle name="Normal 58 9 4" xfId="13501" xr:uid="{00000000-0005-0000-0000-0000BC340000}"/>
    <cellStyle name="Normal 59" xfId="13502" xr:uid="{00000000-0005-0000-0000-0000BD340000}"/>
    <cellStyle name="Normal 59 10" xfId="13503" xr:uid="{00000000-0005-0000-0000-0000BE340000}"/>
    <cellStyle name="Normal 59 10 2" xfId="13504" xr:uid="{00000000-0005-0000-0000-0000BF340000}"/>
    <cellStyle name="Normal 59 10 2 2" xfId="13505" xr:uid="{00000000-0005-0000-0000-0000C0340000}"/>
    <cellStyle name="Normal 59 10 2 3" xfId="13506" xr:uid="{00000000-0005-0000-0000-0000C1340000}"/>
    <cellStyle name="Normal 59 10 3" xfId="13507" xr:uid="{00000000-0005-0000-0000-0000C2340000}"/>
    <cellStyle name="Normal 59 10 4" xfId="13508" xr:uid="{00000000-0005-0000-0000-0000C3340000}"/>
    <cellStyle name="Normal 59 11" xfId="13509" xr:uid="{00000000-0005-0000-0000-0000C4340000}"/>
    <cellStyle name="Normal 59 11 2" xfId="13510" xr:uid="{00000000-0005-0000-0000-0000C5340000}"/>
    <cellStyle name="Normal 59 11 2 2" xfId="13511" xr:uid="{00000000-0005-0000-0000-0000C6340000}"/>
    <cellStyle name="Normal 59 11 2 3" xfId="13512" xr:uid="{00000000-0005-0000-0000-0000C7340000}"/>
    <cellStyle name="Normal 59 11 3" xfId="13513" xr:uid="{00000000-0005-0000-0000-0000C8340000}"/>
    <cellStyle name="Normal 59 11 4" xfId="13514" xr:uid="{00000000-0005-0000-0000-0000C9340000}"/>
    <cellStyle name="Normal 59 12" xfId="13515" xr:uid="{00000000-0005-0000-0000-0000CA340000}"/>
    <cellStyle name="Normal 59 12 2" xfId="13516" xr:uid="{00000000-0005-0000-0000-0000CB340000}"/>
    <cellStyle name="Normal 59 12 2 2" xfId="13517" xr:uid="{00000000-0005-0000-0000-0000CC340000}"/>
    <cellStyle name="Normal 59 12 2 3" xfId="13518" xr:uid="{00000000-0005-0000-0000-0000CD340000}"/>
    <cellStyle name="Normal 59 12 3" xfId="13519" xr:uid="{00000000-0005-0000-0000-0000CE340000}"/>
    <cellStyle name="Normal 59 12 4" xfId="13520" xr:uid="{00000000-0005-0000-0000-0000CF340000}"/>
    <cellStyle name="Normal 59 13" xfId="13521" xr:uid="{00000000-0005-0000-0000-0000D0340000}"/>
    <cellStyle name="Normal 59 13 2" xfId="13522" xr:uid="{00000000-0005-0000-0000-0000D1340000}"/>
    <cellStyle name="Normal 59 13 2 2" xfId="13523" xr:uid="{00000000-0005-0000-0000-0000D2340000}"/>
    <cellStyle name="Normal 59 13 2 3" xfId="13524" xr:uid="{00000000-0005-0000-0000-0000D3340000}"/>
    <cellStyle name="Normal 59 13 3" xfId="13525" xr:uid="{00000000-0005-0000-0000-0000D4340000}"/>
    <cellStyle name="Normal 59 13 4" xfId="13526" xr:uid="{00000000-0005-0000-0000-0000D5340000}"/>
    <cellStyle name="Normal 59 14" xfId="13527" xr:uid="{00000000-0005-0000-0000-0000D6340000}"/>
    <cellStyle name="Normal 59 14 2" xfId="13528" xr:uid="{00000000-0005-0000-0000-0000D7340000}"/>
    <cellStyle name="Normal 59 14 2 2" xfId="13529" xr:uid="{00000000-0005-0000-0000-0000D8340000}"/>
    <cellStyle name="Normal 59 14 2 3" xfId="13530" xr:uid="{00000000-0005-0000-0000-0000D9340000}"/>
    <cellStyle name="Normal 59 14 3" xfId="13531" xr:uid="{00000000-0005-0000-0000-0000DA340000}"/>
    <cellStyle name="Normal 59 14 4" xfId="13532" xr:uid="{00000000-0005-0000-0000-0000DB340000}"/>
    <cellStyle name="Normal 59 15" xfId="13533" xr:uid="{00000000-0005-0000-0000-0000DC340000}"/>
    <cellStyle name="Normal 59 15 2" xfId="13534" xr:uid="{00000000-0005-0000-0000-0000DD340000}"/>
    <cellStyle name="Normal 59 15 2 2" xfId="13535" xr:uid="{00000000-0005-0000-0000-0000DE340000}"/>
    <cellStyle name="Normal 59 15 2 3" xfId="13536" xr:uid="{00000000-0005-0000-0000-0000DF340000}"/>
    <cellStyle name="Normal 59 15 3" xfId="13537" xr:uid="{00000000-0005-0000-0000-0000E0340000}"/>
    <cellStyle name="Normal 59 15 4" xfId="13538" xr:uid="{00000000-0005-0000-0000-0000E1340000}"/>
    <cellStyle name="Normal 59 16" xfId="13539" xr:uid="{00000000-0005-0000-0000-0000E2340000}"/>
    <cellStyle name="Normal 59 16 2" xfId="13540" xr:uid="{00000000-0005-0000-0000-0000E3340000}"/>
    <cellStyle name="Normal 59 16 2 2" xfId="13541" xr:uid="{00000000-0005-0000-0000-0000E4340000}"/>
    <cellStyle name="Normal 59 16 2 3" xfId="13542" xr:uid="{00000000-0005-0000-0000-0000E5340000}"/>
    <cellStyle name="Normal 59 16 3" xfId="13543" xr:uid="{00000000-0005-0000-0000-0000E6340000}"/>
    <cellStyle name="Normal 59 16 4" xfId="13544" xr:uid="{00000000-0005-0000-0000-0000E7340000}"/>
    <cellStyle name="Normal 59 17" xfId="13545" xr:uid="{00000000-0005-0000-0000-0000E8340000}"/>
    <cellStyle name="Normal 59 17 2" xfId="13546" xr:uid="{00000000-0005-0000-0000-0000E9340000}"/>
    <cellStyle name="Normal 59 17 2 2" xfId="13547" xr:uid="{00000000-0005-0000-0000-0000EA340000}"/>
    <cellStyle name="Normal 59 17 2 3" xfId="13548" xr:uid="{00000000-0005-0000-0000-0000EB340000}"/>
    <cellStyle name="Normal 59 17 3" xfId="13549" xr:uid="{00000000-0005-0000-0000-0000EC340000}"/>
    <cellStyle name="Normal 59 17 4" xfId="13550" xr:uid="{00000000-0005-0000-0000-0000ED340000}"/>
    <cellStyle name="Normal 59 18" xfId="13551" xr:uid="{00000000-0005-0000-0000-0000EE340000}"/>
    <cellStyle name="Normal 59 18 2" xfId="13552" xr:uid="{00000000-0005-0000-0000-0000EF340000}"/>
    <cellStyle name="Normal 59 18 2 2" xfId="13553" xr:uid="{00000000-0005-0000-0000-0000F0340000}"/>
    <cellStyle name="Normal 59 18 2 3" xfId="13554" xr:uid="{00000000-0005-0000-0000-0000F1340000}"/>
    <cellStyle name="Normal 59 18 3" xfId="13555" xr:uid="{00000000-0005-0000-0000-0000F2340000}"/>
    <cellStyle name="Normal 59 18 4" xfId="13556" xr:uid="{00000000-0005-0000-0000-0000F3340000}"/>
    <cellStyle name="Normal 59 19" xfId="13557" xr:uid="{00000000-0005-0000-0000-0000F4340000}"/>
    <cellStyle name="Normal 59 19 2" xfId="13558" xr:uid="{00000000-0005-0000-0000-0000F5340000}"/>
    <cellStyle name="Normal 59 19 2 2" xfId="13559" xr:uid="{00000000-0005-0000-0000-0000F6340000}"/>
    <cellStyle name="Normal 59 19 2 3" xfId="13560" xr:uid="{00000000-0005-0000-0000-0000F7340000}"/>
    <cellStyle name="Normal 59 19 3" xfId="13561" xr:uid="{00000000-0005-0000-0000-0000F8340000}"/>
    <cellStyle name="Normal 59 19 4" xfId="13562" xr:uid="{00000000-0005-0000-0000-0000F9340000}"/>
    <cellStyle name="Normal 59 2" xfId="13563" xr:uid="{00000000-0005-0000-0000-0000FA340000}"/>
    <cellStyle name="Normal 59 2 2" xfId="13564" xr:uid="{00000000-0005-0000-0000-0000FB340000}"/>
    <cellStyle name="Normal 59 2 2 2" xfId="13565" xr:uid="{00000000-0005-0000-0000-0000FC340000}"/>
    <cellStyle name="Normal 59 2 2 3" xfId="13566" xr:uid="{00000000-0005-0000-0000-0000FD340000}"/>
    <cellStyle name="Normal 59 2 3" xfId="13567" xr:uid="{00000000-0005-0000-0000-0000FE340000}"/>
    <cellStyle name="Normal 59 2 4" xfId="13568" xr:uid="{00000000-0005-0000-0000-0000FF340000}"/>
    <cellStyle name="Normal 59 20" xfId="13569" xr:uid="{00000000-0005-0000-0000-000000350000}"/>
    <cellStyle name="Normal 59 20 2" xfId="13570" xr:uid="{00000000-0005-0000-0000-000001350000}"/>
    <cellStyle name="Normal 59 20 2 2" xfId="13571" xr:uid="{00000000-0005-0000-0000-000002350000}"/>
    <cellStyle name="Normal 59 20 2 3" xfId="13572" xr:uid="{00000000-0005-0000-0000-000003350000}"/>
    <cellStyle name="Normal 59 20 3" xfId="13573" xr:uid="{00000000-0005-0000-0000-000004350000}"/>
    <cellStyle name="Normal 59 20 4" xfId="13574" xr:uid="{00000000-0005-0000-0000-000005350000}"/>
    <cellStyle name="Normal 59 21" xfId="13575" xr:uid="{00000000-0005-0000-0000-000006350000}"/>
    <cellStyle name="Normal 59 21 2" xfId="13576" xr:uid="{00000000-0005-0000-0000-000007350000}"/>
    <cellStyle name="Normal 59 21 2 2" xfId="13577" xr:uid="{00000000-0005-0000-0000-000008350000}"/>
    <cellStyle name="Normal 59 21 2 3" xfId="13578" xr:uid="{00000000-0005-0000-0000-000009350000}"/>
    <cellStyle name="Normal 59 21 3" xfId="13579" xr:uid="{00000000-0005-0000-0000-00000A350000}"/>
    <cellStyle name="Normal 59 21 4" xfId="13580" xr:uid="{00000000-0005-0000-0000-00000B350000}"/>
    <cellStyle name="Normal 59 22" xfId="13581" xr:uid="{00000000-0005-0000-0000-00000C350000}"/>
    <cellStyle name="Normal 59 22 2" xfId="13582" xr:uid="{00000000-0005-0000-0000-00000D350000}"/>
    <cellStyle name="Normal 59 22 2 2" xfId="13583" xr:uid="{00000000-0005-0000-0000-00000E350000}"/>
    <cellStyle name="Normal 59 22 2 3" xfId="13584" xr:uid="{00000000-0005-0000-0000-00000F350000}"/>
    <cellStyle name="Normal 59 22 3" xfId="13585" xr:uid="{00000000-0005-0000-0000-000010350000}"/>
    <cellStyle name="Normal 59 22 4" xfId="13586" xr:uid="{00000000-0005-0000-0000-000011350000}"/>
    <cellStyle name="Normal 59 23" xfId="13587" xr:uid="{00000000-0005-0000-0000-000012350000}"/>
    <cellStyle name="Normal 59 23 2" xfId="13588" xr:uid="{00000000-0005-0000-0000-000013350000}"/>
    <cellStyle name="Normal 59 23 2 2" xfId="13589" xr:uid="{00000000-0005-0000-0000-000014350000}"/>
    <cellStyle name="Normal 59 23 2 3" xfId="13590" xr:uid="{00000000-0005-0000-0000-000015350000}"/>
    <cellStyle name="Normal 59 23 3" xfId="13591" xr:uid="{00000000-0005-0000-0000-000016350000}"/>
    <cellStyle name="Normal 59 23 4" xfId="13592" xr:uid="{00000000-0005-0000-0000-000017350000}"/>
    <cellStyle name="Normal 59 24" xfId="13593" xr:uid="{00000000-0005-0000-0000-000018350000}"/>
    <cellStyle name="Normal 59 24 2" xfId="13594" xr:uid="{00000000-0005-0000-0000-000019350000}"/>
    <cellStyle name="Normal 59 24 3" xfId="13595" xr:uid="{00000000-0005-0000-0000-00001A350000}"/>
    <cellStyle name="Normal 59 25" xfId="13596" xr:uid="{00000000-0005-0000-0000-00001B350000}"/>
    <cellStyle name="Normal 59 26" xfId="13597" xr:uid="{00000000-0005-0000-0000-00001C350000}"/>
    <cellStyle name="Normal 59 3" xfId="13598" xr:uid="{00000000-0005-0000-0000-00001D350000}"/>
    <cellStyle name="Normal 59 3 2" xfId="13599" xr:uid="{00000000-0005-0000-0000-00001E350000}"/>
    <cellStyle name="Normal 59 3 2 2" xfId="13600" xr:uid="{00000000-0005-0000-0000-00001F350000}"/>
    <cellStyle name="Normal 59 3 2 3" xfId="13601" xr:uid="{00000000-0005-0000-0000-000020350000}"/>
    <cellStyle name="Normal 59 3 3" xfId="13602" xr:uid="{00000000-0005-0000-0000-000021350000}"/>
    <cellStyle name="Normal 59 3 4" xfId="13603" xr:uid="{00000000-0005-0000-0000-000022350000}"/>
    <cellStyle name="Normal 59 4" xfId="13604" xr:uid="{00000000-0005-0000-0000-000023350000}"/>
    <cellStyle name="Normal 59 4 2" xfId="13605" xr:uid="{00000000-0005-0000-0000-000024350000}"/>
    <cellStyle name="Normal 59 4 2 2" xfId="13606" xr:uid="{00000000-0005-0000-0000-000025350000}"/>
    <cellStyle name="Normal 59 4 2 3" xfId="13607" xr:uid="{00000000-0005-0000-0000-000026350000}"/>
    <cellStyle name="Normal 59 4 3" xfId="13608" xr:uid="{00000000-0005-0000-0000-000027350000}"/>
    <cellStyle name="Normal 59 4 4" xfId="13609" xr:uid="{00000000-0005-0000-0000-000028350000}"/>
    <cellStyle name="Normal 59 5" xfId="13610" xr:uid="{00000000-0005-0000-0000-000029350000}"/>
    <cellStyle name="Normal 59 5 2" xfId="13611" xr:uid="{00000000-0005-0000-0000-00002A350000}"/>
    <cellStyle name="Normal 59 5 2 2" xfId="13612" xr:uid="{00000000-0005-0000-0000-00002B350000}"/>
    <cellStyle name="Normal 59 5 2 3" xfId="13613" xr:uid="{00000000-0005-0000-0000-00002C350000}"/>
    <cellStyle name="Normal 59 5 3" xfId="13614" xr:uid="{00000000-0005-0000-0000-00002D350000}"/>
    <cellStyle name="Normal 59 5 4" xfId="13615" xr:uid="{00000000-0005-0000-0000-00002E350000}"/>
    <cellStyle name="Normal 59 6" xfId="13616" xr:uid="{00000000-0005-0000-0000-00002F350000}"/>
    <cellStyle name="Normal 59 6 2" xfId="13617" xr:uid="{00000000-0005-0000-0000-000030350000}"/>
    <cellStyle name="Normal 59 6 2 2" xfId="13618" xr:uid="{00000000-0005-0000-0000-000031350000}"/>
    <cellStyle name="Normal 59 6 2 3" xfId="13619" xr:uid="{00000000-0005-0000-0000-000032350000}"/>
    <cellStyle name="Normal 59 6 3" xfId="13620" xr:uid="{00000000-0005-0000-0000-000033350000}"/>
    <cellStyle name="Normal 59 6 4" xfId="13621" xr:uid="{00000000-0005-0000-0000-000034350000}"/>
    <cellStyle name="Normal 59 7" xfId="13622" xr:uid="{00000000-0005-0000-0000-000035350000}"/>
    <cellStyle name="Normal 59 7 2" xfId="13623" xr:uid="{00000000-0005-0000-0000-000036350000}"/>
    <cellStyle name="Normal 59 7 2 2" xfId="13624" xr:uid="{00000000-0005-0000-0000-000037350000}"/>
    <cellStyle name="Normal 59 7 2 3" xfId="13625" xr:uid="{00000000-0005-0000-0000-000038350000}"/>
    <cellStyle name="Normal 59 7 3" xfId="13626" xr:uid="{00000000-0005-0000-0000-000039350000}"/>
    <cellStyle name="Normal 59 7 4" xfId="13627" xr:uid="{00000000-0005-0000-0000-00003A350000}"/>
    <cellStyle name="Normal 59 8" xfId="13628" xr:uid="{00000000-0005-0000-0000-00003B350000}"/>
    <cellStyle name="Normal 59 8 2" xfId="13629" xr:uid="{00000000-0005-0000-0000-00003C350000}"/>
    <cellStyle name="Normal 59 8 2 2" xfId="13630" xr:uid="{00000000-0005-0000-0000-00003D350000}"/>
    <cellStyle name="Normal 59 8 2 3" xfId="13631" xr:uid="{00000000-0005-0000-0000-00003E350000}"/>
    <cellStyle name="Normal 59 8 3" xfId="13632" xr:uid="{00000000-0005-0000-0000-00003F350000}"/>
    <cellStyle name="Normal 59 8 4" xfId="13633" xr:uid="{00000000-0005-0000-0000-000040350000}"/>
    <cellStyle name="Normal 59 9" xfId="13634" xr:uid="{00000000-0005-0000-0000-000041350000}"/>
    <cellStyle name="Normal 59 9 2" xfId="13635" xr:uid="{00000000-0005-0000-0000-000042350000}"/>
    <cellStyle name="Normal 59 9 2 2" xfId="13636" xr:uid="{00000000-0005-0000-0000-000043350000}"/>
    <cellStyle name="Normal 59 9 2 3" xfId="13637" xr:uid="{00000000-0005-0000-0000-000044350000}"/>
    <cellStyle name="Normal 59 9 3" xfId="13638" xr:uid="{00000000-0005-0000-0000-000045350000}"/>
    <cellStyle name="Normal 59 9 4" xfId="13639" xr:uid="{00000000-0005-0000-0000-000046350000}"/>
    <cellStyle name="Normal 6" xfId="13640" xr:uid="{00000000-0005-0000-0000-000047350000}"/>
    <cellStyle name="Normal 6 10" xfId="13641" xr:uid="{00000000-0005-0000-0000-000048350000}"/>
    <cellStyle name="Normal 6 10 2" xfId="13642" xr:uid="{00000000-0005-0000-0000-000049350000}"/>
    <cellStyle name="Normal 6 11" xfId="13643" xr:uid="{00000000-0005-0000-0000-00004A350000}"/>
    <cellStyle name="Normal 6 11 2" xfId="13644" xr:uid="{00000000-0005-0000-0000-00004B350000}"/>
    <cellStyle name="Normal 6 12" xfId="13645" xr:uid="{00000000-0005-0000-0000-00004C350000}"/>
    <cellStyle name="Normal 6 12 2" xfId="13646" xr:uid="{00000000-0005-0000-0000-00004D350000}"/>
    <cellStyle name="Normal 6 13" xfId="13647" xr:uid="{00000000-0005-0000-0000-00004E350000}"/>
    <cellStyle name="Normal 6 13 2" xfId="13648" xr:uid="{00000000-0005-0000-0000-00004F350000}"/>
    <cellStyle name="Normal 6 14" xfId="13649" xr:uid="{00000000-0005-0000-0000-000050350000}"/>
    <cellStyle name="Normal 6 14 2" xfId="13650" xr:uid="{00000000-0005-0000-0000-000051350000}"/>
    <cellStyle name="Normal 6 15" xfId="13651" xr:uid="{00000000-0005-0000-0000-000052350000}"/>
    <cellStyle name="Normal 6 15 2" xfId="13652" xr:uid="{00000000-0005-0000-0000-000053350000}"/>
    <cellStyle name="Normal 6 16" xfId="13653" xr:uid="{00000000-0005-0000-0000-000054350000}"/>
    <cellStyle name="Normal 6 16 2" xfId="13654" xr:uid="{00000000-0005-0000-0000-000055350000}"/>
    <cellStyle name="Normal 6 17" xfId="13655" xr:uid="{00000000-0005-0000-0000-000056350000}"/>
    <cellStyle name="Normal 6 17 2" xfId="13656" xr:uid="{00000000-0005-0000-0000-000057350000}"/>
    <cellStyle name="Normal 6 18" xfId="13657" xr:uid="{00000000-0005-0000-0000-000058350000}"/>
    <cellStyle name="Normal 6 18 2" xfId="13658" xr:uid="{00000000-0005-0000-0000-000059350000}"/>
    <cellStyle name="Normal 6 19" xfId="13659" xr:uid="{00000000-0005-0000-0000-00005A350000}"/>
    <cellStyle name="Normal 6 19 2" xfId="13660" xr:uid="{00000000-0005-0000-0000-00005B350000}"/>
    <cellStyle name="Normal 6 2" xfId="13661" xr:uid="{00000000-0005-0000-0000-00005C350000}"/>
    <cellStyle name="Normal 6 2 2" xfId="13662" xr:uid="{00000000-0005-0000-0000-00005D350000}"/>
    <cellStyle name="Normal 6 2 2 2" xfId="13663" xr:uid="{00000000-0005-0000-0000-00005E350000}"/>
    <cellStyle name="Normal 6 2 2 3" xfId="13664" xr:uid="{00000000-0005-0000-0000-00005F350000}"/>
    <cellStyle name="Normal 6 2 2 4" xfId="13665" xr:uid="{00000000-0005-0000-0000-000060350000}"/>
    <cellStyle name="Normal 6 2 2 5" xfId="13666" xr:uid="{00000000-0005-0000-0000-000061350000}"/>
    <cellStyle name="Normal 6 2 3" xfId="13667" xr:uid="{00000000-0005-0000-0000-000062350000}"/>
    <cellStyle name="Normal 6 2 3 2" xfId="13668" xr:uid="{00000000-0005-0000-0000-000063350000}"/>
    <cellStyle name="Normal 6 2 3 3" xfId="13669" xr:uid="{00000000-0005-0000-0000-000064350000}"/>
    <cellStyle name="Normal 6 2 4" xfId="13670" xr:uid="{00000000-0005-0000-0000-000065350000}"/>
    <cellStyle name="Normal 6 2 5" xfId="13671" xr:uid="{00000000-0005-0000-0000-000066350000}"/>
    <cellStyle name="Normal 6 20" xfId="13672" xr:uid="{00000000-0005-0000-0000-000067350000}"/>
    <cellStyle name="Normal 6 20 2" xfId="13673" xr:uid="{00000000-0005-0000-0000-000068350000}"/>
    <cellStyle name="Normal 6 21" xfId="13674" xr:uid="{00000000-0005-0000-0000-000069350000}"/>
    <cellStyle name="Normal 6 21 2" xfId="13675" xr:uid="{00000000-0005-0000-0000-00006A350000}"/>
    <cellStyle name="Normal 6 22" xfId="13676" xr:uid="{00000000-0005-0000-0000-00006B350000}"/>
    <cellStyle name="Normal 6 22 2" xfId="13677" xr:uid="{00000000-0005-0000-0000-00006C350000}"/>
    <cellStyle name="Normal 6 23" xfId="13678" xr:uid="{00000000-0005-0000-0000-00006D350000}"/>
    <cellStyle name="Normal 6 23 2" xfId="13679" xr:uid="{00000000-0005-0000-0000-00006E350000}"/>
    <cellStyle name="Normal 6 24" xfId="13680" xr:uid="{00000000-0005-0000-0000-00006F350000}"/>
    <cellStyle name="Normal 6 24 2" xfId="13681" xr:uid="{00000000-0005-0000-0000-000070350000}"/>
    <cellStyle name="Normal 6 25" xfId="13682" xr:uid="{00000000-0005-0000-0000-000071350000}"/>
    <cellStyle name="Normal 6 25 2" xfId="13683" xr:uid="{00000000-0005-0000-0000-000072350000}"/>
    <cellStyle name="Normal 6 26" xfId="13684" xr:uid="{00000000-0005-0000-0000-000073350000}"/>
    <cellStyle name="Normal 6 26 2" xfId="13685" xr:uid="{00000000-0005-0000-0000-000074350000}"/>
    <cellStyle name="Normal 6 27" xfId="13686" xr:uid="{00000000-0005-0000-0000-000075350000}"/>
    <cellStyle name="Normal 6 27 2" xfId="13687" xr:uid="{00000000-0005-0000-0000-000076350000}"/>
    <cellStyle name="Normal 6 28" xfId="13688" xr:uid="{00000000-0005-0000-0000-000077350000}"/>
    <cellStyle name="Normal 6 28 2" xfId="13689" xr:uid="{00000000-0005-0000-0000-000078350000}"/>
    <cellStyle name="Normal 6 29" xfId="13690" xr:uid="{00000000-0005-0000-0000-000079350000}"/>
    <cellStyle name="Normal 6 29 2" xfId="13691" xr:uid="{00000000-0005-0000-0000-00007A350000}"/>
    <cellStyle name="Normal 6 3" xfId="13692" xr:uid="{00000000-0005-0000-0000-00007B350000}"/>
    <cellStyle name="Normal 6 3 2" xfId="13693" xr:uid="{00000000-0005-0000-0000-00007C350000}"/>
    <cellStyle name="Normal 6 3 2 2" xfId="13694" xr:uid="{00000000-0005-0000-0000-00007D350000}"/>
    <cellStyle name="Normal 6 3 3" xfId="13695" xr:uid="{00000000-0005-0000-0000-00007E350000}"/>
    <cellStyle name="Normal 6 3 3 2" xfId="13696" xr:uid="{00000000-0005-0000-0000-00007F350000}"/>
    <cellStyle name="Normal 6 3 4" xfId="13697" xr:uid="{00000000-0005-0000-0000-000080350000}"/>
    <cellStyle name="Normal 6 30" xfId="13698" xr:uid="{00000000-0005-0000-0000-000081350000}"/>
    <cellStyle name="Normal 6 30 2" xfId="13699" xr:uid="{00000000-0005-0000-0000-000082350000}"/>
    <cellStyle name="Normal 6 31" xfId="13700" xr:uid="{00000000-0005-0000-0000-000083350000}"/>
    <cellStyle name="Normal 6 31 2" xfId="13701" xr:uid="{00000000-0005-0000-0000-000084350000}"/>
    <cellStyle name="Normal 6 32" xfId="13702" xr:uid="{00000000-0005-0000-0000-000085350000}"/>
    <cellStyle name="Normal 6 32 2" xfId="13703" xr:uid="{00000000-0005-0000-0000-000086350000}"/>
    <cellStyle name="Normal 6 33" xfId="13704" xr:uid="{00000000-0005-0000-0000-000087350000}"/>
    <cellStyle name="Normal 6 33 2" xfId="13705" xr:uid="{00000000-0005-0000-0000-000088350000}"/>
    <cellStyle name="Normal 6 34" xfId="13706" xr:uid="{00000000-0005-0000-0000-000089350000}"/>
    <cellStyle name="Normal 6 34 2" xfId="13707" xr:uid="{00000000-0005-0000-0000-00008A350000}"/>
    <cellStyle name="Normal 6 35" xfId="13708" xr:uid="{00000000-0005-0000-0000-00008B350000}"/>
    <cellStyle name="Normal 6 35 2" xfId="13709" xr:uid="{00000000-0005-0000-0000-00008C350000}"/>
    <cellStyle name="Normal 6 36" xfId="13710" xr:uid="{00000000-0005-0000-0000-00008D350000}"/>
    <cellStyle name="Normal 6 36 2" xfId="13711" xr:uid="{00000000-0005-0000-0000-00008E350000}"/>
    <cellStyle name="Normal 6 37" xfId="13712" xr:uid="{00000000-0005-0000-0000-00008F350000}"/>
    <cellStyle name="Normal 6 37 2" xfId="13713" xr:uid="{00000000-0005-0000-0000-000090350000}"/>
    <cellStyle name="Normal 6 38" xfId="13714" xr:uid="{00000000-0005-0000-0000-000091350000}"/>
    <cellStyle name="Normal 6 38 2" xfId="13715" xr:uid="{00000000-0005-0000-0000-000092350000}"/>
    <cellStyle name="Normal 6 39" xfId="13716" xr:uid="{00000000-0005-0000-0000-000093350000}"/>
    <cellStyle name="Normal 6 39 2" xfId="13717" xr:uid="{00000000-0005-0000-0000-000094350000}"/>
    <cellStyle name="Normal 6 4" xfId="13718" xr:uid="{00000000-0005-0000-0000-000095350000}"/>
    <cellStyle name="Normal 6 4 2" xfId="13719" xr:uid="{00000000-0005-0000-0000-000096350000}"/>
    <cellStyle name="Normal 6 4 2 2" xfId="13720" xr:uid="{00000000-0005-0000-0000-000097350000}"/>
    <cellStyle name="Normal 6 4 3" xfId="13721" xr:uid="{00000000-0005-0000-0000-000098350000}"/>
    <cellStyle name="Normal 6 4 3 2" xfId="13722" xr:uid="{00000000-0005-0000-0000-000099350000}"/>
    <cellStyle name="Normal 6 4 4" xfId="13723" xr:uid="{00000000-0005-0000-0000-00009A350000}"/>
    <cellStyle name="Normal 6 40" xfId="13724" xr:uid="{00000000-0005-0000-0000-00009B350000}"/>
    <cellStyle name="Normal 6 40 2" xfId="13725" xr:uid="{00000000-0005-0000-0000-00009C350000}"/>
    <cellStyle name="Normal 6 41" xfId="13726" xr:uid="{00000000-0005-0000-0000-00009D350000}"/>
    <cellStyle name="Normal 6 41 2" xfId="13727" xr:uid="{00000000-0005-0000-0000-00009E350000}"/>
    <cellStyle name="Normal 6 42" xfId="13728" xr:uid="{00000000-0005-0000-0000-00009F350000}"/>
    <cellStyle name="Normal 6 42 2" xfId="13729" xr:uid="{00000000-0005-0000-0000-0000A0350000}"/>
    <cellStyle name="Normal 6 43" xfId="13730" xr:uid="{00000000-0005-0000-0000-0000A1350000}"/>
    <cellStyle name="Normal 6 43 2" xfId="13731" xr:uid="{00000000-0005-0000-0000-0000A2350000}"/>
    <cellStyle name="Normal 6 44" xfId="13732" xr:uid="{00000000-0005-0000-0000-0000A3350000}"/>
    <cellStyle name="Normal 6 44 2" xfId="13733" xr:uid="{00000000-0005-0000-0000-0000A4350000}"/>
    <cellStyle name="Normal 6 45" xfId="13734" xr:uid="{00000000-0005-0000-0000-0000A5350000}"/>
    <cellStyle name="Normal 6 45 2" xfId="13735" xr:uid="{00000000-0005-0000-0000-0000A6350000}"/>
    <cellStyle name="Normal 6 46" xfId="13736" xr:uid="{00000000-0005-0000-0000-0000A7350000}"/>
    <cellStyle name="Normal 6 46 2" xfId="13737" xr:uid="{00000000-0005-0000-0000-0000A8350000}"/>
    <cellStyle name="Normal 6 47" xfId="13738" xr:uid="{00000000-0005-0000-0000-0000A9350000}"/>
    <cellStyle name="Normal 6 47 2" xfId="13739" xr:uid="{00000000-0005-0000-0000-0000AA350000}"/>
    <cellStyle name="Normal 6 48" xfId="13740" xr:uid="{00000000-0005-0000-0000-0000AB350000}"/>
    <cellStyle name="Normal 6 48 2" xfId="13741" xr:uid="{00000000-0005-0000-0000-0000AC350000}"/>
    <cellStyle name="Normal 6 49" xfId="13742" xr:uid="{00000000-0005-0000-0000-0000AD350000}"/>
    <cellStyle name="Normal 6 49 2" xfId="13743" xr:uid="{00000000-0005-0000-0000-0000AE350000}"/>
    <cellStyle name="Normal 6 5" xfId="13744" xr:uid="{00000000-0005-0000-0000-0000AF350000}"/>
    <cellStyle name="Normal 6 5 2" xfId="13745" xr:uid="{00000000-0005-0000-0000-0000B0350000}"/>
    <cellStyle name="Normal 6 50" xfId="13746" xr:uid="{00000000-0005-0000-0000-0000B1350000}"/>
    <cellStyle name="Normal 6 50 2" xfId="13747" xr:uid="{00000000-0005-0000-0000-0000B2350000}"/>
    <cellStyle name="Normal 6 51" xfId="13748" xr:uid="{00000000-0005-0000-0000-0000B3350000}"/>
    <cellStyle name="Normal 6 51 2" xfId="13749" xr:uid="{00000000-0005-0000-0000-0000B4350000}"/>
    <cellStyle name="Normal 6 52" xfId="13750" xr:uid="{00000000-0005-0000-0000-0000B5350000}"/>
    <cellStyle name="Normal 6 52 2" xfId="13751" xr:uid="{00000000-0005-0000-0000-0000B6350000}"/>
    <cellStyle name="Normal 6 53" xfId="13752" xr:uid="{00000000-0005-0000-0000-0000B7350000}"/>
    <cellStyle name="Normal 6 53 2" xfId="13753" xr:uid="{00000000-0005-0000-0000-0000B8350000}"/>
    <cellStyle name="Normal 6 54" xfId="13754" xr:uid="{00000000-0005-0000-0000-0000B9350000}"/>
    <cellStyle name="Normal 6 54 2" xfId="13755" xr:uid="{00000000-0005-0000-0000-0000BA350000}"/>
    <cellStyle name="Normal 6 55" xfId="13756" xr:uid="{00000000-0005-0000-0000-0000BB350000}"/>
    <cellStyle name="Normal 6 55 2" xfId="13757" xr:uid="{00000000-0005-0000-0000-0000BC350000}"/>
    <cellStyle name="Normal 6 56" xfId="13758" xr:uid="{00000000-0005-0000-0000-0000BD350000}"/>
    <cellStyle name="Normal 6 56 2" xfId="13759" xr:uid="{00000000-0005-0000-0000-0000BE350000}"/>
    <cellStyle name="Normal 6 57" xfId="13760" xr:uid="{00000000-0005-0000-0000-0000BF350000}"/>
    <cellStyle name="Normal 6 57 2" xfId="13761" xr:uid="{00000000-0005-0000-0000-0000C0350000}"/>
    <cellStyle name="Normal 6 58" xfId="13762" xr:uid="{00000000-0005-0000-0000-0000C1350000}"/>
    <cellStyle name="Normal 6 58 2" xfId="13763" xr:uid="{00000000-0005-0000-0000-0000C2350000}"/>
    <cellStyle name="Normal 6 59" xfId="13764" xr:uid="{00000000-0005-0000-0000-0000C3350000}"/>
    <cellStyle name="Normal 6 59 2" xfId="13765" xr:uid="{00000000-0005-0000-0000-0000C4350000}"/>
    <cellStyle name="Normal 6 6" xfId="13766" xr:uid="{00000000-0005-0000-0000-0000C5350000}"/>
    <cellStyle name="Normal 6 6 2" xfId="13767" xr:uid="{00000000-0005-0000-0000-0000C6350000}"/>
    <cellStyle name="Normal 6 60" xfId="13768" xr:uid="{00000000-0005-0000-0000-0000C7350000}"/>
    <cellStyle name="Normal 6 60 2" xfId="13769" xr:uid="{00000000-0005-0000-0000-0000C8350000}"/>
    <cellStyle name="Normal 6 61" xfId="13770" xr:uid="{00000000-0005-0000-0000-0000C9350000}"/>
    <cellStyle name="Normal 6 61 2" xfId="13771" xr:uid="{00000000-0005-0000-0000-0000CA350000}"/>
    <cellStyle name="Normal 6 62" xfId="13772" xr:uid="{00000000-0005-0000-0000-0000CB350000}"/>
    <cellStyle name="Normal 6 62 2" xfId="13773" xr:uid="{00000000-0005-0000-0000-0000CC350000}"/>
    <cellStyle name="Normal 6 63" xfId="13774" xr:uid="{00000000-0005-0000-0000-0000CD350000}"/>
    <cellStyle name="Normal 6 63 2" xfId="13775" xr:uid="{00000000-0005-0000-0000-0000CE350000}"/>
    <cellStyle name="Normal 6 64" xfId="13776" xr:uid="{00000000-0005-0000-0000-0000CF350000}"/>
    <cellStyle name="Normal 6 64 2" xfId="13777" xr:uid="{00000000-0005-0000-0000-0000D0350000}"/>
    <cellStyle name="Normal 6 65" xfId="13778" xr:uid="{00000000-0005-0000-0000-0000D1350000}"/>
    <cellStyle name="Normal 6 65 2" xfId="13779" xr:uid="{00000000-0005-0000-0000-0000D2350000}"/>
    <cellStyle name="Normal 6 66" xfId="13780" xr:uid="{00000000-0005-0000-0000-0000D3350000}"/>
    <cellStyle name="Normal 6 66 2" xfId="13781" xr:uid="{00000000-0005-0000-0000-0000D4350000}"/>
    <cellStyle name="Normal 6 67" xfId="13782" xr:uid="{00000000-0005-0000-0000-0000D5350000}"/>
    <cellStyle name="Normal 6 67 2" xfId="13783" xr:uid="{00000000-0005-0000-0000-0000D6350000}"/>
    <cellStyle name="Normal 6 68" xfId="13784" xr:uid="{00000000-0005-0000-0000-0000D7350000}"/>
    <cellStyle name="Normal 6 68 2" xfId="13785" xr:uid="{00000000-0005-0000-0000-0000D8350000}"/>
    <cellStyle name="Normal 6 69" xfId="13786" xr:uid="{00000000-0005-0000-0000-0000D9350000}"/>
    <cellStyle name="Normal 6 69 2" xfId="13787" xr:uid="{00000000-0005-0000-0000-0000DA350000}"/>
    <cellStyle name="Normal 6 7" xfId="13788" xr:uid="{00000000-0005-0000-0000-0000DB350000}"/>
    <cellStyle name="Normal 6 7 2" xfId="13789" xr:uid="{00000000-0005-0000-0000-0000DC350000}"/>
    <cellStyle name="Normal 6 70" xfId="13790" xr:uid="{00000000-0005-0000-0000-0000DD350000}"/>
    <cellStyle name="Normal 6 70 2" xfId="13791" xr:uid="{00000000-0005-0000-0000-0000DE350000}"/>
    <cellStyle name="Normal 6 71" xfId="13792" xr:uid="{00000000-0005-0000-0000-0000DF350000}"/>
    <cellStyle name="Normal 6 71 2" xfId="13793" xr:uid="{00000000-0005-0000-0000-0000E0350000}"/>
    <cellStyle name="Normal 6 72" xfId="13794" xr:uid="{00000000-0005-0000-0000-0000E1350000}"/>
    <cellStyle name="Normal 6 72 2" xfId="13795" xr:uid="{00000000-0005-0000-0000-0000E2350000}"/>
    <cellStyle name="Normal 6 73" xfId="13796" xr:uid="{00000000-0005-0000-0000-0000E3350000}"/>
    <cellStyle name="Normal 6 73 2" xfId="13797" xr:uid="{00000000-0005-0000-0000-0000E4350000}"/>
    <cellStyle name="Normal 6 73 3" xfId="13798" xr:uid="{00000000-0005-0000-0000-0000E5350000}"/>
    <cellStyle name="Normal 6 73 4" xfId="13799" xr:uid="{00000000-0005-0000-0000-0000E6350000}"/>
    <cellStyle name="Normal 6 74" xfId="13800" xr:uid="{00000000-0005-0000-0000-0000E7350000}"/>
    <cellStyle name="Normal 6 74 2" xfId="13801" xr:uid="{00000000-0005-0000-0000-0000E8350000}"/>
    <cellStyle name="Normal 6 75" xfId="13802" xr:uid="{00000000-0005-0000-0000-0000E9350000}"/>
    <cellStyle name="Normal 6 75 2" xfId="13803" xr:uid="{00000000-0005-0000-0000-0000EA350000}"/>
    <cellStyle name="Normal 6 75 2 2" xfId="13804" xr:uid="{00000000-0005-0000-0000-0000EB350000}"/>
    <cellStyle name="Normal 6 75 2 3" xfId="13805" xr:uid="{00000000-0005-0000-0000-0000EC350000}"/>
    <cellStyle name="Normal 6 75 3" xfId="13806" xr:uid="{00000000-0005-0000-0000-0000ED350000}"/>
    <cellStyle name="Normal 6 75 4" xfId="13807" xr:uid="{00000000-0005-0000-0000-0000EE350000}"/>
    <cellStyle name="Normal 6 76" xfId="13808" xr:uid="{00000000-0005-0000-0000-0000EF350000}"/>
    <cellStyle name="Normal 6 76 2" xfId="13809" xr:uid="{00000000-0005-0000-0000-0000F0350000}"/>
    <cellStyle name="Normal 6 76 2 2" xfId="13810" xr:uid="{00000000-0005-0000-0000-0000F1350000}"/>
    <cellStyle name="Normal 6 76 2 3" xfId="13811" xr:uid="{00000000-0005-0000-0000-0000F2350000}"/>
    <cellStyle name="Normal 6 76 3" xfId="13812" xr:uid="{00000000-0005-0000-0000-0000F3350000}"/>
    <cellStyle name="Normal 6 76 4" xfId="13813" xr:uid="{00000000-0005-0000-0000-0000F4350000}"/>
    <cellStyle name="Normal 6 77" xfId="13814" xr:uid="{00000000-0005-0000-0000-0000F5350000}"/>
    <cellStyle name="Normal 6 77 2" xfId="13815" xr:uid="{00000000-0005-0000-0000-0000F6350000}"/>
    <cellStyle name="Normal 6 77 2 2" xfId="13816" xr:uid="{00000000-0005-0000-0000-0000F7350000}"/>
    <cellStyle name="Normal 6 77 2 3" xfId="13817" xr:uid="{00000000-0005-0000-0000-0000F8350000}"/>
    <cellStyle name="Normal 6 77 3" xfId="13818" xr:uid="{00000000-0005-0000-0000-0000F9350000}"/>
    <cellStyle name="Normal 6 77 4" xfId="13819" xr:uid="{00000000-0005-0000-0000-0000FA350000}"/>
    <cellStyle name="Normal 6 78" xfId="13820" xr:uid="{00000000-0005-0000-0000-0000FB350000}"/>
    <cellStyle name="Normal 6 78 2" xfId="13821" xr:uid="{00000000-0005-0000-0000-0000FC350000}"/>
    <cellStyle name="Normal 6 78 2 2" xfId="13822" xr:uid="{00000000-0005-0000-0000-0000FD350000}"/>
    <cellStyle name="Normal 6 78 2 3" xfId="13823" xr:uid="{00000000-0005-0000-0000-0000FE350000}"/>
    <cellStyle name="Normal 6 78 3" xfId="13824" xr:uid="{00000000-0005-0000-0000-0000FF350000}"/>
    <cellStyle name="Normal 6 78 4" xfId="13825" xr:uid="{00000000-0005-0000-0000-000000360000}"/>
    <cellStyle name="Normal 6 79" xfId="13826" xr:uid="{00000000-0005-0000-0000-000001360000}"/>
    <cellStyle name="Normal 6 79 2" xfId="13827" xr:uid="{00000000-0005-0000-0000-000002360000}"/>
    <cellStyle name="Normal 6 79 2 2" xfId="13828" xr:uid="{00000000-0005-0000-0000-000003360000}"/>
    <cellStyle name="Normal 6 79 2 3" xfId="13829" xr:uid="{00000000-0005-0000-0000-000004360000}"/>
    <cellStyle name="Normal 6 79 3" xfId="13830" xr:uid="{00000000-0005-0000-0000-000005360000}"/>
    <cellStyle name="Normal 6 79 4" xfId="13831" xr:uid="{00000000-0005-0000-0000-000006360000}"/>
    <cellStyle name="Normal 6 8" xfId="13832" xr:uid="{00000000-0005-0000-0000-000007360000}"/>
    <cellStyle name="Normal 6 8 2" xfId="13833" xr:uid="{00000000-0005-0000-0000-000008360000}"/>
    <cellStyle name="Normal 6 80" xfId="13834" xr:uid="{00000000-0005-0000-0000-000009360000}"/>
    <cellStyle name="Normal 6 80 2" xfId="13835" xr:uid="{00000000-0005-0000-0000-00000A360000}"/>
    <cellStyle name="Normal 6 80 2 2" xfId="13836" xr:uid="{00000000-0005-0000-0000-00000B360000}"/>
    <cellStyle name="Normal 6 80 2 3" xfId="13837" xr:uid="{00000000-0005-0000-0000-00000C360000}"/>
    <cellStyle name="Normal 6 80 3" xfId="13838" xr:uid="{00000000-0005-0000-0000-00000D360000}"/>
    <cellStyle name="Normal 6 80 4" xfId="13839" xr:uid="{00000000-0005-0000-0000-00000E360000}"/>
    <cellStyle name="Normal 6 81" xfId="13840" xr:uid="{00000000-0005-0000-0000-00000F360000}"/>
    <cellStyle name="Normal 6 81 2" xfId="13841" xr:uid="{00000000-0005-0000-0000-000010360000}"/>
    <cellStyle name="Normal 6 81 2 2" xfId="13842" xr:uid="{00000000-0005-0000-0000-000011360000}"/>
    <cellStyle name="Normal 6 81 2 3" xfId="13843" xr:uid="{00000000-0005-0000-0000-000012360000}"/>
    <cellStyle name="Normal 6 81 3" xfId="13844" xr:uid="{00000000-0005-0000-0000-000013360000}"/>
    <cellStyle name="Normal 6 81 4" xfId="13845" xr:uid="{00000000-0005-0000-0000-000014360000}"/>
    <cellStyle name="Normal 6 82" xfId="13846" xr:uid="{00000000-0005-0000-0000-000015360000}"/>
    <cellStyle name="Normal 6 82 2" xfId="13847" xr:uid="{00000000-0005-0000-0000-000016360000}"/>
    <cellStyle name="Normal 6 82 2 2" xfId="13848" xr:uid="{00000000-0005-0000-0000-000017360000}"/>
    <cellStyle name="Normal 6 82 2 3" xfId="13849" xr:uid="{00000000-0005-0000-0000-000018360000}"/>
    <cellStyle name="Normal 6 82 3" xfId="13850" xr:uid="{00000000-0005-0000-0000-000019360000}"/>
    <cellStyle name="Normal 6 82 4" xfId="13851" xr:uid="{00000000-0005-0000-0000-00001A360000}"/>
    <cellStyle name="Normal 6 83" xfId="13852" xr:uid="{00000000-0005-0000-0000-00001B360000}"/>
    <cellStyle name="Normal 6 83 2" xfId="13853" xr:uid="{00000000-0005-0000-0000-00001C360000}"/>
    <cellStyle name="Normal 6 83 2 2" xfId="13854" xr:uid="{00000000-0005-0000-0000-00001D360000}"/>
    <cellStyle name="Normal 6 83 2 3" xfId="13855" xr:uid="{00000000-0005-0000-0000-00001E360000}"/>
    <cellStyle name="Normal 6 83 3" xfId="13856" xr:uid="{00000000-0005-0000-0000-00001F360000}"/>
    <cellStyle name="Normal 6 83 4" xfId="13857" xr:uid="{00000000-0005-0000-0000-000020360000}"/>
    <cellStyle name="Normal 6 84" xfId="13858" xr:uid="{00000000-0005-0000-0000-000021360000}"/>
    <cellStyle name="Normal 6 84 2" xfId="13859" xr:uid="{00000000-0005-0000-0000-000022360000}"/>
    <cellStyle name="Normal 6 84 2 2" xfId="13860" xr:uid="{00000000-0005-0000-0000-000023360000}"/>
    <cellStyle name="Normal 6 84 2 3" xfId="13861" xr:uid="{00000000-0005-0000-0000-000024360000}"/>
    <cellStyle name="Normal 6 84 3" xfId="13862" xr:uid="{00000000-0005-0000-0000-000025360000}"/>
    <cellStyle name="Normal 6 84 4" xfId="13863" xr:uid="{00000000-0005-0000-0000-000026360000}"/>
    <cellStyle name="Normal 6 85" xfId="13864" xr:uid="{00000000-0005-0000-0000-000027360000}"/>
    <cellStyle name="Normal 6 85 2" xfId="13865" xr:uid="{00000000-0005-0000-0000-000028360000}"/>
    <cellStyle name="Normal 6 85 2 2" xfId="13866" xr:uid="{00000000-0005-0000-0000-000029360000}"/>
    <cellStyle name="Normal 6 85 2 3" xfId="13867" xr:uid="{00000000-0005-0000-0000-00002A360000}"/>
    <cellStyle name="Normal 6 85 3" xfId="13868" xr:uid="{00000000-0005-0000-0000-00002B360000}"/>
    <cellStyle name="Normal 6 85 4" xfId="13869" xr:uid="{00000000-0005-0000-0000-00002C360000}"/>
    <cellStyle name="Normal 6 86" xfId="13870" xr:uid="{00000000-0005-0000-0000-00002D360000}"/>
    <cellStyle name="Normal 6 86 2" xfId="13871" xr:uid="{00000000-0005-0000-0000-00002E360000}"/>
    <cellStyle name="Normal 6 86 2 2" xfId="13872" xr:uid="{00000000-0005-0000-0000-00002F360000}"/>
    <cellStyle name="Normal 6 86 2 3" xfId="13873" xr:uid="{00000000-0005-0000-0000-000030360000}"/>
    <cellStyle name="Normal 6 86 3" xfId="13874" xr:uid="{00000000-0005-0000-0000-000031360000}"/>
    <cellStyle name="Normal 6 86 4" xfId="13875" xr:uid="{00000000-0005-0000-0000-000032360000}"/>
    <cellStyle name="Normal 6 87" xfId="13876" xr:uid="{00000000-0005-0000-0000-000033360000}"/>
    <cellStyle name="Normal 6 87 2" xfId="13877" xr:uid="{00000000-0005-0000-0000-000034360000}"/>
    <cellStyle name="Normal 6 87 2 2" xfId="13878" xr:uid="{00000000-0005-0000-0000-000035360000}"/>
    <cellStyle name="Normal 6 87 2 3" xfId="13879" xr:uid="{00000000-0005-0000-0000-000036360000}"/>
    <cellStyle name="Normal 6 87 3" xfId="13880" xr:uid="{00000000-0005-0000-0000-000037360000}"/>
    <cellStyle name="Normal 6 87 4" xfId="13881" xr:uid="{00000000-0005-0000-0000-000038360000}"/>
    <cellStyle name="Normal 6 88" xfId="13882" xr:uid="{00000000-0005-0000-0000-000039360000}"/>
    <cellStyle name="Normal 6 88 2" xfId="13883" xr:uid="{00000000-0005-0000-0000-00003A360000}"/>
    <cellStyle name="Normal 6 88 2 2" xfId="13884" xr:uid="{00000000-0005-0000-0000-00003B360000}"/>
    <cellStyle name="Normal 6 88 2 3" xfId="13885" xr:uid="{00000000-0005-0000-0000-00003C360000}"/>
    <cellStyle name="Normal 6 88 3" xfId="13886" xr:uid="{00000000-0005-0000-0000-00003D360000}"/>
    <cellStyle name="Normal 6 88 4" xfId="13887" xr:uid="{00000000-0005-0000-0000-00003E360000}"/>
    <cellStyle name="Normal 6 89" xfId="13888" xr:uid="{00000000-0005-0000-0000-00003F360000}"/>
    <cellStyle name="Normal 6 89 2" xfId="13889" xr:uid="{00000000-0005-0000-0000-000040360000}"/>
    <cellStyle name="Normal 6 89 2 2" xfId="13890" xr:uid="{00000000-0005-0000-0000-000041360000}"/>
    <cellStyle name="Normal 6 89 2 3" xfId="13891" xr:uid="{00000000-0005-0000-0000-000042360000}"/>
    <cellStyle name="Normal 6 89 3" xfId="13892" xr:uid="{00000000-0005-0000-0000-000043360000}"/>
    <cellStyle name="Normal 6 89 4" xfId="13893" xr:uid="{00000000-0005-0000-0000-000044360000}"/>
    <cellStyle name="Normal 6 9" xfId="13894" xr:uid="{00000000-0005-0000-0000-000045360000}"/>
    <cellStyle name="Normal 6 9 2" xfId="13895" xr:uid="{00000000-0005-0000-0000-000046360000}"/>
    <cellStyle name="Normal 6 90" xfId="13896" xr:uid="{00000000-0005-0000-0000-000047360000}"/>
    <cellStyle name="Normal 6 90 2" xfId="13897" xr:uid="{00000000-0005-0000-0000-000048360000}"/>
    <cellStyle name="Normal 6 90 2 2" xfId="13898" xr:uid="{00000000-0005-0000-0000-000049360000}"/>
    <cellStyle name="Normal 6 90 2 3" xfId="13899" xr:uid="{00000000-0005-0000-0000-00004A360000}"/>
    <cellStyle name="Normal 6 90 3" xfId="13900" xr:uid="{00000000-0005-0000-0000-00004B360000}"/>
    <cellStyle name="Normal 6 90 4" xfId="13901" xr:uid="{00000000-0005-0000-0000-00004C360000}"/>
    <cellStyle name="Normal 6 91" xfId="13902" xr:uid="{00000000-0005-0000-0000-00004D360000}"/>
    <cellStyle name="Normal 6 91 2" xfId="13903" xr:uid="{00000000-0005-0000-0000-00004E360000}"/>
    <cellStyle name="Normal 6 91 2 2" xfId="13904" xr:uid="{00000000-0005-0000-0000-00004F360000}"/>
    <cellStyle name="Normal 6 91 2 3" xfId="13905" xr:uid="{00000000-0005-0000-0000-000050360000}"/>
    <cellStyle name="Normal 6 91 3" xfId="13906" xr:uid="{00000000-0005-0000-0000-000051360000}"/>
    <cellStyle name="Normal 6 91 4" xfId="13907" xr:uid="{00000000-0005-0000-0000-000052360000}"/>
    <cellStyle name="Normal 6 92" xfId="13908" xr:uid="{00000000-0005-0000-0000-000053360000}"/>
    <cellStyle name="Normal 6 92 2" xfId="13909" xr:uid="{00000000-0005-0000-0000-000054360000}"/>
    <cellStyle name="Normal 6 92 2 2" xfId="13910" xr:uid="{00000000-0005-0000-0000-000055360000}"/>
    <cellStyle name="Normal 6 92 2 3" xfId="13911" xr:uid="{00000000-0005-0000-0000-000056360000}"/>
    <cellStyle name="Normal 6 92 3" xfId="13912" xr:uid="{00000000-0005-0000-0000-000057360000}"/>
    <cellStyle name="Normal 6 92 4" xfId="13913" xr:uid="{00000000-0005-0000-0000-000058360000}"/>
    <cellStyle name="Normal 6 93" xfId="13914" xr:uid="{00000000-0005-0000-0000-000059360000}"/>
    <cellStyle name="Normal 6 93 2" xfId="13915" xr:uid="{00000000-0005-0000-0000-00005A360000}"/>
    <cellStyle name="Normal 6 93 2 2" xfId="13916" xr:uid="{00000000-0005-0000-0000-00005B360000}"/>
    <cellStyle name="Normal 6 93 2 3" xfId="13917" xr:uid="{00000000-0005-0000-0000-00005C360000}"/>
    <cellStyle name="Normal 6 93 3" xfId="13918" xr:uid="{00000000-0005-0000-0000-00005D360000}"/>
    <cellStyle name="Normal 6 93 4" xfId="13919" xr:uid="{00000000-0005-0000-0000-00005E360000}"/>
    <cellStyle name="Normal 6 94" xfId="13920" xr:uid="{00000000-0005-0000-0000-00005F360000}"/>
    <cellStyle name="Normal 6 94 2" xfId="13921" xr:uid="{00000000-0005-0000-0000-000060360000}"/>
    <cellStyle name="Normal 6 94 2 2" xfId="13922" xr:uid="{00000000-0005-0000-0000-000061360000}"/>
    <cellStyle name="Normal 6 94 2 3" xfId="13923" xr:uid="{00000000-0005-0000-0000-000062360000}"/>
    <cellStyle name="Normal 6 94 3" xfId="13924" xr:uid="{00000000-0005-0000-0000-000063360000}"/>
    <cellStyle name="Normal 6 94 4" xfId="13925" xr:uid="{00000000-0005-0000-0000-000064360000}"/>
    <cellStyle name="Normal 6 95" xfId="13926" xr:uid="{00000000-0005-0000-0000-000065360000}"/>
    <cellStyle name="Normal 6 95 2" xfId="13927" xr:uid="{00000000-0005-0000-0000-000066360000}"/>
    <cellStyle name="Normal 6 95 2 2" xfId="13928" xr:uid="{00000000-0005-0000-0000-000067360000}"/>
    <cellStyle name="Normal 6 95 2 3" xfId="13929" xr:uid="{00000000-0005-0000-0000-000068360000}"/>
    <cellStyle name="Normal 6 95 3" xfId="13930" xr:uid="{00000000-0005-0000-0000-000069360000}"/>
    <cellStyle name="Normal 6 95 4" xfId="13931" xr:uid="{00000000-0005-0000-0000-00006A360000}"/>
    <cellStyle name="Normal 6 96" xfId="13932" xr:uid="{00000000-0005-0000-0000-00006B360000}"/>
    <cellStyle name="Normal 6 96 2" xfId="13933" xr:uid="{00000000-0005-0000-0000-00006C360000}"/>
    <cellStyle name="Normal 6 96 2 2" xfId="13934" xr:uid="{00000000-0005-0000-0000-00006D360000}"/>
    <cellStyle name="Normal 6 96 2 3" xfId="13935" xr:uid="{00000000-0005-0000-0000-00006E360000}"/>
    <cellStyle name="Normal 6 96 3" xfId="13936" xr:uid="{00000000-0005-0000-0000-00006F360000}"/>
    <cellStyle name="Normal 6 96 4" xfId="13937" xr:uid="{00000000-0005-0000-0000-000070360000}"/>
    <cellStyle name="Normal 6 97" xfId="13938" xr:uid="{00000000-0005-0000-0000-000071360000}"/>
    <cellStyle name="Normal 6 97 2" xfId="13939" xr:uid="{00000000-0005-0000-0000-000072360000}"/>
    <cellStyle name="Normal 6 97 2 2" xfId="13940" xr:uid="{00000000-0005-0000-0000-000073360000}"/>
    <cellStyle name="Normal 6 97 2 3" xfId="13941" xr:uid="{00000000-0005-0000-0000-000074360000}"/>
    <cellStyle name="Normal 6 97 3" xfId="13942" xr:uid="{00000000-0005-0000-0000-000075360000}"/>
    <cellStyle name="Normal 6 97 4" xfId="13943" xr:uid="{00000000-0005-0000-0000-000076360000}"/>
    <cellStyle name="Normal 6 98" xfId="13944" xr:uid="{00000000-0005-0000-0000-000077360000}"/>
    <cellStyle name="Normal 60" xfId="13945" xr:uid="{00000000-0005-0000-0000-000078360000}"/>
    <cellStyle name="Normal 60 10" xfId="13946" xr:uid="{00000000-0005-0000-0000-000079360000}"/>
    <cellStyle name="Normal 60 10 2" xfId="13947" xr:uid="{00000000-0005-0000-0000-00007A360000}"/>
    <cellStyle name="Normal 60 10 2 2" xfId="13948" xr:uid="{00000000-0005-0000-0000-00007B360000}"/>
    <cellStyle name="Normal 60 10 2 3" xfId="13949" xr:uid="{00000000-0005-0000-0000-00007C360000}"/>
    <cellStyle name="Normal 60 10 3" xfId="13950" xr:uid="{00000000-0005-0000-0000-00007D360000}"/>
    <cellStyle name="Normal 60 10 4" xfId="13951" xr:uid="{00000000-0005-0000-0000-00007E360000}"/>
    <cellStyle name="Normal 60 11" xfId="13952" xr:uid="{00000000-0005-0000-0000-00007F360000}"/>
    <cellStyle name="Normal 60 11 2" xfId="13953" xr:uid="{00000000-0005-0000-0000-000080360000}"/>
    <cellStyle name="Normal 60 11 2 2" xfId="13954" xr:uid="{00000000-0005-0000-0000-000081360000}"/>
    <cellStyle name="Normal 60 11 2 3" xfId="13955" xr:uid="{00000000-0005-0000-0000-000082360000}"/>
    <cellStyle name="Normal 60 11 3" xfId="13956" xr:uid="{00000000-0005-0000-0000-000083360000}"/>
    <cellStyle name="Normal 60 11 4" xfId="13957" xr:uid="{00000000-0005-0000-0000-000084360000}"/>
    <cellStyle name="Normal 60 12" xfId="13958" xr:uid="{00000000-0005-0000-0000-000085360000}"/>
    <cellStyle name="Normal 60 12 2" xfId="13959" xr:uid="{00000000-0005-0000-0000-000086360000}"/>
    <cellStyle name="Normal 60 12 2 2" xfId="13960" xr:uid="{00000000-0005-0000-0000-000087360000}"/>
    <cellStyle name="Normal 60 12 2 3" xfId="13961" xr:uid="{00000000-0005-0000-0000-000088360000}"/>
    <cellStyle name="Normal 60 12 3" xfId="13962" xr:uid="{00000000-0005-0000-0000-000089360000}"/>
    <cellStyle name="Normal 60 12 4" xfId="13963" xr:uid="{00000000-0005-0000-0000-00008A360000}"/>
    <cellStyle name="Normal 60 13" xfId="13964" xr:uid="{00000000-0005-0000-0000-00008B360000}"/>
    <cellStyle name="Normal 60 13 2" xfId="13965" xr:uid="{00000000-0005-0000-0000-00008C360000}"/>
    <cellStyle name="Normal 60 13 2 2" xfId="13966" xr:uid="{00000000-0005-0000-0000-00008D360000}"/>
    <cellStyle name="Normal 60 13 2 3" xfId="13967" xr:uid="{00000000-0005-0000-0000-00008E360000}"/>
    <cellStyle name="Normal 60 13 3" xfId="13968" xr:uid="{00000000-0005-0000-0000-00008F360000}"/>
    <cellStyle name="Normal 60 13 4" xfId="13969" xr:uid="{00000000-0005-0000-0000-000090360000}"/>
    <cellStyle name="Normal 60 14" xfId="13970" xr:uid="{00000000-0005-0000-0000-000091360000}"/>
    <cellStyle name="Normal 60 14 2" xfId="13971" xr:uid="{00000000-0005-0000-0000-000092360000}"/>
    <cellStyle name="Normal 60 14 2 2" xfId="13972" xr:uid="{00000000-0005-0000-0000-000093360000}"/>
    <cellStyle name="Normal 60 14 2 3" xfId="13973" xr:uid="{00000000-0005-0000-0000-000094360000}"/>
    <cellStyle name="Normal 60 14 3" xfId="13974" xr:uid="{00000000-0005-0000-0000-000095360000}"/>
    <cellStyle name="Normal 60 14 4" xfId="13975" xr:uid="{00000000-0005-0000-0000-000096360000}"/>
    <cellStyle name="Normal 60 15" xfId="13976" xr:uid="{00000000-0005-0000-0000-000097360000}"/>
    <cellStyle name="Normal 60 15 2" xfId="13977" xr:uid="{00000000-0005-0000-0000-000098360000}"/>
    <cellStyle name="Normal 60 15 2 2" xfId="13978" xr:uid="{00000000-0005-0000-0000-000099360000}"/>
    <cellStyle name="Normal 60 15 2 3" xfId="13979" xr:uid="{00000000-0005-0000-0000-00009A360000}"/>
    <cellStyle name="Normal 60 15 3" xfId="13980" xr:uid="{00000000-0005-0000-0000-00009B360000}"/>
    <cellStyle name="Normal 60 15 4" xfId="13981" xr:uid="{00000000-0005-0000-0000-00009C360000}"/>
    <cellStyle name="Normal 60 16" xfId="13982" xr:uid="{00000000-0005-0000-0000-00009D360000}"/>
    <cellStyle name="Normal 60 16 2" xfId="13983" xr:uid="{00000000-0005-0000-0000-00009E360000}"/>
    <cellStyle name="Normal 60 16 2 2" xfId="13984" xr:uid="{00000000-0005-0000-0000-00009F360000}"/>
    <cellStyle name="Normal 60 16 2 3" xfId="13985" xr:uid="{00000000-0005-0000-0000-0000A0360000}"/>
    <cellStyle name="Normal 60 16 3" xfId="13986" xr:uid="{00000000-0005-0000-0000-0000A1360000}"/>
    <cellStyle name="Normal 60 16 4" xfId="13987" xr:uid="{00000000-0005-0000-0000-0000A2360000}"/>
    <cellStyle name="Normal 60 17" xfId="13988" xr:uid="{00000000-0005-0000-0000-0000A3360000}"/>
    <cellStyle name="Normal 60 17 2" xfId="13989" xr:uid="{00000000-0005-0000-0000-0000A4360000}"/>
    <cellStyle name="Normal 60 17 2 2" xfId="13990" xr:uid="{00000000-0005-0000-0000-0000A5360000}"/>
    <cellStyle name="Normal 60 17 2 3" xfId="13991" xr:uid="{00000000-0005-0000-0000-0000A6360000}"/>
    <cellStyle name="Normal 60 17 3" xfId="13992" xr:uid="{00000000-0005-0000-0000-0000A7360000}"/>
    <cellStyle name="Normal 60 17 4" xfId="13993" xr:uid="{00000000-0005-0000-0000-0000A8360000}"/>
    <cellStyle name="Normal 60 18" xfId="13994" xr:uid="{00000000-0005-0000-0000-0000A9360000}"/>
    <cellStyle name="Normal 60 18 2" xfId="13995" xr:uid="{00000000-0005-0000-0000-0000AA360000}"/>
    <cellStyle name="Normal 60 18 2 2" xfId="13996" xr:uid="{00000000-0005-0000-0000-0000AB360000}"/>
    <cellStyle name="Normal 60 18 2 3" xfId="13997" xr:uid="{00000000-0005-0000-0000-0000AC360000}"/>
    <cellStyle name="Normal 60 18 3" xfId="13998" xr:uid="{00000000-0005-0000-0000-0000AD360000}"/>
    <cellStyle name="Normal 60 18 4" xfId="13999" xr:uid="{00000000-0005-0000-0000-0000AE360000}"/>
    <cellStyle name="Normal 60 19" xfId="14000" xr:uid="{00000000-0005-0000-0000-0000AF360000}"/>
    <cellStyle name="Normal 60 19 2" xfId="14001" xr:uid="{00000000-0005-0000-0000-0000B0360000}"/>
    <cellStyle name="Normal 60 19 2 2" xfId="14002" xr:uid="{00000000-0005-0000-0000-0000B1360000}"/>
    <cellStyle name="Normal 60 19 2 3" xfId="14003" xr:uid="{00000000-0005-0000-0000-0000B2360000}"/>
    <cellStyle name="Normal 60 19 3" xfId="14004" xr:uid="{00000000-0005-0000-0000-0000B3360000}"/>
    <cellStyle name="Normal 60 19 4" xfId="14005" xr:uid="{00000000-0005-0000-0000-0000B4360000}"/>
    <cellStyle name="Normal 60 2" xfId="14006" xr:uid="{00000000-0005-0000-0000-0000B5360000}"/>
    <cellStyle name="Normal 60 2 2" xfId="14007" xr:uid="{00000000-0005-0000-0000-0000B6360000}"/>
    <cellStyle name="Normal 60 2 2 2" xfId="14008" xr:uid="{00000000-0005-0000-0000-0000B7360000}"/>
    <cellStyle name="Normal 60 2 2 3" xfId="14009" xr:uid="{00000000-0005-0000-0000-0000B8360000}"/>
    <cellStyle name="Normal 60 2 3" xfId="14010" xr:uid="{00000000-0005-0000-0000-0000B9360000}"/>
    <cellStyle name="Normal 60 2 4" xfId="14011" xr:uid="{00000000-0005-0000-0000-0000BA360000}"/>
    <cellStyle name="Normal 60 20" xfId="14012" xr:uid="{00000000-0005-0000-0000-0000BB360000}"/>
    <cellStyle name="Normal 60 20 2" xfId="14013" xr:uid="{00000000-0005-0000-0000-0000BC360000}"/>
    <cellStyle name="Normal 60 20 2 2" xfId="14014" xr:uid="{00000000-0005-0000-0000-0000BD360000}"/>
    <cellStyle name="Normal 60 20 2 3" xfId="14015" xr:uid="{00000000-0005-0000-0000-0000BE360000}"/>
    <cellStyle name="Normal 60 20 3" xfId="14016" xr:uid="{00000000-0005-0000-0000-0000BF360000}"/>
    <cellStyle name="Normal 60 20 4" xfId="14017" xr:uid="{00000000-0005-0000-0000-0000C0360000}"/>
    <cellStyle name="Normal 60 21" xfId="14018" xr:uid="{00000000-0005-0000-0000-0000C1360000}"/>
    <cellStyle name="Normal 60 21 2" xfId="14019" xr:uid="{00000000-0005-0000-0000-0000C2360000}"/>
    <cellStyle name="Normal 60 21 2 2" xfId="14020" xr:uid="{00000000-0005-0000-0000-0000C3360000}"/>
    <cellStyle name="Normal 60 21 2 3" xfId="14021" xr:uid="{00000000-0005-0000-0000-0000C4360000}"/>
    <cellStyle name="Normal 60 21 3" xfId="14022" xr:uid="{00000000-0005-0000-0000-0000C5360000}"/>
    <cellStyle name="Normal 60 21 4" xfId="14023" xr:uid="{00000000-0005-0000-0000-0000C6360000}"/>
    <cellStyle name="Normal 60 22" xfId="14024" xr:uid="{00000000-0005-0000-0000-0000C7360000}"/>
    <cellStyle name="Normal 60 22 2" xfId="14025" xr:uid="{00000000-0005-0000-0000-0000C8360000}"/>
    <cellStyle name="Normal 60 22 2 2" xfId="14026" xr:uid="{00000000-0005-0000-0000-0000C9360000}"/>
    <cellStyle name="Normal 60 22 2 3" xfId="14027" xr:uid="{00000000-0005-0000-0000-0000CA360000}"/>
    <cellStyle name="Normal 60 22 3" xfId="14028" xr:uid="{00000000-0005-0000-0000-0000CB360000}"/>
    <cellStyle name="Normal 60 22 4" xfId="14029" xr:uid="{00000000-0005-0000-0000-0000CC360000}"/>
    <cellStyle name="Normal 60 23" xfId="14030" xr:uid="{00000000-0005-0000-0000-0000CD360000}"/>
    <cellStyle name="Normal 60 23 2" xfId="14031" xr:uid="{00000000-0005-0000-0000-0000CE360000}"/>
    <cellStyle name="Normal 60 23 2 2" xfId="14032" xr:uid="{00000000-0005-0000-0000-0000CF360000}"/>
    <cellStyle name="Normal 60 23 2 3" xfId="14033" xr:uid="{00000000-0005-0000-0000-0000D0360000}"/>
    <cellStyle name="Normal 60 23 3" xfId="14034" xr:uid="{00000000-0005-0000-0000-0000D1360000}"/>
    <cellStyle name="Normal 60 23 4" xfId="14035" xr:uid="{00000000-0005-0000-0000-0000D2360000}"/>
    <cellStyle name="Normal 60 24" xfId="14036" xr:uid="{00000000-0005-0000-0000-0000D3360000}"/>
    <cellStyle name="Normal 60 24 2" xfId="14037" xr:uid="{00000000-0005-0000-0000-0000D4360000}"/>
    <cellStyle name="Normal 60 24 3" xfId="14038" xr:uid="{00000000-0005-0000-0000-0000D5360000}"/>
    <cellStyle name="Normal 60 25" xfId="14039" xr:uid="{00000000-0005-0000-0000-0000D6360000}"/>
    <cellStyle name="Normal 60 26" xfId="14040" xr:uid="{00000000-0005-0000-0000-0000D7360000}"/>
    <cellStyle name="Normal 60 3" xfId="14041" xr:uid="{00000000-0005-0000-0000-0000D8360000}"/>
    <cellStyle name="Normal 60 3 2" xfId="14042" xr:uid="{00000000-0005-0000-0000-0000D9360000}"/>
    <cellStyle name="Normal 60 3 2 2" xfId="14043" xr:uid="{00000000-0005-0000-0000-0000DA360000}"/>
    <cellStyle name="Normal 60 3 2 3" xfId="14044" xr:uid="{00000000-0005-0000-0000-0000DB360000}"/>
    <cellStyle name="Normal 60 3 3" xfId="14045" xr:uid="{00000000-0005-0000-0000-0000DC360000}"/>
    <cellStyle name="Normal 60 3 4" xfId="14046" xr:uid="{00000000-0005-0000-0000-0000DD360000}"/>
    <cellStyle name="Normal 60 4" xfId="14047" xr:uid="{00000000-0005-0000-0000-0000DE360000}"/>
    <cellStyle name="Normal 60 4 2" xfId="14048" xr:uid="{00000000-0005-0000-0000-0000DF360000}"/>
    <cellStyle name="Normal 60 4 2 2" xfId="14049" xr:uid="{00000000-0005-0000-0000-0000E0360000}"/>
    <cellStyle name="Normal 60 4 2 3" xfId="14050" xr:uid="{00000000-0005-0000-0000-0000E1360000}"/>
    <cellStyle name="Normal 60 4 3" xfId="14051" xr:uid="{00000000-0005-0000-0000-0000E2360000}"/>
    <cellStyle name="Normal 60 4 4" xfId="14052" xr:uid="{00000000-0005-0000-0000-0000E3360000}"/>
    <cellStyle name="Normal 60 5" xfId="14053" xr:uid="{00000000-0005-0000-0000-0000E4360000}"/>
    <cellStyle name="Normal 60 5 2" xfId="14054" xr:uid="{00000000-0005-0000-0000-0000E5360000}"/>
    <cellStyle name="Normal 60 5 2 2" xfId="14055" xr:uid="{00000000-0005-0000-0000-0000E6360000}"/>
    <cellStyle name="Normal 60 5 2 3" xfId="14056" xr:uid="{00000000-0005-0000-0000-0000E7360000}"/>
    <cellStyle name="Normal 60 5 3" xfId="14057" xr:uid="{00000000-0005-0000-0000-0000E8360000}"/>
    <cellStyle name="Normal 60 5 4" xfId="14058" xr:uid="{00000000-0005-0000-0000-0000E9360000}"/>
    <cellStyle name="Normal 60 6" xfId="14059" xr:uid="{00000000-0005-0000-0000-0000EA360000}"/>
    <cellStyle name="Normal 60 6 2" xfId="14060" xr:uid="{00000000-0005-0000-0000-0000EB360000}"/>
    <cellStyle name="Normal 60 6 2 2" xfId="14061" xr:uid="{00000000-0005-0000-0000-0000EC360000}"/>
    <cellStyle name="Normal 60 6 2 3" xfId="14062" xr:uid="{00000000-0005-0000-0000-0000ED360000}"/>
    <cellStyle name="Normal 60 6 3" xfId="14063" xr:uid="{00000000-0005-0000-0000-0000EE360000}"/>
    <cellStyle name="Normal 60 6 4" xfId="14064" xr:uid="{00000000-0005-0000-0000-0000EF360000}"/>
    <cellStyle name="Normal 60 7" xfId="14065" xr:uid="{00000000-0005-0000-0000-0000F0360000}"/>
    <cellStyle name="Normal 60 7 2" xfId="14066" xr:uid="{00000000-0005-0000-0000-0000F1360000}"/>
    <cellStyle name="Normal 60 7 2 2" xfId="14067" xr:uid="{00000000-0005-0000-0000-0000F2360000}"/>
    <cellStyle name="Normal 60 7 2 3" xfId="14068" xr:uid="{00000000-0005-0000-0000-0000F3360000}"/>
    <cellStyle name="Normal 60 7 3" xfId="14069" xr:uid="{00000000-0005-0000-0000-0000F4360000}"/>
    <cellStyle name="Normal 60 7 4" xfId="14070" xr:uid="{00000000-0005-0000-0000-0000F5360000}"/>
    <cellStyle name="Normal 60 8" xfId="14071" xr:uid="{00000000-0005-0000-0000-0000F6360000}"/>
    <cellStyle name="Normal 60 8 2" xfId="14072" xr:uid="{00000000-0005-0000-0000-0000F7360000}"/>
    <cellStyle name="Normal 60 8 2 2" xfId="14073" xr:uid="{00000000-0005-0000-0000-0000F8360000}"/>
    <cellStyle name="Normal 60 8 2 3" xfId="14074" xr:uid="{00000000-0005-0000-0000-0000F9360000}"/>
    <cellStyle name="Normal 60 8 3" xfId="14075" xr:uid="{00000000-0005-0000-0000-0000FA360000}"/>
    <cellStyle name="Normal 60 8 4" xfId="14076" xr:uid="{00000000-0005-0000-0000-0000FB360000}"/>
    <cellStyle name="Normal 60 9" xfId="14077" xr:uid="{00000000-0005-0000-0000-0000FC360000}"/>
    <cellStyle name="Normal 60 9 2" xfId="14078" xr:uid="{00000000-0005-0000-0000-0000FD360000}"/>
    <cellStyle name="Normal 60 9 2 2" xfId="14079" xr:uid="{00000000-0005-0000-0000-0000FE360000}"/>
    <cellStyle name="Normal 60 9 2 3" xfId="14080" xr:uid="{00000000-0005-0000-0000-0000FF360000}"/>
    <cellStyle name="Normal 60 9 3" xfId="14081" xr:uid="{00000000-0005-0000-0000-000000370000}"/>
    <cellStyle name="Normal 60 9 4" xfId="14082" xr:uid="{00000000-0005-0000-0000-000001370000}"/>
    <cellStyle name="Normal 61" xfId="14083" xr:uid="{00000000-0005-0000-0000-000002370000}"/>
    <cellStyle name="Normal 61 2" xfId="14084" xr:uid="{00000000-0005-0000-0000-000003370000}"/>
    <cellStyle name="Normal 61 2 2" xfId="14085" xr:uid="{00000000-0005-0000-0000-000004370000}"/>
    <cellStyle name="Normal 61 2 3" xfId="14086" xr:uid="{00000000-0005-0000-0000-000005370000}"/>
    <cellStyle name="Normal 61 3" xfId="14087" xr:uid="{00000000-0005-0000-0000-000006370000}"/>
    <cellStyle name="Normal 61 4" xfId="14088" xr:uid="{00000000-0005-0000-0000-000007370000}"/>
    <cellStyle name="Normal 62" xfId="14089" xr:uid="{00000000-0005-0000-0000-000008370000}"/>
    <cellStyle name="Normal 62 2" xfId="14090" xr:uid="{00000000-0005-0000-0000-000009370000}"/>
    <cellStyle name="Normal 62 2 2" xfId="14091" xr:uid="{00000000-0005-0000-0000-00000A370000}"/>
    <cellStyle name="Normal 62 2 3" xfId="14092" xr:uid="{00000000-0005-0000-0000-00000B370000}"/>
    <cellStyle name="Normal 62 3" xfId="14093" xr:uid="{00000000-0005-0000-0000-00000C370000}"/>
    <cellStyle name="Normal 62 4" xfId="14094" xr:uid="{00000000-0005-0000-0000-00000D370000}"/>
    <cellStyle name="Normal 63" xfId="14095" xr:uid="{00000000-0005-0000-0000-00000E370000}"/>
    <cellStyle name="Normal 63 2" xfId="14096" xr:uid="{00000000-0005-0000-0000-00000F370000}"/>
    <cellStyle name="Normal 63 2 2" xfId="14097" xr:uid="{00000000-0005-0000-0000-000010370000}"/>
    <cellStyle name="Normal 63 2 3" xfId="14098" xr:uid="{00000000-0005-0000-0000-000011370000}"/>
    <cellStyle name="Normal 63 3" xfId="14099" xr:uid="{00000000-0005-0000-0000-000012370000}"/>
    <cellStyle name="Normal 63 4" xfId="14100" xr:uid="{00000000-0005-0000-0000-000013370000}"/>
    <cellStyle name="Normal 64" xfId="14101" xr:uid="{00000000-0005-0000-0000-000014370000}"/>
    <cellStyle name="Normal 64 2" xfId="14102" xr:uid="{00000000-0005-0000-0000-000015370000}"/>
    <cellStyle name="Normal 64 2 2" xfId="14103" xr:uid="{00000000-0005-0000-0000-000016370000}"/>
    <cellStyle name="Normal 64 2 3" xfId="14104" xr:uid="{00000000-0005-0000-0000-000017370000}"/>
    <cellStyle name="Normal 64 3" xfId="14105" xr:uid="{00000000-0005-0000-0000-000018370000}"/>
    <cellStyle name="Normal 64 4" xfId="14106" xr:uid="{00000000-0005-0000-0000-000019370000}"/>
    <cellStyle name="Normal 65" xfId="14107" xr:uid="{00000000-0005-0000-0000-00001A370000}"/>
    <cellStyle name="Normal 65 2" xfId="14108" xr:uid="{00000000-0005-0000-0000-00001B370000}"/>
    <cellStyle name="Normal 65 2 2" xfId="14109" xr:uid="{00000000-0005-0000-0000-00001C370000}"/>
    <cellStyle name="Normal 65 2 3" xfId="14110" xr:uid="{00000000-0005-0000-0000-00001D370000}"/>
    <cellStyle name="Normal 65 3" xfId="14111" xr:uid="{00000000-0005-0000-0000-00001E370000}"/>
    <cellStyle name="Normal 65 4" xfId="14112" xr:uid="{00000000-0005-0000-0000-00001F370000}"/>
    <cellStyle name="Normal 66" xfId="14113" xr:uid="{00000000-0005-0000-0000-000020370000}"/>
    <cellStyle name="Normal 66 2" xfId="14114" xr:uid="{00000000-0005-0000-0000-000021370000}"/>
    <cellStyle name="Normal 66 2 2" xfId="14115" xr:uid="{00000000-0005-0000-0000-000022370000}"/>
    <cellStyle name="Normal 66 2 3" xfId="14116" xr:uid="{00000000-0005-0000-0000-000023370000}"/>
    <cellStyle name="Normal 66 3" xfId="14117" xr:uid="{00000000-0005-0000-0000-000024370000}"/>
    <cellStyle name="Normal 66 4" xfId="14118" xr:uid="{00000000-0005-0000-0000-000025370000}"/>
    <cellStyle name="Normal 67" xfId="14119" xr:uid="{00000000-0005-0000-0000-000026370000}"/>
    <cellStyle name="Normal 67 2" xfId="14120" xr:uid="{00000000-0005-0000-0000-000027370000}"/>
    <cellStyle name="Normal 67 2 2" xfId="14121" xr:uid="{00000000-0005-0000-0000-000028370000}"/>
    <cellStyle name="Normal 67 2 3" xfId="14122" xr:uid="{00000000-0005-0000-0000-000029370000}"/>
    <cellStyle name="Normal 67 3" xfId="14123" xr:uid="{00000000-0005-0000-0000-00002A370000}"/>
    <cellStyle name="Normal 67 4" xfId="14124" xr:uid="{00000000-0005-0000-0000-00002B370000}"/>
    <cellStyle name="Normal 68" xfId="14125" xr:uid="{00000000-0005-0000-0000-00002C370000}"/>
    <cellStyle name="Normal 69" xfId="14126" xr:uid="{00000000-0005-0000-0000-00002D370000}"/>
    <cellStyle name="Normal 69 2" xfId="14127" xr:uid="{00000000-0005-0000-0000-00002E370000}"/>
    <cellStyle name="Normal 7" xfId="14128" xr:uid="{00000000-0005-0000-0000-00002F370000}"/>
    <cellStyle name="Normal 7 10" xfId="14129" xr:uid="{00000000-0005-0000-0000-000030370000}"/>
    <cellStyle name="Normal 7 10 2" xfId="14130" xr:uid="{00000000-0005-0000-0000-000031370000}"/>
    <cellStyle name="Normal 7 11" xfId="14131" xr:uid="{00000000-0005-0000-0000-000032370000}"/>
    <cellStyle name="Normal 7 11 2" xfId="14132" xr:uid="{00000000-0005-0000-0000-000033370000}"/>
    <cellStyle name="Normal 7 12" xfId="14133" xr:uid="{00000000-0005-0000-0000-000034370000}"/>
    <cellStyle name="Normal 7 12 2" xfId="14134" xr:uid="{00000000-0005-0000-0000-000035370000}"/>
    <cellStyle name="Normal 7 12 3" xfId="14135" xr:uid="{00000000-0005-0000-0000-000036370000}"/>
    <cellStyle name="Normal 7 13" xfId="14136" xr:uid="{00000000-0005-0000-0000-000037370000}"/>
    <cellStyle name="Normal 7 13 2" xfId="14137" xr:uid="{00000000-0005-0000-0000-000038370000}"/>
    <cellStyle name="Normal 7 14" xfId="14138" xr:uid="{00000000-0005-0000-0000-000039370000}"/>
    <cellStyle name="Normal 7 14 2" xfId="14139" xr:uid="{00000000-0005-0000-0000-00003A370000}"/>
    <cellStyle name="Normal 7 14 3" xfId="14140" xr:uid="{00000000-0005-0000-0000-00003B370000}"/>
    <cellStyle name="Normal 7 14 4" xfId="14141" xr:uid="{00000000-0005-0000-0000-00003C370000}"/>
    <cellStyle name="Normal 7 15" xfId="14142" xr:uid="{00000000-0005-0000-0000-00003D370000}"/>
    <cellStyle name="Normal 7 15 2" xfId="14143" xr:uid="{00000000-0005-0000-0000-00003E370000}"/>
    <cellStyle name="Normal 7 15 2 2" xfId="14144" xr:uid="{00000000-0005-0000-0000-00003F370000}"/>
    <cellStyle name="Normal 7 15 2 2 2" xfId="14145" xr:uid="{00000000-0005-0000-0000-000040370000}"/>
    <cellStyle name="Normal 7 15 2 2 3" xfId="14146" xr:uid="{00000000-0005-0000-0000-000041370000}"/>
    <cellStyle name="Normal 7 15 2 3" xfId="14147" xr:uid="{00000000-0005-0000-0000-000042370000}"/>
    <cellStyle name="Normal 7 15 2 4" xfId="14148" xr:uid="{00000000-0005-0000-0000-000043370000}"/>
    <cellStyle name="Normal 7 16" xfId="14149" xr:uid="{00000000-0005-0000-0000-000044370000}"/>
    <cellStyle name="Normal 7 16 2" xfId="14150" xr:uid="{00000000-0005-0000-0000-000045370000}"/>
    <cellStyle name="Normal 7 16 2 2" xfId="14151" xr:uid="{00000000-0005-0000-0000-000046370000}"/>
    <cellStyle name="Normal 7 16 2 2 2" xfId="14152" xr:uid="{00000000-0005-0000-0000-000047370000}"/>
    <cellStyle name="Normal 7 16 2 2 3" xfId="14153" xr:uid="{00000000-0005-0000-0000-000048370000}"/>
    <cellStyle name="Normal 7 16 2 3" xfId="14154" xr:uid="{00000000-0005-0000-0000-000049370000}"/>
    <cellStyle name="Normal 7 16 2 4" xfId="14155" xr:uid="{00000000-0005-0000-0000-00004A370000}"/>
    <cellStyle name="Normal 7 17" xfId="14156" xr:uid="{00000000-0005-0000-0000-00004B370000}"/>
    <cellStyle name="Normal 7 17 2" xfId="14157" xr:uid="{00000000-0005-0000-0000-00004C370000}"/>
    <cellStyle name="Normal 7 17 2 2" xfId="14158" xr:uid="{00000000-0005-0000-0000-00004D370000}"/>
    <cellStyle name="Normal 7 17 2 3" xfId="14159" xr:uid="{00000000-0005-0000-0000-00004E370000}"/>
    <cellStyle name="Normal 7 17 3" xfId="14160" xr:uid="{00000000-0005-0000-0000-00004F370000}"/>
    <cellStyle name="Normal 7 17 4" xfId="14161" xr:uid="{00000000-0005-0000-0000-000050370000}"/>
    <cellStyle name="Normal 7 18" xfId="14162" xr:uid="{00000000-0005-0000-0000-000051370000}"/>
    <cellStyle name="Normal 7 18 2" xfId="14163" xr:uid="{00000000-0005-0000-0000-000052370000}"/>
    <cellStyle name="Normal 7 18 2 2" xfId="14164" xr:uid="{00000000-0005-0000-0000-000053370000}"/>
    <cellStyle name="Normal 7 18 2 3" xfId="14165" xr:uid="{00000000-0005-0000-0000-000054370000}"/>
    <cellStyle name="Normal 7 18 3" xfId="14166" xr:uid="{00000000-0005-0000-0000-000055370000}"/>
    <cellStyle name="Normal 7 18 4" xfId="14167" xr:uid="{00000000-0005-0000-0000-000056370000}"/>
    <cellStyle name="Normal 7 19" xfId="14168" xr:uid="{00000000-0005-0000-0000-000057370000}"/>
    <cellStyle name="Normal 7 19 2" xfId="14169" xr:uid="{00000000-0005-0000-0000-000058370000}"/>
    <cellStyle name="Normal 7 19 2 2" xfId="14170" xr:uid="{00000000-0005-0000-0000-000059370000}"/>
    <cellStyle name="Normal 7 19 2 3" xfId="14171" xr:uid="{00000000-0005-0000-0000-00005A370000}"/>
    <cellStyle name="Normal 7 19 3" xfId="14172" xr:uid="{00000000-0005-0000-0000-00005B370000}"/>
    <cellStyle name="Normal 7 19 4" xfId="14173" xr:uid="{00000000-0005-0000-0000-00005C370000}"/>
    <cellStyle name="Normal 7 2" xfId="14174" xr:uid="{00000000-0005-0000-0000-00005D370000}"/>
    <cellStyle name="Normal 7 2 2" xfId="14175" xr:uid="{00000000-0005-0000-0000-00005E370000}"/>
    <cellStyle name="Normal 7 2 2 2" xfId="14176" xr:uid="{00000000-0005-0000-0000-00005F370000}"/>
    <cellStyle name="Normal 7 2 3" xfId="14177" xr:uid="{00000000-0005-0000-0000-000060370000}"/>
    <cellStyle name="Normal 7 2 3 2" xfId="14178" xr:uid="{00000000-0005-0000-0000-000061370000}"/>
    <cellStyle name="Normal 7 2 4" xfId="14179" xr:uid="{00000000-0005-0000-0000-000062370000}"/>
    <cellStyle name="Normal 7 20" xfId="14180" xr:uid="{00000000-0005-0000-0000-000063370000}"/>
    <cellStyle name="Normal 7 20 2" xfId="14181" xr:uid="{00000000-0005-0000-0000-000064370000}"/>
    <cellStyle name="Normal 7 20 2 2" xfId="14182" xr:uid="{00000000-0005-0000-0000-000065370000}"/>
    <cellStyle name="Normal 7 20 2 3" xfId="14183" xr:uid="{00000000-0005-0000-0000-000066370000}"/>
    <cellStyle name="Normal 7 20 3" xfId="14184" xr:uid="{00000000-0005-0000-0000-000067370000}"/>
    <cellStyle name="Normal 7 20 4" xfId="14185" xr:uid="{00000000-0005-0000-0000-000068370000}"/>
    <cellStyle name="Normal 7 21" xfId="14186" xr:uid="{00000000-0005-0000-0000-000069370000}"/>
    <cellStyle name="Normal 7 21 2" xfId="14187" xr:uid="{00000000-0005-0000-0000-00006A370000}"/>
    <cellStyle name="Normal 7 21 2 2" xfId="14188" xr:uid="{00000000-0005-0000-0000-00006B370000}"/>
    <cellStyle name="Normal 7 21 2 3" xfId="14189" xr:uid="{00000000-0005-0000-0000-00006C370000}"/>
    <cellStyle name="Normal 7 21 3" xfId="14190" xr:uid="{00000000-0005-0000-0000-00006D370000}"/>
    <cellStyle name="Normal 7 21 4" xfId="14191" xr:uid="{00000000-0005-0000-0000-00006E370000}"/>
    <cellStyle name="Normal 7 22" xfId="14192" xr:uid="{00000000-0005-0000-0000-00006F370000}"/>
    <cellStyle name="Normal 7 22 2" xfId="14193" xr:uid="{00000000-0005-0000-0000-000070370000}"/>
    <cellStyle name="Normal 7 22 2 2" xfId="14194" xr:uid="{00000000-0005-0000-0000-000071370000}"/>
    <cellStyle name="Normal 7 22 2 3" xfId="14195" xr:uid="{00000000-0005-0000-0000-000072370000}"/>
    <cellStyle name="Normal 7 22 3" xfId="14196" xr:uid="{00000000-0005-0000-0000-000073370000}"/>
    <cellStyle name="Normal 7 22 4" xfId="14197" xr:uid="{00000000-0005-0000-0000-000074370000}"/>
    <cellStyle name="Normal 7 23" xfId="14198" xr:uid="{00000000-0005-0000-0000-000075370000}"/>
    <cellStyle name="Normal 7 23 2" xfId="14199" xr:uid="{00000000-0005-0000-0000-000076370000}"/>
    <cellStyle name="Normal 7 23 2 2" xfId="14200" xr:uid="{00000000-0005-0000-0000-000077370000}"/>
    <cellStyle name="Normal 7 23 2 3" xfId="14201" xr:uid="{00000000-0005-0000-0000-000078370000}"/>
    <cellStyle name="Normal 7 23 3" xfId="14202" xr:uid="{00000000-0005-0000-0000-000079370000}"/>
    <cellStyle name="Normal 7 23 4" xfId="14203" xr:uid="{00000000-0005-0000-0000-00007A370000}"/>
    <cellStyle name="Normal 7 24" xfId="14204" xr:uid="{00000000-0005-0000-0000-00007B370000}"/>
    <cellStyle name="Normal 7 24 2" xfId="14205" xr:uid="{00000000-0005-0000-0000-00007C370000}"/>
    <cellStyle name="Normal 7 24 2 2" xfId="14206" xr:uid="{00000000-0005-0000-0000-00007D370000}"/>
    <cellStyle name="Normal 7 24 2 3" xfId="14207" xr:uid="{00000000-0005-0000-0000-00007E370000}"/>
    <cellStyle name="Normal 7 24 3" xfId="14208" xr:uid="{00000000-0005-0000-0000-00007F370000}"/>
    <cellStyle name="Normal 7 24 4" xfId="14209" xr:uid="{00000000-0005-0000-0000-000080370000}"/>
    <cellStyle name="Normal 7 25" xfId="14210" xr:uid="{00000000-0005-0000-0000-000081370000}"/>
    <cellStyle name="Normal 7 25 2" xfId="14211" xr:uid="{00000000-0005-0000-0000-000082370000}"/>
    <cellStyle name="Normal 7 25 2 2" xfId="14212" xr:uid="{00000000-0005-0000-0000-000083370000}"/>
    <cellStyle name="Normal 7 25 2 3" xfId="14213" xr:uid="{00000000-0005-0000-0000-000084370000}"/>
    <cellStyle name="Normal 7 25 3" xfId="14214" xr:uid="{00000000-0005-0000-0000-000085370000}"/>
    <cellStyle name="Normal 7 25 4" xfId="14215" xr:uid="{00000000-0005-0000-0000-000086370000}"/>
    <cellStyle name="Normal 7 26" xfId="14216" xr:uid="{00000000-0005-0000-0000-000087370000}"/>
    <cellStyle name="Normal 7 26 2" xfId="14217" xr:uid="{00000000-0005-0000-0000-000088370000}"/>
    <cellStyle name="Normal 7 26 2 2" xfId="14218" xr:uid="{00000000-0005-0000-0000-000089370000}"/>
    <cellStyle name="Normal 7 26 2 3" xfId="14219" xr:uid="{00000000-0005-0000-0000-00008A370000}"/>
    <cellStyle name="Normal 7 26 3" xfId="14220" xr:uid="{00000000-0005-0000-0000-00008B370000}"/>
    <cellStyle name="Normal 7 26 4" xfId="14221" xr:uid="{00000000-0005-0000-0000-00008C370000}"/>
    <cellStyle name="Normal 7 27" xfId="14222" xr:uid="{00000000-0005-0000-0000-00008D370000}"/>
    <cellStyle name="Normal 7 27 2" xfId="14223" xr:uid="{00000000-0005-0000-0000-00008E370000}"/>
    <cellStyle name="Normal 7 27 2 2" xfId="14224" xr:uid="{00000000-0005-0000-0000-00008F370000}"/>
    <cellStyle name="Normal 7 27 2 3" xfId="14225" xr:uid="{00000000-0005-0000-0000-000090370000}"/>
    <cellStyle name="Normal 7 27 3" xfId="14226" xr:uid="{00000000-0005-0000-0000-000091370000}"/>
    <cellStyle name="Normal 7 27 4" xfId="14227" xr:uid="{00000000-0005-0000-0000-000092370000}"/>
    <cellStyle name="Normal 7 28" xfId="14228" xr:uid="{00000000-0005-0000-0000-000093370000}"/>
    <cellStyle name="Normal 7 28 2" xfId="14229" xr:uid="{00000000-0005-0000-0000-000094370000}"/>
    <cellStyle name="Normal 7 28 2 2" xfId="14230" xr:uid="{00000000-0005-0000-0000-000095370000}"/>
    <cellStyle name="Normal 7 28 2 3" xfId="14231" xr:uid="{00000000-0005-0000-0000-000096370000}"/>
    <cellStyle name="Normal 7 28 3" xfId="14232" xr:uid="{00000000-0005-0000-0000-000097370000}"/>
    <cellStyle name="Normal 7 28 4" xfId="14233" xr:uid="{00000000-0005-0000-0000-000098370000}"/>
    <cellStyle name="Normal 7 29" xfId="14234" xr:uid="{00000000-0005-0000-0000-000099370000}"/>
    <cellStyle name="Normal 7 29 2" xfId="14235" xr:uid="{00000000-0005-0000-0000-00009A370000}"/>
    <cellStyle name="Normal 7 29 2 2" xfId="14236" xr:uid="{00000000-0005-0000-0000-00009B370000}"/>
    <cellStyle name="Normal 7 29 2 3" xfId="14237" xr:uid="{00000000-0005-0000-0000-00009C370000}"/>
    <cellStyle name="Normal 7 29 3" xfId="14238" xr:uid="{00000000-0005-0000-0000-00009D370000}"/>
    <cellStyle name="Normal 7 29 4" xfId="14239" xr:uid="{00000000-0005-0000-0000-00009E370000}"/>
    <cellStyle name="Normal 7 3" xfId="14240" xr:uid="{00000000-0005-0000-0000-00009F370000}"/>
    <cellStyle name="Normal 7 3 2" xfId="14241" xr:uid="{00000000-0005-0000-0000-0000A0370000}"/>
    <cellStyle name="Normal 7 3 2 2" xfId="14242" xr:uid="{00000000-0005-0000-0000-0000A1370000}"/>
    <cellStyle name="Normal 7 3 3" xfId="14243" xr:uid="{00000000-0005-0000-0000-0000A2370000}"/>
    <cellStyle name="Normal 7 3 3 2" xfId="14244" xr:uid="{00000000-0005-0000-0000-0000A3370000}"/>
    <cellStyle name="Normal 7 3 4" xfId="14245" xr:uid="{00000000-0005-0000-0000-0000A4370000}"/>
    <cellStyle name="Normal 7 30" xfId="14246" xr:uid="{00000000-0005-0000-0000-0000A5370000}"/>
    <cellStyle name="Normal 7 30 2" xfId="14247" xr:uid="{00000000-0005-0000-0000-0000A6370000}"/>
    <cellStyle name="Normal 7 30 2 2" xfId="14248" xr:uid="{00000000-0005-0000-0000-0000A7370000}"/>
    <cellStyle name="Normal 7 30 2 3" xfId="14249" xr:uid="{00000000-0005-0000-0000-0000A8370000}"/>
    <cellStyle name="Normal 7 30 3" xfId="14250" xr:uid="{00000000-0005-0000-0000-0000A9370000}"/>
    <cellStyle name="Normal 7 30 4" xfId="14251" xr:uid="{00000000-0005-0000-0000-0000AA370000}"/>
    <cellStyle name="Normal 7 31" xfId="14252" xr:uid="{00000000-0005-0000-0000-0000AB370000}"/>
    <cellStyle name="Normal 7 31 2" xfId="14253" xr:uid="{00000000-0005-0000-0000-0000AC370000}"/>
    <cellStyle name="Normal 7 31 2 2" xfId="14254" xr:uid="{00000000-0005-0000-0000-0000AD370000}"/>
    <cellStyle name="Normal 7 31 2 3" xfId="14255" xr:uid="{00000000-0005-0000-0000-0000AE370000}"/>
    <cellStyle name="Normal 7 31 3" xfId="14256" xr:uid="{00000000-0005-0000-0000-0000AF370000}"/>
    <cellStyle name="Normal 7 31 4" xfId="14257" xr:uid="{00000000-0005-0000-0000-0000B0370000}"/>
    <cellStyle name="Normal 7 32" xfId="14258" xr:uid="{00000000-0005-0000-0000-0000B1370000}"/>
    <cellStyle name="Normal 7 32 2" xfId="14259" xr:uid="{00000000-0005-0000-0000-0000B2370000}"/>
    <cellStyle name="Normal 7 32 2 2" xfId="14260" xr:uid="{00000000-0005-0000-0000-0000B3370000}"/>
    <cellStyle name="Normal 7 32 2 3" xfId="14261" xr:uid="{00000000-0005-0000-0000-0000B4370000}"/>
    <cellStyle name="Normal 7 32 3" xfId="14262" xr:uid="{00000000-0005-0000-0000-0000B5370000}"/>
    <cellStyle name="Normal 7 32 4" xfId="14263" xr:uid="{00000000-0005-0000-0000-0000B6370000}"/>
    <cellStyle name="Normal 7 33" xfId="14264" xr:uid="{00000000-0005-0000-0000-0000B7370000}"/>
    <cellStyle name="Normal 7 33 2" xfId="14265" xr:uid="{00000000-0005-0000-0000-0000B8370000}"/>
    <cellStyle name="Normal 7 33 2 2" xfId="14266" xr:uid="{00000000-0005-0000-0000-0000B9370000}"/>
    <cellStyle name="Normal 7 33 2 3" xfId="14267" xr:uid="{00000000-0005-0000-0000-0000BA370000}"/>
    <cellStyle name="Normal 7 33 3" xfId="14268" xr:uid="{00000000-0005-0000-0000-0000BB370000}"/>
    <cellStyle name="Normal 7 33 4" xfId="14269" xr:uid="{00000000-0005-0000-0000-0000BC370000}"/>
    <cellStyle name="Normal 7 34" xfId="14270" xr:uid="{00000000-0005-0000-0000-0000BD370000}"/>
    <cellStyle name="Normal 7 34 2" xfId="14271" xr:uid="{00000000-0005-0000-0000-0000BE370000}"/>
    <cellStyle name="Normal 7 34 2 2" xfId="14272" xr:uid="{00000000-0005-0000-0000-0000BF370000}"/>
    <cellStyle name="Normal 7 34 2 3" xfId="14273" xr:uid="{00000000-0005-0000-0000-0000C0370000}"/>
    <cellStyle name="Normal 7 34 3" xfId="14274" xr:uid="{00000000-0005-0000-0000-0000C1370000}"/>
    <cellStyle name="Normal 7 34 4" xfId="14275" xr:uid="{00000000-0005-0000-0000-0000C2370000}"/>
    <cellStyle name="Normal 7 35" xfId="14276" xr:uid="{00000000-0005-0000-0000-0000C3370000}"/>
    <cellStyle name="Normal 7 35 2" xfId="14277" xr:uid="{00000000-0005-0000-0000-0000C4370000}"/>
    <cellStyle name="Normal 7 35 2 2" xfId="14278" xr:uid="{00000000-0005-0000-0000-0000C5370000}"/>
    <cellStyle name="Normal 7 35 2 3" xfId="14279" xr:uid="{00000000-0005-0000-0000-0000C6370000}"/>
    <cellStyle name="Normal 7 35 3" xfId="14280" xr:uid="{00000000-0005-0000-0000-0000C7370000}"/>
    <cellStyle name="Normal 7 35 4" xfId="14281" xr:uid="{00000000-0005-0000-0000-0000C8370000}"/>
    <cellStyle name="Normal 7 36" xfId="14282" xr:uid="{00000000-0005-0000-0000-0000C9370000}"/>
    <cellStyle name="Normal 7 36 2" xfId="14283" xr:uid="{00000000-0005-0000-0000-0000CA370000}"/>
    <cellStyle name="Normal 7 36 2 2" xfId="14284" xr:uid="{00000000-0005-0000-0000-0000CB370000}"/>
    <cellStyle name="Normal 7 36 2 3" xfId="14285" xr:uid="{00000000-0005-0000-0000-0000CC370000}"/>
    <cellStyle name="Normal 7 36 3" xfId="14286" xr:uid="{00000000-0005-0000-0000-0000CD370000}"/>
    <cellStyle name="Normal 7 36 4" xfId="14287" xr:uid="{00000000-0005-0000-0000-0000CE370000}"/>
    <cellStyle name="Normal 7 37" xfId="14288" xr:uid="{00000000-0005-0000-0000-0000CF370000}"/>
    <cellStyle name="Normal 7 37 2" xfId="14289" xr:uid="{00000000-0005-0000-0000-0000D0370000}"/>
    <cellStyle name="Normal 7 37 2 2" xfId="14290" xr:uid="{00000000-0005-0000-0000-0000D1370000}"/>
    <cellStyle name="Normal 7 37 2 3" xfId="14291" xr:uid="{00000000-0005-0000-0000-0000D2370000}"/>
    <cellStyle name="Normal 7 37 3" xfId="14292" xr:uid="{00000000-0005-0000-0000-0000D3370000}"/>
    <cellStyle name="Normal 7 37 4" xfId="14293" xr:uid="{00000000-0005-0000-0000-0000D4370000}"/>
    <cellStyle name="Normal 7 38" xfId="14294" xr:uid="{00000000-0005-0000-0000-0000D5370000}"/>
    <cellStyle name="Normal 7 4" xfId="14295" xr:uid="{00000000-0005-0000-0000-0000D6370000}"/>
    <cellStyle name="Normal 7 4 2" xfId="14296" xr:uid="{00000000-0005-0000-0000-0000D7370000}"/>
    <cellStyle name="Normal 7 4 2 2" xfId="14297" xr:uid="{00000000-0005-0000-0000-0000D8370000}"/>
    <cellStyle name="Normal 7 4 3" xfId="14298" xr:uid="{00000000-0005-0000-0000-0000D9370000}"/>
    <cellStyle name="Normal 7 4 3 2" xfId="14299" xr:uid="{00000000-0005-0000-0000-0000DA370000}"/>
    <cellStyle name="Normal 7 4 4" xfId="14300" xr:uid="{00000000-0005-0000-0000-0000DB370000}"/>
    <cellStyle name="Normal 7 5" xfId="14301" xr:uid="{00000000-0005-0000-0000-0000DC370000}"/>
    <cellStyle name="Normal 7 5 2" xfId="14302" xr:uid="{00000000-0005-0000-0000-0000DD370000}"/>
    <cellStyle name="Normal 7 6" xfId="14303" xr:uid="{00000000-0005-0000-0000-0000DE370000}"/>
    <cellStyle name="Normal 7 6 2" xfId="14304" xr:uid="{00000000-0005-0000-0000-0000DF370000}"/>
    <cellStyle name="Normal 7 7" xfId="14305" xr:uid="{00000000-0005-0000-0000-0000E0370000}"/>
    <cellStyle name="Normal 7 7 2" xfId="14306" xr:uid="{00000000-0005-0000-0000-0000E1370000}"/>
    <cellStyle name="Normal 7 8" xfId="14307" xr:uid="{00000000-0005-0000-0000-0000E2370000}"/>
    <cellStyle name="Normal 7 8 2" xfId="14308" xr:uid="{00000000-0005-0000-0000-0000E3370000}"/>
    <cellStyle name="Normal 7 9" xfId="14309" xr:uid="{00000000-0005-0000-0000-0000E4370000}"/>
    <cellStyle name="Normal 7 9 2" xfId="14310" xr:uid="{00000000-0005-0000-0000-0000E5370000}"/>
    <cellStyle name="Normal 70" xfId="14311" xr:uid="{00000000-0005-0000-0000-0000E6370000}"/>
    <cellStyle name="Normal 70 2" xfId="14312" xr:uid="{00000000-0005-0000-0000-0000E7370000}"/>
    <cellStyle name="Normal 70 2 2" xfId="14313" xr:uid="{00000000-0005-0000-0000-0000E8370000}"/>
    <cellStyle name="Normal 70 2 3" xfId="14314" xr:uid="{00000000-0005-0000-0000-0000E9370000}"/>
    <cellStyle name="Normal 70 3" xfId="14315" xr:uid="{00000000-0005-0000-0000-0000EA370000}"/>
    <cellStyle name="Normal 70 4" xfId="14316" xr:uid="{00000000-0005-0000-0000-0000EB370000}"/>
    <cellStyle name="Normal 71" xfId="14317" xr:uid="{00000000-0005-0000-0000-0000EC370000}"/>
    <cellStyle name="Normal 71 2" xfId="14318" xr:uid="{00000000-0005-0000-0000-0000ED370000}"/>
    <cellStyle name="Normal 71 2 2" xfId="14319" xr:uid="{00000000-0005-0000-0000-0000EE370000}"/>
    <cellStyle name="Normal 71 2 3" xfId="14320" xr:uid="{00000000-0005-0000-0000-0000EF370000}"/>
    <cellStyle name="Normal 71 3" xfId="14321" xr:uid="{00000000-0005-0000-0000-0000F0370000}"/>
    <cellStyle name="Normal 71 4" xfId="14322" xr:uid="{00000000-0005-0000-0000-0000F1370000}"/>
    <cellStyle name="Normal 72" xfId="3" xr:uid="{00000000-0005-0000-0000-0000F2370000}"/>
    <cellStyle name="Normal 73" xfId="14323" xr:uid="{00000000-0005-0000-0000-0000F3370000}"/>
    <cellStyle name="Normal 73 2" xfId="14324" xr:uid="{00000000-0005-0000-0000-0000F4370000}"/>
    <cellStyle name="Normal 73 2 2" xfId="14325" xr:uid="{00000000-0005-0000-0000-0000F5370000}"/>
    <cellStyle name="Normal 73 2 3" xfId="14326" xr:uid="{00000000-0005-0000-0000-0000F6370000}"/>
    <cellStyle name="Normal 73 3" xfId="14327" xr:uid="{00000000-0005-0000-0000-0000F7370000}"/>
    <cellStyle name="Normal 73 4" xfId="14328" xr:uid="{00000000-0005-0000-0000-0000F8370000}"/>
    <cellStyle name="Normal 74" xfId="14329" xr:uid="{00000000-0005-0000-0000-0000F9370000}"/>
    <cellStyle name="Normal 74 2" xfId="14330" xr:uid="{00000000-0005-0000-0000-0000FA370000}"/>
    <cellStyle name="Normal 74 3" xfId="14331" xr:uid="{00000000-0005-0000-0000-0000FB370000}"/>
    <cellStyle name="Normal 75" xfId="14332" xr:uid="{00000000-0005-0000-0000-0000FC370000}"/>
    <cellStyle name="Normal 76" xfId="14333" xr:uid="{00000000-0005-0000-0000-0000FD370000}"/>
    <cellStyle name="Normal 76 2" xfId="14334" xr:uid="{00000000-0005-0000-0000-0000FE370000}"/>
    <cellStyle name="Normal 76 2 2" xfId="14335" xr:uid="{00000000-0005-0000-0000-0000FF370000}"/>
    <cellStyle name="Normal 76 2 3" xfId="14336" xr:uid="{00000000-0005-0000-0000-000000380000}"/>
    <cellStyle name="Normal 76 3" xfId="14337" xr:uid="{00000000-0005-0000-0000-000001380000}"/>
    <cellStyle name="Normal 76 4" xfId="14338" xr:uid="{00000000-0005-0000-0000-000002380000}"/>
    <cellStyle name="Normal 77" xfId="14339" xr:uid="{00000000-0005-0000-0000-000003380000}"/>
    <cellStyle name="Normal 77 2" xfId="14340" xr:uid="{00000000-0005-0000-0000-000004380000}"/>
    <cellStyle name="Normal 77 2 2" xfId="14341" xr:uid="{00000000-0005-0000-0000-000005380000}"/>
    <cellStyle name="Normal 77 2 3" xfId="14342" xr:uid="{00000000-0005-0000-0000-000006380000}"/>
    <cellStyle name="Normal 77 3" xfId="14343" xr:uid="{00000000-0005-0000-0000-000007380000}"/>
    <cellStyle name="Normal 77 4" xfId="14344" xr:uid="{00000000-0005-0000-0000-000008380000}"/>
    <cellStyle name="Normal 78" xfId="14345" xr:uid="{00000000-0005-0000-0000-000009380000}"/>
    <cellStyle name="Normal 78 2" xfId="14346" xr:uid="{00000000-0005-0000-0000-00000A380000}"/>
    <cellStyle name="Normal 78 2 2" xfId="14347" xr:uid="{00000000-0005-0000-0000-00000B380000}"/>
    <cellStyle name="Normal 78 2 3" xfId="14348" xr:uid="{00000000-0005-0000-0000-00000C380000}"/>
    <cellStyle name="Normal 78 3" xfId="14349" xr:uid="{00000000-0005-0000-0000-00000D380000}"/>
    <cellStyle name="Normal 78 4" xfId="14350" xr:uid="{00000000-0005-0000-0000-00000E380000}"/>
    <cellStyle name="Normal 79" xfId="14351" xr:uid="{00000000-0005-0000-0000-00000F380000}"/>
    <cellStyle name="Normal 79 2" xfId="14352" xr:uid="{00000000-0005-0000-0000-000010380000}"/>
    <cellStyle name="Normal 79 2 2" xfId="14353" xr:uid="{00000000-0005-0000-0000-000011380000}"/>
    <cellStyle name="Normal 79 2 3" xfId="14354" xr:uid="{00000000-0005-0000-0000-000012380000}"/>
    <cellStyle name="Normal 79 3" xfId="14355" xr:uid="{00000000-0005-0000-0000-000013380000}"/>
    <cellStyle name="Normal 79 4" xfId="14356" xr:uid="{00000000-0005-0000-0000-000014380000}"/>
    <cellStyle name="Normal 8" xfId="14357" xr:uid="{00000000-0005-0000-0000-000015380000}"/>
    <cellStyle name="Normal 8 10" xfId="14358" xr:uid="{00000000-0005-0000-0000-000016380000}"/>
    <cellStyle name="Normal 8 10 2" xfId="14359" xr:uid="{00000000-0005-0000-0000-000017380000}"/>
    <cellStyle name="Normal 8 10 2 2" xfId="14360" xr:uid="{00000000-0005-0000-0000-000018380000}"/>
    <cellStyle name="Normal 8 10 2 3" xfId="14361" xr:uid="{00000000-0005-0000-0000-000019380000}"/>
    <cellStyle name="Normal 8 10 3" xfId="14362" xr:uid="{00000000-0005-0000-0000-00001A380000}"/>
    <cellStyle name="Normal 8 10 4" xfId="14363" xr:uid="{00000000-0005-0000-0000-00001B380000}"/>
    <cellStyle name="Normal 8 11" xfId="14364" xr:uid="{00000000-0005-0000-0000-00001C380000}"/>
    <cellStyle name="Normal 8 11 2" xfId="14365" xr:uid="{00000000-0005-0000-0000-00001D380000}"/>
    <cellStyle name="Normal 8 11 2 2" xfId="14366" xr:uid="{00000000-0005-0000-0000-00001E380000}"/>
    <cellStyle name="Normal 8 11 2 3" xfId="14367" xr:uid="{00000000-0005-0000-0000-00001F380000}"/>
    <cellStyle name="Normal 8 11 3" xfId="14368" xr:uid="{00000000-0005-0000-0000-000020380000}"/>
    <cellStyle name="Normal 8 11 4" xfId="14369" xr:uid="{00000000-0005-0000-0000-000021380000}"/>
    <cellStyle name="Normal 8 12" xfId="14370" xr:uid="{00000000-0005-0000-0000-000022380000}"/>
    <cellStyle name="Normal 8 12 2" xfId="14371" xr:uid="{00000000-0005-0000-0000-000023380000}"/>
    <cellStyle name="Normal 8 12 2 2" xfId="14372" xr:uid="{00000000-0005-0000-0000-000024380000}"/>
    <cellStyle name="Normal 8 12 2 3" xfId="14373" xr:uid="{00000000-0005-0000-0000-000025380000}"/>
    <cellStyle name="Normal 8 12 3" xfId="14374" xr:uid="{00000000-0005-0000-0000-000026380000}"/>
    <cellStyle name="Normal 8 12 4" xfId="14375" xr:uid="{00000000-0005-0000-0000-000027380000}"/>
    <cellStyle name="Normal 8 13" xfId="14376" xr:uid="{00000000-0005-0000-0000-000028380000}"/>
    <cellStyle name="Normal 8 13 2" xfId="14377" xr:uid="{00000000-0005-0000-0000-000029380000}"/>
    <cellStyle name="Normal 8 13 2 2" xfId="14378" xr:uid="{00000000-0005-0000-0000-00002A380000}"/>
    <cellStyle name="Normal 8 13 2 3" xfId="14379" xr:uid="{00000000-0005-0000-0000-00002B380000}"/>
    <cellStyle name="Normal 8 13 3" xfId="14380" xr:uid="{00000000-0005-0000-0000-00002C380000}"/>
    <cellStyle name="Normal 8 13 4" xfId="14381" xr:uid="{00000000-0005-0000-0000-00002D380000}"/>
    <cellStyle name="Normal 8 14" xfId="14382" xr:uid="{00000000-0005-0000-0000-00002E380000}"/>
    <cellStyle name="Normal 8 14 2" xfId="14383" xr:uid="{00000000-0005-0000-0000-00002F380000}"/>
    <cellStyle name="Normal 8 14 2 2" xfId="14384" xr:uid="{00000000-0005-0000-0000-000030380000}"/>
    <cellStyle name="Normal 8 14 2 3" xfId="14385" xr:uid="{00000000-0005-0000-0000-000031380000}"/>
    <cellStyle name="Normal 8 14 3" xfId="14386" xr:uid="{00000000-0005-0000-0000-000032380000}"/>
    <cellStyle name="Normal 8 14 4" xfId="14387" xr:uid="{00000000-0005-0000-0000-000033380000}"/>
    <cellStyle name="Normal 8 15" xfId="14388" xr:uid="{00000000-0005-0000-0000-000034380000}"/>
    <cellStyle name="Normal 8 15 2" xfId="14389" xr:uid="{00000000-0005-0000-0000-000035380000}"/>
    <cellStyle name="Normal 8 15 2 2" xfId="14390" xr:uid="{00000000-0005-0000-0000-000036380000}"/>
    <cellStyle name="Normal 8 15 2 3" xfId="14391" xr:uid="{00000000-0005-0000-0000-000037380000}"/>
    <cellStyle name="Normal 8 15 3" xfId="14392" xr:uid="{00000000-0005-0000-0000-000038380000}"/>
    <cellStyle name="Normal 8 15 4" xfId="14393" xr:uid="{00000000-0005-0000-0000-000039380000}"/>
    <cellStyle name="Normal 8 16" xfId="14394" xr:uid="{00000000-0005-0000-0000-00003A380000}"/>
    <cellStyle name="Normal 8 16 2" xfId="14395" xr:uid="{00000000-0005-0000-0000-00003B380000}"/>
    <cellStyle name="Normal 8 16 2 2" xfId="14396" xr:uid="{00000000-0005-0000-0000-00003C380000}"/>
    <cellStyle name="Normal 8 16 2 3" xfId="14397" xr:uid="{00000000-0005-0000-0000-00003D380000}"/>
    <cellStyle name="Normal 8 16 3" xfId="14398" xr:uid="{00000000-0005-0000-0000-00003E380000}"/>
    <cellStyle name="Normal 8 16 4" xfId="14399" xr:uid="{00000000-0005-0000-0000-00003F380000}"/>
    <cellStyle name="Normal 8 17" xfId="14400" xr:uid="{00000000-0005-0000-0000-000040380000}"/>
    <cellStyle name="Normal 8 17 2" xfId="14401" xr:uid="{00000000-0005-0000-0000-000041380000}"/>
    <cellStyle name="Normal 8 17 2 2" xfId="14402" xr:uid="{00000000-0005-0000-0000-000042380000}"/>
    <cellStyle name="Normal 8 17 2 3" xfId="14403" xr:uid="{00000000-0005-0000-0000-000043380000}"/>
    <cellStyle name="Normal 8 17 3" xfId="14404" xr:uid="{00000000-0005-0000-0000-000044380000}"/>
    <cellStyle name="Normal 8 17 4" xfId="14405" xr:uid="{00000000-0005-0000-0000-000045380000}"/>
    <cellStyle name="Normal 8 18" xfId="14406" xr:uid="{00000000-0005-0000-0000-000046380000}"/>
    <cellStyle name="Normal 8 18 2" xfId="14407" xr:uid="{00000000-0005-0000-0000-000047380000}"/>
    <cellStyle name="Normal 8 18 2 2" xfId="14408" xr:uid="{00000000-0005-0000-0000-000048380000}"/>
    <cellStyle name="Normal 8 18 2 3" xfId="14409" xr:uid="{00000000-0005-0000-0000-000049380000}"/>
    <cellStyle name="Normal 8 18 3" xfId="14410" xr:uid="{00000000-0005-0000-0000-00004A380000}"/>
    <cellStyle name="Normal 8 18 4" xfId="14411" xr:uid="{00000000-0005-0000-0000-00004B380000}"/>
    <cellStyle name="Normal 8 19" xfId="14412" xr:uid="{00000000-0005-0000-0000-00004C380000}"/>
    <cellStyle name="Normal 8 19 2" xfId="14413" xr:uid="{00000000-0005-0000-0000-00004D380000}"/>
    <cellStyle name="Normal 8 19 2 2" xfId="14414" xr:uid="{00000000-0005-0000-0000-00004E380000}"/>
    <cellStyle name="Normal 8 19 2 3" xfId="14415" xr:uid="{00000000-0005-0000-0000-00004F380000}"/>
    <cellStyle name="Normal 8 19 3" xfId="14416" xr:uid="{00000000-0005-0000-0000-000050380000}"/>
    <cellStyle name="Normal 8 19 4" xfId="14417" xr:uid="{00000000-0005-0000-0000-000051380000}"/>
    <cellStyle name="Normal 8 2" xfId="14418" xr:uid="{00000000-0005-0000-0000-000052380000}"/>
    <cellStyle name="Normal 8 2 2" xfId="14419" xr:uid="{00000000-0005-0000-0000-000053380000}"/>
    <cellStyle name="Normal 8 2 2 2" xfId="14420" xr:uid="{00000000-0005-0000-0000-000054380000}"/>
    <cellStyle name="Normal 8 2 2 3" xfId="14421" xr:uid="{00000000-0005-0000-0000-000055380000}"/>
    <cellStyle name="Normal 8 2 2 4" xfId="14422" xr:uid="{00000000-0005-0000-0000-000056380000}"/>
    <cellStyle name="Normal 8 2 2 5" xfId="14423" xr:uid="{00000000-0005-0000-0000-000057380000}"/>
    <cellStyle name="Normal 8 2 3" xfId="14424" xr:uid="{00000000-0005-0000-0000-000058380000}"/>
    <cellStyle name="Normal 8 2 3 2" xfId="14425" xr:uid="{00000000-0005-0000-0000-000059380000}"/>
    <cellStyle name="Normal 8 2 3 3" xfId="14426" xr:uid="{00000000-0005-0000-0000-00005A380000}"/>
    <cellStyle name="Normal 8 2 4" xfId="14427" xr:uid="{00000000-0005-0000-0000-00005B380000}"/>
    <cellStyle name="Normal 8 2 5" xfId="14428" xr:uid="{00000000-0005-0000-0000-00005C380000}"/>
    <cellStyle name="Normal 8 2 6" xfId="14429" xr:uid="{00000000-0005-0000-0000-00005D380000}"/>
    <cellStyle name="Normal 8 20" xfId="14430" xr:uid="{00000000-0005-0000-0000-00005E380000}"/>
    <cellStyle name="Normal 8 20 2" xfId="14431" xr:uid="{00000000-0005-0000-0000-00005F380000}"/>
    <cellStyle name="Normal 8 20 2 2" xfId="14432" xr:uid="{00000000-0005-0000-0000-000060380000}"/>
    <cellStyle name="Normal 8 20 2 3" xfId="14433" xr:uid="{00000000-0005-0000-0000-000061380000}"/>
    <cellStyle name="Normal 8 20 3" xfId="14434" xr:uid="{00000000-0005-0000-0000-000062380000}"/>
    <cellStyle name="Normal 8 20 4" xfId="14435" xr:uid="{00000000-0005-0000-0000-000063380000}"/>
    <cellStyle name="Normal 8 21" xfId="14436" xr:uid="{00000000-0005-0000-0000-000064380000}"/>
    <cellStyle name="Normal 8 21 2" xfId="14437" xr:uid="{00000000-0005-0000-0000-000065380000}"/>
    <cellStyle name="Normal 8 21 2 2" xfId="14438" xr:uid="{00000000-0005-0000-0000-000066380000}"/>
    <cellStyle name="Normal 8 21 2 3" xfId="14439" xr:uid="{00000000-0005-0000-0000-000067380000}"/>
    <cellStyle name="Normal 8 21 3" xfId="14440" xr:uid="{00000000-0005-0000-0000-000068380000}"/>
    <cellStyle name="Normal 8 21 4" xfId="14441" xr:uid="{00000000-0005-0000-0000-000069380000}"/>
    <cellStyle name="Normal 8 22" xfId="14442" xr:uid="{00000000-0005-0000-0000-00006A380000}"/>
    <cellStyle name="Normal 8 22 2" xfId="14443" xr:uid="{00000000-0005-0000-0000-00006B380000}"/>
    <cellStyle name="Normal 8 22 2 2" xfId="14444" xr:uid="{00000000-0005-0000-0000-00006C380000}"/>
    <cellStyle name="Normal 8 22 2 3" xfId="14445" xr:uid="{00000000-0005-0000-0000-00006D380000}"/>
    <cellStyle name="Normal 8 22 3" xfId="14446" xr:uid="{00000000-0005-0000-0000-00006E380000}"/>
    <cellStyle name="Normal 8 22 4" xfId="14447" xr:uid="{00000000-0005-0000-0000-00006F380000}"/>
    <cellStyle name="Normal 8 23" xfId="14448" xr:uid="{00000000-0005-0000-0000-000070380000}"/>
    <cellStyle name="Normal 8 23 2" xfId="14449" xr:uid="{00000000-0005-0000-0000-000071380000}"/>
    <cellStyle name="Normal 8 23 2 2" xfId="14450" xr:uid="{00000000-0005-0000-0000-000072380000}"/>
    <cellStyle name="Normal 8 23 2 3" xfId="14451" xr:uid="{00000000-0005-0000-0000-000073380000}"/>
    <cellStyle name="Normal 8 23 3" xfId="14452" xr:uid="{00000000-0005-0000-0000-000074380000}"/>
    <cellStyle name="Normal 8 23 4" xfId="14453" xr:uid="{00000000-0005-0000-0000-000075380000}"/>
    <cellStyle name="Normal 8 24" xfId="14454" xr:uid="{00000000-0005-0000-0000-000076380000}"/>
    <cellStyle name="Normal 8 24 2" xfId="14455" xr:uid="{00000000-0005-0000-0000-000077380000}"/>
    <cellStyle name="Normal 8 24 2 2" xfId="14456" xr:uid="{00000000-0005-0000-0000-000078380000}"/>
    <cellStyle name="Normal 8 24 2 3" xfId="14457" xr:uid="{00000000-0005-0000-0000-000079380000}"/>
    <cellStyle name="Normal 8 24 3" xfId="14458" xr:uid="{00000000-0005-0000-0000-00007A380000}"/>
    <cellStyle name="Normal 8 24 4" xfId="14459" xr:uid="{00000000-0005-0000-0000-00007B380000}"/>
    <cellStyle name="Normal 8 25" xfId="14460" xr:uid="{00000000-0005-0000-0000-00007C380000}"/>
    <cellStyle name="Normal 8 25 2" xfId="14461" xr:uid="{00000000-0005-0000-0000-00007D380000}"/>
    <cellStyle name="Normal 8 25 2 2" xfId="14462" xr:uid="{00000000-0005-0000-0000-00007E380000}"/>
    <cellStyle name="Normal 8 25 2 3" xfId="14463" xr:uid="{00000000-0005-0000-0000-00007F380000}"/>
    <cellStyle name="Normal 8 25 3" xfId="14464" xr:uid="{00000000-0005-0000-0000-000080380000}"/>
    <cellStyle name="Normal 8 25 4" xfId="14465" xr:uid="{00000000-0005-0000-0000-000081380000}"/>
    <cellStyle name="Normal 8 26" xfId="14466" xr:uid="{00000000-0005-0000-0000-000082380000}"/>
    <cellStyle name="Normal 8 26 2" xfId="14467" xr:uid="{00000000-0005-0000-0000-000083380000}"/>
    <cellStyle name="Normal 8 26 2 2" xfId="14468" xr:uid="{00000000-0005-0000-0000-000084380000}"/>
    <cellStyle name="Normal 8 26 2 3" xfId="14469" xr:uid="{00000000-0005-0000-0000-000085380000}"/>
    <cellStyle name="Normal 8 26 3" xfId="14470" xr:uid="{00000000-0005-0000-0000-000086380000}"/>
    <cellStyle name="Normal 8 26 4" xfId="14471" xr:uid="{00000000-0005-0000-0000-000087380000}"/>
    <cellStyle name="Normal 8 27" xfId="14472" xr:uid="{00000000-0005-0000-0000-000088380000}"/>
    <cellStyle name="Normal 8 27 2" xfId="14473" xr:uid="{00000000-0005-0000-0000-000089380000}"/>
    <cellStyle name="Normal 8 27 2 2" xfId="14474" xr:uid="{00000000-0005-0000-0000-00008A380000}"/>
    <cellStyle name="Normal 8 27 2 3" xfId="14475" xr:uid="{00000000-0005-0000-0000-00008B380000}"/>
    <cellStyle name="Normal 8 27 3" xfId="14476" xr:uid="{00000000-0005-0000-0000-00008C380000}"/>
    <cellStyle name="Normal 8 27 4" xfId="14477" xr:uid="{00000000-0005-0000-0000-00008D380000}"/>
    <cellStyle name="Normal 8 28" xfId="14478" xr:uid="{00000000-0005-0000-0000-00008E380000}"/>
    <cellStyle name="Normal 8 28 2" xfId="14479" xr:uid="{00000000-0005-0000-0000-00008F380000}"/>
    <cellStyle name="Normal 8 28 2 2" xfId="14480" xr:uid="{00000000-0005-0000-0000-000090380000}"/>
    <cellStyle name="Normal 8 28 2 3" xfId="14481" xr:uid="{00000000-0005-0000-0000-000091380000}"/>
    <cellStyle name="Normal 8 28 3" xfId="14482" xr:uid="{00000000-0005-0000-0000-000092380000}"/>
    <cellStyle name="Normal 8 28 4" xfId="14483" xr:uid="{00000000-0005-0000-0000-000093380000}"/>
    <cellStyle name="Normal 8 3" xfId="14484" xr:uid="{00000000-0005-0000-0000-000094380000}"/>
    <cellStyle name="Normal 8 3 2" xfId="14485" xr:uid="{00000000-0005-0000-0000-000095380000}"/>
    <cellStyle name="Normal 8 4" xfId="14486" xr:uid="{00000000-0005-0000-0000-000096380000}"/>
    <cellStyle name="Normal 8 4 2" xfId="14487" xr:uid="{00000000-0005-0000-0000-000097380000}"/>
    <cellStyle name="Normal 8 5" xfId="14488" xr:uid="{00000000-0005-0000-0000-000098380000}"/>
    <cellStyle name="Normal 8 5 2" xfId="14489" xr:uid="{00000000-0005-0000-0000-000099380000}"/>
    <cellStyle name="Normal 8 5 3" xfId="14490" xr:uid="{00000000-0005-0000-0000-00009A380000}"/>
    <cellStyle name="Normal 8 6" xfId="14491" xr:uid="{00000000-0005-0000-0000-00009B380000}"/>
    <cellStyle name="Normal 8 6 2" xfId="14492" xr:uid="{00000000-0005-0000-0000-00009C380000}"/>
    <cellStyle name="Normal 8 6 2 2" xfId="14493" xr:uid="{00000000-0005-0000-0000-00009D380000}"/>
    <cellStyle name="Normal 8 6 2 3" xfId="14494" xr:uid="{00000000-0005-0000-0000-00009E380000}"/>
    <cellStyle name="Normal 8 6 3" xfId="14495" xr:uid="{00000000-0005-0000-0000-00009F380000}"/>
    <cellStyle name="Normal 8 6 4" xfId="14496" xr:uid="{00000000-0005-0000-0000-0000A0380000}"/>
    <cellStyle name="Normal 8 7" xfId="14497" xr:uid="{00000000-0005-0000-0000-0000A1380000}"/>
    <cellStyle name="Normal 8 7 2" xfId="14498" xr:uid="{00000000-0005-0000-0000-0000A2380000}"/>
    <cellStyle name="Normal 8 7 2 2" xfId="14499" xr:uid="{00000000-0005-0000-0000-0000A3380000}"/>
    <cellStyle name="Normal 8 7 2 3" xfId="14500" xr:uid="{00000000-0005-0000-0000-0000A4380000}"/>
    <cellStyle name="Normal 8 7 3" xfId="14501" xr:uid="{00000000-0005-0000-0000-0000A5380000}"/>
    <cellStyle name="Normal 8 7 4" xfId="14502" xr:uid="{00000000-0005-0000-0000-0000A6380000}"/>
    <cellStyle name="Normal 8 8" xfId="14503" xr:uid="{00000000-0005-0000-0000-0000A7380000}"/>
    <cellStyle name="Normal 8 8 2" xfId="14504" xr:uid="{00000000-0005-0000-0000-0000A8380000}"/>
    <cellStyle name="Normal 8 8 2 2" xfId="14505" xr:uid="{00000000-0005-0000-0000-0000A9380000}"/>
    <cellStyle name="Normal 8 8 2 3" xfId="14506" xr:uid="{00000000-0005-0000-0000-0000AA380000}"/>
    <cellStyle name="Normal 8 8 3" xfId="14507" xr:uid="{00000000-0005-0000-0000-0000AB380000}"/>
    <cellStyle name="Normal 8 8 4" xfId="14508" xr:uid="{00000000-0005-0000-0000-0000AC380000}"/>
    <cellStyle name="Normal 8 9" xfId="14509" xr:uid="{00000000-0005-0000-0000-0000AD380000}"/>
    <cellStyle name="Normal 8 9 2" xfId="14510" xr:uid="{00000000-0005-0000-0000-0000AE380000}"/>
    <cellStyle name="Normal 8 9 2 2" xfId="14511" xr:uid="{00000000-0005-0000-0000-0000AF380000}"/>
    <cellStyle name="Normal 8 9 2 3" xfId="14512" xr:uid="{00000000-0005-0000-0000-0000B0380000}"/>
    <cellStyle name="Normal 8 9 3" xfId="14513" xr:uid="{00000000-0005-0000-0000-0000B1380000}"/>
    <cellStyle name="Normal 8 9 4" xfId="14514" xr:uid="{00000000-0005-0000-0000-0000B2380000}"/>
    <cellStyle name="Normal 80" xfId="14515" xr:uid="{00000000-0005-0000-0000-0000B3380000}"/>
    <cellStyle name="Normal 80 2" xfId="14516" xr:uid="{00000000-0005-0000-0000-0000B4380000}"/>
    <cellStyle name="Normal 80 2 2" xfId="14517" xr:uid="{00000000-0005-0000-0000-0000B5380000}"/>
    <cellStyle name="Normal 80 2 3" xfId="14518" xr:uid="{00000000-0005-0000-0000-0000B6380000}"/>
    <cellStyle name="Normal 80 2 3 2" xfId="14519" xr:uid="{00000000-0005-0000-0000-0000B7380000}"/>
    <cellStyle name="Normal 80 2 3 3" xfId="14520" xr:uid="{00000000-0005-0000-0000-0000B8380000}"/>
    <cellStyle name="Normal 80 2 4" xfId="14521" xr:uid="{00000000-0005-0000-0000-0000B9380000}"/>
    <cellStyle name="Normal 80 2 5" xfId="14522" xr:uid="{00000000-0005-0000-0000-0000BA380000}"/>
    <cellStyle name="Normal 80 3" xfId="14523" xr:uid="{00000000-0005-0000-0000-0000BB380000}"/>
    <cellStyle name="Normal 80 3 2" xfId="14524" xr:uid="{00000000-0005-0000-0000-0000BC380000}"/>
    <cellStyle name="Normal 80 3 3" xfId="14525" xr:uid="{00000000-0005-0000-0000-0000BD380000}"/>
    <cellStyle name="Normal 80 3 3 2" xfId="14526" xr:uid="{00000000-0005-0000-0000-0000BE380000}"/>
    <cellStyle name="Normal 80 3 3 3" xfId="14527" xr:uid="{00000000-0005-0000-0000-0000BF380000}"/>
    <cellStyle name="Normal 80 3 4" xfId="14528" xr:uid="{00000000-0005-0000-0000-0000C0380000}"/>
    <cellStyle name="Normal 80 3 5" xfId="14529" xr:uid="{00000000-0005-0000-0000-0000C1380000}"/>
    <cellStyle name="Normal 80 4" xfId="14530" xr:uid="{00000000-0005-0000-0000-0000C2380000}"/>
    <cellStyle name="Normal 80 5" xfId="14531" xr:uid="{00000000-0005-0000-0000-0000C3380000}"/>
    <cellStyle name="Normal 80 5 2" xfId="14532" xr:uid="{00000000-0005-0000-0000-0000C4380000}"/>
    <cellStyle name="Normal 80 5 3" xfId="14533" xr:uid="{00000000-0005-0000-0000-0000C5380000}"/>
    <cellStyle name="Normal 80 6" xfId="14534" xr:uid="{00000000-0005-0000-0000-0000C6380000}"/>
    <cellStyle name="Normal 80 7" xfId="14535" xr:uid="{00000000-0005-0000-0000-0000C7380000}"/>
    <cellStyle name="Normal 81" xfId="14536" xr:uid="{00000000-0005-0000-0000-0000C8380000}"/>
    <cellStyle name="Normal 81 2" xfId="14537" xr:uid="{00000000-0005-0000-0000-0000C9380000}"/>
    <cellStyle name="Normal 81 2 2" xfId="14538" xr:uid="{00000000-0005-0000-0000-0000CA380000}"/>
    <cellStyle name="Normal 81 2 3" xfId="14539" xr:uid="{00000000-0005-0000-0000-0000CB380000}"/>
    <cellStyle name="Normal 81 3" xfId="14540" xr:uid="{00000000-0005-0000-0000-0000CC380000}"/>
    <cellStyle name="Normal 81 4" xfId="14541" xr:uid="{00000000-0005-0000-0000-0000CD380000}"/>
    <cellStyle name="Normal 82" xfId="14542" xr:uid="{00000000-0005-0000-0000-0000CE380000}"/>
    <cellStyle name="Normal 82 2" xfId="14543" xr:uid="{00000000-0005-0000-0000-0000CF380000}"/>
    <cellStyle name="Normal 82 2 2" xfId="14544" xr:uid="{00000000-0005-0000-0000-0000D0380000}"/>
    <cellStyle name="Normal 82 2 3" xfId="14545" xr:uid="{00000000-0005-0000-0000-0000D1380000}"/>
    <cellStyle name="Normal 82 3" xfId="14546" xr:uid="{00000000-0005-0000-0000-0000D2380000}"/>
    <cellStyle name="Normal 82 4" xfId="14547" xr:uid="{00000000-0005-0000-0000-0000D3380000}"/>
    <cellStyle name="Normal 83" xfId="14548" xr:uid="{00000000-0005-0000-0000-0000D4380000}"/>
    <cellStyle name="Normal 83 2" xfId="14549" xr:uid="{00000000-0005-0000-0000-0000D5380000}"/>
    <cellStyle name="Normal 83 2 2" xfId="14550" xr:uid="{00000000-0005-0000-0000-0000D6380000}"/>
    <cellStyle name="Normal 83 2 3" xfId="14551" xr:uid="{00000000-0005-0000-0000-0000D7380000}"/>
    <cellStyle name="Normal 83 3" xfId="14552" xr:uid="{00000000-0005-0000-0000-0000D8380000}"/>
    <cellStyle name="Normal 83 4" xfId="14553" xr:uid="{00000000-0005-0000-0000-0000D9380000}"/>
    <cellStyle name="Normal 84" xfId="14554" xr:uid="{00000000-0005-0000-0000-0000DA380000}"/>
    <cellStyle name="Normal 84 2" xfId="14555" xr:uid="{00000000-0005-0000-0000-0000DB380000}"/>
    <cellStyle name="Normal 84 2 2" xfId="14556" xr:uid="{00000000-0005-0000-0000-0000DC380000}"/>
    <cellStyle name="Normal 84 2 3" xfId="14557" xr:uid="{00000000-0005-0000-0000-0000DD380000}"/>
    <cellStyle name="Normal 84 3" xfId="14558" xr:uid="{00000000-0005-0000-0000-0000DE380000}"/>
    <cellStyle name="Normal 84 4" xfId="14559" xr:uid="{00000000-0005-0000-0000-0000DF380000}"/>
    <cellStyle name="Normal 85" xfId="14560" xr:uid="{00000000-0005-0000-0000-0000E0380000}"/>
    <cellStyle name="Normal 85 2" xfId="14561" xr:uid="{00000000-0005-0000-0000-0000E1380000}"/>
    <cellStyle name="Normal 85 2 2" xfId="14562" xr:uid="{00000000-0005-0000-0000-0000E2380000}"/>
    <cellStyle name="Normal 85 2 3" xfId="14563" xr:uid="{00000000-0005-0000-0000-0000E3380000}"/>
    <cellStyle name="Normal 85 3" xfId="14564" xr:uid="{00000000-0005-0000-0000-0000E4380000}"/>
    <cellStyle name="Normal 85 4" xfId="14565" xr:uid="{00000000-0005-0000-0000-0000E5380000}"/>
    <cellStyle name="Normal 86" xfId="14566" xr:uid="{00000000-0005-0000-0000-0000E6380000}"/>
    <cellStyle name="Normal 86 2" xfId="14567" xr:uid="{00000000-0005-0000-0000-0000E7380000}"/>
    <cellStyle name="Normal 86 2 2" xfId="14568" xr:uid="{00000000-0005-0000-0000-0000E8380000}"/>
    <cellStyle name="Normal 86 2 3" xfId="14569" xr:uid="{00000000-0005-0000-0000-0000E9380000}"/>
    <cellStyle name="Normal 86 3" xfId="14570" xr:uid="{00000000-0005-0000-0000-0000EA380000}"/>
    <cellStyle name="Normal 86 4" xfId="14571" xr:uid="{00000000-0005-0000-0000-0000EB380000}"/>
    <cellStyle name="Normal 87" xfId="14572" xr:uid="{00000000-0005-0000-0000-0000EC380000}"/>
    <cellStyle name="Normal 87 2" xfId="14573" xr:uid="{00000000-0005-0000-0000-0000ED380000}"/>
    <cellStyle name="Normal 87 2 2" xfId="14574" xr:uid="{00000000-0005-0000-0000-0000EE380000}"/>
    <cellStyle name="Normal 87 2 3" xfId="14575" xr:uid="{00000000-0005-0000-0000-0000EF380000}"/>
    <cellStyle name="Normal 87 2 3 2" xfId="14576" xr:uid="{00000000-0005-0000-0000-0000F0380000}"/>
    <cellStyle name="Normal 87 2 3 3" xfId="14577" xr:uid="{00000000-0005-0000-0000-0000F1380000}"/>
    <cellStyle name="Normal 87 2 4" xfId="14578" xr:uid="{00000000-0005-0000-0000-0000F2380000}"/>
    <cellStyle name="Normal 87 2 5" xfId="14579" xr:uid="{00000000-0005-0000-0000-0000F3380000}"/>
    <cellStyle name="Normal 87 3" xfId="14580" xr:uid="{00000000-0005-0000-0000-0000F4380000}"/>
    <cellStyle name="Normal 87 3 2" xfId="14581" xr:uid="{00000000-0005-0000-0000-0000F5380000}"/>
    <cellStyle name="Normal 87 3 3" xfId="14582" xr:uid="{00000000-0005-0000-0000-0000F6380000}"/>
    <cellStyle name="Normal 87 3 3 2" xfId="14583" xr:uid="{00000000-0005-0000-0000-0000F7380000}"/>
    <cellStyle name="Normal 87 3 3 3" xfId="14584" xr:uid="{00000000-0005-0000-0000-0000F8380000}"/>
    <cellStyle name="Normal 87 3 4" xfId="14585" xr:uid="{00000000-0005-0000-0000-0000F9380000}"/>
    <cellStyle name="Normal 87 3 5" xfId="14586" xr:uid="{00000000-0005-0000-0000-0000FA380000}"/>
    <cellStyle name="Normal 87 4" xfId="14587" xr:uid="{00000000-0005-0000-0000-0000FB380000}"/>
    <cellStyle name="Normal 87 5" xfId="14588" xr:uid="{00000000-0005-0000-0000-0000FC380000}"/>
    <cellStyle name="Normal 87 5 2" xfId="14589" xr:uid="{00000000-0005-0000-0000-0000FD380000}"/>
    <cellStyle name="Normal 87 5 3" xfId="14590" xr:uid="{00000000-0005-0000-0000-0000FE380000}"/>
    <cellStyle name="Normal 87 6" xfId="14591" xr:uid="{00000000-0005-0000-0000-0000FF380000}"/>
    <cellStyle name="Normal 87 7" xfId="14592" xr:uid="{00000000-0005-0000-0000-000000390000}"/>
    <cellStyle name="Normal 88" xfId="14593" xr:uid="{00000000-0005-0000-0000-000001390000}"/>
    <cellStyle name="Normal 88 2" xfId="14594" xr:uid="{00000000-0005-0000-0000-000002390000}"/>
    <cellStyle name="Normal 88 2 2" xfId="14595" xr:uid="{00000000-0005-0000-0000-000003390000}"/>
    <cellStyle name="Normal 88 2 3" xfId="14596" xr:uid="{00000000-0005-0000-0000-000004390000}"/>
    <cellStyle name="Normal 88 3" xfId="14597" xr:uid="{00000000-0005-0000-0000-000005390000}"/>
    <cellStyle name="Normal 88 4" xfId="14598" xr:uid="{00000000-0005-0000-0000-000006390000}"/>
    <cellStyle name="Normal 89" xfId="14599" xr:uid="{00000000-0005-0000-0000-000007390000}"/>
    <cellStyle name="Normal 89 2" xfId="14600" xr:uid="{00000000-0005-0000-0000-000008390000}"/>
    <cellStyle name="Normal 89 2 2" xfId="14601" xr:uid="{00000000-0005-0000-0000-000009390000}"/>
    <cellStyle name="Normal 89 2 3" xfId="14602" xr:uid="{00000000-0005-0000-0000-00000A390000}"/>
    <cellStyle name="Normal 89 3" xfId="14603" xr:uid="{00000000-0005-0000-0000-00000B390000}"/>
    <cellStyle name="Normal 89 4" xfId="14604" xr:uid="{00000000-0005-0000-0000-00000C390000}"/>
    <cellStyle name="Normal 9" xfId="14605" xr:uid="{00000000-0005-0000-0000-00000D390000}"/>
    <cellStyle name="Normal 9 10" xfId="14606" xr:uid="{00000000-0005-0000-0000-00000E390000}"/>
    <cellStyle name="Normal 9 10 2" xfId="14607" xr:uid="{00000000-0005-0000-0000-00000F390000}"/>
    <cellStyle name="Normal 9 10 2 2" xfId="14608" xr:uid="{00000000-0005-0000-0000-000010390000}"/>
    <cellStyle name="Normal 9 10 2 3" xfId="14609" xr:uid="{00000000-0005-0000-0000-000011390000}"/>
    <cellStyle name="Normal 9 10 3" xfId="14610" xr:uid="{00000000-0005-0000-0000-000012390000}"/>
    <cellStyle name="Normal 9 10 4" xfId="14611" xr:uid="{00000000-0005-0000-0000-000013390000}"/>
    <cellStyle name="Normal 9 11" xfId="14612" xr:uid="{00000000-0005-0000-0000-000014390000}"/>
    <cellStyle name="Normal 9 11 2" xfId="14613" xr:uid="{00000000-0005-0000-0000-000015390000}"/>
    <cellStyle name="Normal 9 11 2 2" xfId="14614" xr:uid="{00000000-0005-0000-0000-000016390000}"/>
    <cellStyle name="Normal 9 11 2 3" xfId="14615" xr:uid="{00000000-0005-0000-0000-000017390000}"/>
    <cellStyle name="Normal 9 11 3" xfId="14616" xr:uid="{00000000-0005-0000-0000-000018390000}"/>
    <cellStyle name="Normal 9 11 4" xfId="14617" xr:uid="{00000000-0005-0000-0000-000019390000}"/>
    <cellStyle name="Normal 9 12" xfId="14618" xr:uid="{00000000-0005-0000-0000-00001A390000}"/>
    <cellStyle name="Normal 9 12 2" xfId="14619" xr:uid="{00000000-0005-0000-0000-00001B390000}"/>
    <cellStyle name="Normal 9 12 2 2" xfId="14620" xr:uid="{00000000-0005-0000-0000-00001C390000}"/>
    <cellStyle name="Normal 9 12 2 3" xfId="14621" xr:uid="{00000000-0005-0000-0000-00001D390000}"/>
    <cellStyle name="Normal 9 12 3" xfId="14622" xr:uid="{00000000-0005-0000-0000-00001E390000}"/>
    <cellStyle name="Normal 9 12 4" xfId="14623" xr:uid="{00000000-0005-0000-0000-00001F390000}"/>
    <cellStyle name="Normal 9 13" xfId="14624" xr:uid="{00000000-0005-0000-0000-000020390000}"/>
    <cellStyle name="Normal 9 13 2" xfId="14625" xr:uid="{00000000-0005-0000-0000-000021390000}"/>
    <cellStyle name="Normal 9 13 2 2" xfId="14626" xr:uid="{00000000-0005-0000-0000-000022390000}"/>
    <cellStyle name="Normal 9 13 2 3" xfId="14627" xr:uid="{00000000-0005-0000-0000-000023390000}"/>
    <cellStyle name="Normal 9 13 3" xfId="14628" xr:uid="{00000000-0005-0000-0000-000024390000}"/>
    <cellStyle name="Normal 9 13 4" xfId="14629" xr:uid="{00000000-0005-0000-0000-000025390000}"/>
    <cellStyle name="Normal 9 14" xfId="14630" xr:uid="{00000000-0005-0000-0000-000026390000}"/>
    <cellStyle name="Normal 9 14 2" xfId="14631" xr:uid="{00000000-0005-0000-0000-000027390000}"/>
    <cellStyle name="Normal 9 14 2 2" xfId="14632" xr:uid="{00000000-0005-0000-0000-000028390000}"/>
    <cellStyle name="Normal 9 14 2 3" xfId="14633" xr:uid="{00000000-0005-0000-0000-000029390000}"/>
    <cellStyle name="Normal 9 14 3" xfId="14634" xr:uid="{00000000-0005-0000-0000-00002A390000}"/>
    <cellStyle name="Normal 9 14 4" xfId="14635" xr:uid="{00000000-0005-0000-0000-00002B390000}"/>
    <cellStyle name="Normal 9 15" xfId="14636" xr:uid="{00000000-0005-0000-0000-00002C390000}"/>
    <cellStyle name="Normal 9 15 2" xfId="14637" xr:uid="{00000000-0005-0000-0000-00002D390000}"/>
    <cellStyle name="Normal 9 15 2 2" xfId="14638" xr:uid="{00000000-0005-0000-0000-00002E390000}"/>
    <cellStyle name="Normal 9 15 2 3" xfId="14639" xr:uid="{00000000-0005-0000-0000-00002F390000}"/>
    <cellStyle name="Normal 9 15 3" xfId="14640" xr:uid="{00000000-0005-0000-0000-000030390000}"/>
    <cellStyle name="Normal 9 15 4" xfId="14641" xr:uid="{00000000-0005-0000-0000-000031390000}"/>
    <cellStyle name="Normal 9 16" xfId="14642" xr:uid="{00000000-0005-0000-0000-000032390000}"/>
    <cellStyle name="Normal 9 16 2" xfId="14643" xr:uid="{00000000-0005-0000-0000-000033390000}"/>
    <cellStyle name="Normal 9 16 2 2" xfId="14644" xr:uid="{00000000-0005-0000-0000-000034390000}"/>
    <cellStyle name="Normal 9 16 2 3" xfId="14645" xr:uid="{00000000-0005-0000-0000-000035390000}"/>
    <cellStyle name="Normal 9 16 3" xfId="14646" xr:uid="{00000000-0005-0000-0000-000036390000}"/>
    <cellStyle name="Normal 9 16 4" xfId="14647" xr:uid="{00000000-0005-0000-0000-000037390000}"/>
    <cellStyle name="Normal 9 17" xfId="14648" xr:uid="{00000000-0005-0000-0000-000038390000}"/>
    <cellStyle name="Normal 9 17 2" xfId="14649" xr:uid="{00000000-0005-0000-0000-000039390000}"/>
    <cellStyle name="Normal 9 17 2 2" xfId="14650" xr:uid="{00000000-0005-0000-0000-00003A390000}"/>
    <cellStyle name="Normal 9 17 2 3" xfId="14651" xr:uid="{00000000-0005-0000-0000-00003B390000}"/>
    <cellStyle name="Normal 9 17 3" xfId="14652" xr:uid="{00000000-0005-0000-0000-00003C390000}"/>
    <cellStyle name="Normal 9 17 4" xfId="14653" xr:uid="{00000000-0005-0000-0000-00003D390000}"/>
    <cellStyle name="Normal 9 18" xfId="14654" xr:uid="{00000000-0005-0000-0000-00003E390000}"/>
    <cellStyle name="Normal 9 18 2" xfId="14655" xr:uid="{00000000-0005-0000-0000-00003F390000}"/>
    <cellStyle name="Normal 9 18 2 2" xfId="14656" xr:uid="{00000000-0005-0000-0000-000040390000}"/>
    <cellStyle name="Normal 9 18 2 3" xfId="14657" xr:uid="{00000000-0005-0000-0000-000041390000}"/>
    <cellStyle name="Normal 9 18 3" xfId="14658" xr:uid="{00000000-0005-0000-0000-000042390000}"/>
    <cellStyle name="Normal 9 18 4" xfId="14659" xr:uid="{00000000-0005-0000-0000-000043390000}"/>
    <cellStyle name="Normal 9 19" xfId="14660" xr:uid="{00000000-0005-0000-0000-000044390000}"/>
    <cellStyle name="Normal 9 19 2" xfId="14661" xr:uid="{00000000-0005-0000-0000-000045390000}"/>
    <cellStyle name="Normal 9 19 2 2" xfId="14662" xr:uid="{00000000-0005-0000-0000-000046390000}"/>
    <cellStyle name="Normal 9 19 2 3" xfId="14663" xr:uid="{00000000-0005-0000-0000-000047390000}"/>
    <cellStyle name="Normal 9 19 3" xfId="14664" xr:uid="{00000000-0005-0000-0000-000048390000}"/>
    <cellStyle name="Normal 9 19 4" xfId="14665" xr:uid="{00000000-0005-0000-0000-000049390000}"/>
    <cellStyle name="Normal 9 2" xfId="14666" xr:uid="{00000000-0005-0000-0000-00004A390000}"/>
    <cellStyle name="Normal 9 2 2" xfId="14667" xr:uid="{00000000-0005-0000-0000-00004B390000}"/>
    <cellStyle name="Normal 9 20" xfId="14668" xr:uid="{00000000-0005-0000-0000-00004C390000}"/>
    <cellStyle name="Normal 9 20 2" xfId="14669" xr:uid="{00000000-0005-0000-0000-00004D390000}"/>
    <cellStyle name="Normal 9 20 2 2" xfId="14670" xr:uid="{00000000-0005-0000-0000-00004E390000}"/>
    <cellStyle name="Normal 9 20 2 3" xfId="14671" xr:uid="{00000000-0005-0000-0000-00004F390000}"/>
    <cellStyle name="Normal 9 20 3" xfId="14672" xr:uid="{00000000-0005-0000-0000-000050390000}"/>
    <cellStyle name="Normal 9 20 4" xfId="14673" xr:uid="{00000000-0005-0000-0000-000051390000}"/>
    <cellStyle name="Normal 9 21" xfId="14674" xr:uid="{00000000-0005-0000-0000-000052390000}"/>
    <cellStyle name="Normal 9 21 2" xfId="14675" xr:uid="{00000000-0005-0000-0000-000053390000}"/>
    <cellStyle name="Normal 9 21 2 2" xfId="14676" xr:uid="{00000000-0005-0000-0000-000054390000}"/>
    <cellStyle name="Normal 9 21 2 3" xfId="14677" xr:uid="{00000000-0005-0000-0000-000055390000}"/>
    <cellStyle name="Normal 9 21 3" xfId="14678" xr:uid="{00000000-0005-0000-0000-000056390000}"/>
    <cellStyle name="Normal 9 21 4" xfId="14679" xr:uid="{00000000-0005-0000-0000-000057390000}"/>
    <cellStyle name="Normal 9 22" xfId="14680" xr:uid="{00000000-0005-0000-0000-000058390000}"/>
    <cellStyle name="Normal 9 22 2" xfId="14681" xr:uid="{00000000-0005-0000-0000-000059390000}"/>
    <cellStyle name="Normal 9 22 2 2" xfId="14682" xr:uid="{00000000-0005-0000-0000-00005A390000}"/>
    <cellStyle name="Normal 9 22 2 3" xfId="14683" xr:uid="{00000000-0005-0000-0000-00005B390000}"/>
    <cellStyle name="Normal 9 22 3" xfId="14684" xr:uid="{00000000-0005-0000-0000-00005C390000}"/>
    <cellStyle name="Normal 9 22 4" xfId="14685" xr:uid="{00000000-0005-0000-0000-00005D390000}"/>
    <cellStyle name="Normal 9 23" xfId="14686" xr:uid="{00000000-0005-0000-0000-00005E390000}"/>
    <cellStyle name="Normal 9 23 2" xfId="14687" xr:uid="{00000000-0005-0000-0000-00005F390000}"/>
    <cellStyle name="Normal 9 23 2 2" xfId="14688" xr:uid="{00000000-0005-0000-0000-000060390000}"/>
    <cellStyle name="Normal 9 23 2 3" xfId="14689" xr:uid="{00000000-0005-0000-0000-000061390000}"/>
    <cellStyle name="Normal 9 23 3" xfId="14690" xr:uid="{00000000-0005-0000-0000-000062390000}"/>
    <cellStyle name="Normal 9 23 4" xfId="14691" xr:uid="{00000000-0005-0000-0000-000063390000}"/>
    <cellStyle name="Normal 9 24" xfId="14692" xr:uid="{00000000-0005-0000-0000-000064390000}"/>
    <cellStyle name="Normal 9 24 2" xfId="14693" xr:uid="{00000000-0005-0000-0000-000065390000}"/>
    <cellStyle name="Normal 9 24 2 2" xfId="14694" xr:uid="{00000000-0005-0000-0000-000066390000}"/>
    <cellStyle name="Normal 9 24 2 3" xfId="14695" xr:uid="{00000000-0005-0000-0000-000067390000}"/>
    <cellStyle name="Normal 9 24 3" xfId="14696" xr:uid="{00000000-0005-0000-0000-000068390000}"/>
    <cellStyle name="Normal 9 24 4" xfId="14697" xr:uid="{00000000-0005-0000-0000-000069390000}"/>
    <cellStyle name="Normal 9 25" xfId="14698" xr:uid="{00000000-0005-0000-0000-00006A390000}"/>
    <cellStyle name="Normal 9 25 2" xfId="14699" xr:uid="{00000000-0005-0000-0000-00006B390000}"/>
    <cellStyle name="Normal 9 25 2 2" xfId="14700" xr:uid="{00000000-0005-0000-0000-00006C390000}"/>
    <cellStyle name="Normal 9 25 2 3" xfId="14701" xr:uid="{00000000-0005-0000-0000-00006D390000}"/>
    <cellStyle name="Normal 9 25 3" xfId="14702" xr:uid="{00000000-0005-0000-0000-00006E390000}"/>
    <cellStyle name="Normal 9 25 4" xfId="14703" xr:uid="{00000000-0005-0000-0000-00006F390000}"/>
    <cellStyle name="Normal 9 26" xfId="14704" xr:uid="{00000000-0005-0000-0000-000070390000}"/>
    <cellStyle name="Normal 9 26 2" xfId="14705" xr:uid="{00000000-0005-0000-0000-000071390000}"/>
    <cellStyle name="Normal 9 26 2 2" xfId="14706" xr:uid="{00000000-0005-0000-0000-000072390000}"/>
    <cellStyle name="Normal 9 26 2 3" xfId="14707" xr:uid="{00000000-0005-0000-0000-000073390000}"/>
    <cellStyle name="Normal 9 26 3" xfId="14708" xr:uid="{00000000-0005-0000-0000-000074390000}"/>
    <cellStyle name="Normal 9 26 4" xfId="14709" xr:uid="{00000000-0005-0000-0000-000075390000}"/>
    <cellStyle name="Normal 9 27" xfId="14710" xr:uid="{00000000-0005-0000-0000-000076390000}"/>
    <cellStyle name="Normal 9 27 2" xfId="14711" xr:uid="{00000000-0005-0000-0000-000077390000}"/>
    <cellStyle name="Normal 9 27 3" xfId="14712" xr:uid="{00000000-0005-0000-0000-000078390000}"/>
    <cellStyle name="Normal 9 28" xfId="14713" xr:uid="{00000000-0005-0000-0000-000079390000}"/>
    <cellStyle name="Normal 9 29" xfId="14714" xr:uid="{00000000-0005-0000-0000-00007A390000}"/>
    <cellStyle name="Normal 9 3" xfId="14715" xr:uid="{00000000-0005-0000-0000-00007B390000}"/>
    <cellStyle name="Normal 9 3 2" xfId="14716" xr:uid="{00000000-0005-0000-0000-00007C390000}"/>
    <cellStyle name="Normal 9 4" xfId="14717" xr:uid="{00000000-0005-0000-0000-00007D390000}"/>
    <cellStyle name="Normal 9 4 2" xfId="14718" xr:uid="{00000000-0005-0000-0000-00007E390000}"/>
    <cellStyle name="Normal 9 5" xfId="14719" xr:uid="{00000000-0005-0000-0000-00007F390000}"/>
    <cellStyle name="Normal 9 5 2" xfId="14720" xr:uid="{00000000-0005-0000-0000-000080390000}"/>
    <cellStyle name="Normal 9 5 2 2" xfId="14721" xr:uid="{00000000-0005-0000-0000-000081390000}"/>
    <cellStyle name="Normal 9 5 2 3" xfId="14722" xr:uid="{00000000-0005-0000-0000-000082390000}"/>
    <cellStyle name="Normal 9 5 3" xfId="14723" xr:uid="{00000000-0005-0000-0000-000083390000}"/>
    <cellStyle name="Normal 9 5 4" xfId="14724" xr:uid="{00000000-0005-0000-0000-000084390000}"/>
    <cellStyle name="Normal 9 6" xfId="14725" xr:uid="{00000000-0005-0000-0000-000085390000}"/>
    <cellStyle name="Normal 9 6 2" xfId="14726" xr:uid="{00000000-0005-0000-0000-000086390000}"/>
    <cellStyle name="Normal 9 6 2 2" xfId="14727" xr:uid="{00000000-0005-0000-0000-000087390000}"/>
    <cellStyle name="Normal 9 6 2 3" xfId="14728" xr:uid="{00000000-0005-0000-0000-000088390000}"/>
    <cellStyle name="Normal 9 6 3" xfId="14729" xr:uid="{00000000-0005-0000-0000-000089390000}"/>
    <cellStyle name="Normal 9 6 4" xfId="14730" xr:uid="{00000000-0005-0000-0000-00008A390000}"/>
    <cellStyle name="Normal 9 7" xfId="14731" xr:uid="{00000000-0005-0000-0000-00008B390000}"/>
    <cellStyle name="Normal 9 7 2" xfId="14732" xr:uid="{00000000-0005-0000-0000-00008C390000}"/>
    <cellStyle name="Normal 9 7 2 2" xfId="14733" xr:uid="{00000000-0005-0000-0000-00008D390000}"/>
    <cellStyle name="Normal 9 7 2 3" xfId="14734" xr:uid="{00000000-0005-0000-0000-00008E390000}"/>
    <cellStyle name="Normal 9 7 3" xfId="14735" xr:uid="{00000000-0005-0000-0000-00008F390000}"/>
    <cellStyle name="Normal 9 7 4" xfId="14736" xr:uid="{00000000-0005-0000-0000-000090390000}"/>
    <cellStyle name="Normal 9 8" xfId="14737" xr:uid="{00000000-0005-0000-0000-000091390000}"/>
    <cellStyle name="Normal 9 8 2" xfId="14738" xr:uid="{00000000-0005-0000-0000-000092390000}"/>
    <cellStyle name="Normal 9 8 2 2" xfId="14739" xr:uid="{00000000-0005-0000-0000-000093390000}"/>
    <cellStyle name="Normal 9 8 2 3" xfId="14740" xr:uid="{00000000-0005-0000-0000-000094390000}"/>
    <cellStyle name="Normal 9 8 3" xfId="14741" xr:uid="{00000000-0005-0000-0000-000095390000}"/>
    <cellStyle name="Normal 9 8 4" xfId="14742" xr:uid="{00000000-0005-0000-0000-000096390000}"/>
    <cellStyle name="Normal 9 9" xfId="14743" xr:uid="{00000000-0005-0000-0000-000097390000}"/>
    <cellStyle name="Normal 9 9 2" xfId="14744" xr:uid="{00000000-0005-0000-0000-000098390000}"/>
    <cellStyle name="Normal 9 9 2 2" xfId="14745" xr:uid="{00000000-0005-0000-0000-000099390000}"/>
    <cellStyle name="Normal 9 9 2 3" xfId="14746" xr:uid="{00000000-0005-0000-0000-00009A390000}"/>
    <cellStyle name="Normal 9 9 3" xfId="14747" xr:uid="{00000000-0005-0000-0000-00009B390000}"/>
    <cellStyle name="Normal 9 9 4" xfId="14748" xr:uid="{00000000-0005-0000-0000-00009C390000}"/>
    <cellStyle name="Normal 90" xfId="14749" xr:uid="{00000000-0005-0000-0000-00009D390000}"/>
    <cellStyle name="Normal 90 2" xfId="14750" xr:uid="{00000000-0005-0000-0000-00009E390000}"/>
    <cellStyle name="Normal 90 2 2" xfId="14751" xr:uid="{00000000-0005-0000-0000-00009F390000}"/>
    <cellStyle name="Normal 90 2 3" xfId="14752" xr:uid="{00000000-0005-0000-0000-0000A0390000}"/>
    <cellStyle name="Normal 90 3" xfId="14753" xr:uid="{00000000-0005-0000-0000-0000A1390000}"/>
    <cellStyle name="Normal 90 4" xfId="14754" xr:uid="{00000000-0005-0000-0000-0000A2390000}"/>
    <cellStyle name="Normal 91" xfId="14755" xr:uid="{00000000-0005-0000-0000-0000A3390000}"/>
    <cellStyle name="Normal 91 2" xfId="14756" xr:uid="{00000000-0005-0000-0000-0000A4390000}"/>
    <cellStyle name="Normal 91 2 2" xfId="14757" xr:uid="{00000000-0005-0000-0000-0000A5390000}"/>
    <cellStyle name="Normal 91 2 3" xfId="14758" xr:uid="{00000000-0005-0000-0000-0000A6390000}"/>
    <cellStyle name="Normal 91 3" xfId="14759" xr:uid="{00000000-0005-0000-0000-0000A7390000}"/>
    <cellStyle name="Normal 91 4" xfId="14760" xr:uid="{00000000-0005-0000-0000-0000A8390000}"/>
    <cellStyle name="Normal 92" xfId="14761" xr:uid="{00000000-0005-0000-0000-0000A9390000}"/>
    <cellStyle name="Normal 92 2" xfId="14762" xr:uid="{00000000-0005-0000-0000-0000AA390000}"/>
    <cellStyle name="Normal 92 2 2" xfId="14763" xr:uid="{00000000-0005-0000-0000-0000AB390000}"/>
    <cellStyle name="Normal 92 2 3" xfId="14764" xr:uid="{00000000-0005-0000-0000-0000AC390000}"/>
    <cellStyle name="Normal 92 3" xfId="14765" xr:uid="{00000000-0005-0000-0000-0000AD390000}"/>
    <cellStyle name="Normal 92 4" xfId="14766" xr:uid="{00000000-0005-0000-0000-0000AE390000}"/>
    <cellStyle name="Normal 93" xfId="14767" xr:uid="{00000000-0005-0000-0000-0000AF390000}"/>
    <cellStyle name="Normal 93 2" xfId="14768" xr:uid="{00000000-0005-0000-0000-0000B0390000}"/>
    <cellStyle name="Normal 93 2 2" xfId="14769" xr:uid="{00000000-0005-0000-0000-0000B1390000}"/>
    <cellStyle name="Normal 93 2 3" xfId="14770" xr:uid="{00000000-0005-0000-0000-0000B2390000}"/>
    <cellStyle name="Normal 93 3" xfId="14771" xr:uid="{00000000-0005-0000-0000-0000B3390000}"/>
    <cellStyle name="Normal 93 4" xfId="14772" xr:uid="{00000000-0005-0000-0000-0000B4390000}"/>
    <cellStyle name="Normal 94" xfId="14773" xr:uid="{00000000-0005-0000-0000-0000B5390000}"/>
    <cellStyle name="Normal 94 2" xfId="14774" xr:uid="{00000000-0005-0000-0000-0000B6390000}"/>
    <cellStyle name="Normal 94 2 2" xfId="14775" xr:uid="{00000000-0005-0000-0000-0000B7390000}"/>
    <cellStyle name="Normal 94 2 3" xfId="14776" xr:uid="{00000000-0005-0000-0000-0000B8390000}"/>
    <cellStyle name="Normal 94 3" xfId="14777" xr:uid="{00000000-0005-0000-0000-0000B9390000}"/>
    <cellStyle name="Normal 94 4" xfId="14778" xr:uid="{00000000-0005-0000-0000-0000BA390000}"/>
    <cellStyle name="Normal 95" xfId="14779" xr:uid="{00000000-0005-0000-0000-0000BB390000}"/>
    <cellStyle name="Normal 95 2" xfId="14780" xr:uid="{00000000-0005-0000-0000-0000BC390000}"/>
    <cellStyle name="Normal 95 2 2" xfId="14781" xr:uid="{00000000-0005-0000-0000-0000BD390000}"/>
    <cellStyle name="Normal 95 2 3" xfId="14782" xr:uid="{00000000-0005-0000-0000-0000BE390000}"/>
    <cellStyle name="Normal 95 3" xfId="14783" xr:uid="{00000000-0005-0000-0000-0000BF390000}"/>
    <cellStyle name="Normal 95 4" xfId="14784" xr:uid="{00000000-0005-0000-0000-0000C0390000}"/>
    <cellStyle name="Normal 96" xfId="14785" xr:uid="{00000000-0005-0000-0000-0000C1390000}"/>
    <cellStyle name="Normal 96 2" xfId="14786" xr:uid="{00000000-0005-0000-0000-0000C2390000}"/>
    <cellStyle name="Normal 96 2 2" xfId="14787" xr:uid="{00000000-0005-0000-0000-0000C3390000}"/>
    <cellStyle name="Normal 96 2 3" xfId="14788" xr:uid="{00000000-0005-0000-0000-0000C4390000}"/>
    <cellStyle name="Normal 96 3" xfId="14789" xr:uid="{00000000-0005-0000-0000-0000C5390000}"/>
    <cellStyle name="Normal 96 4" xfId="14790" xr:uid="{00000000-0005-0000-0000-0000C6390000}"/>
    <cellStyle name="Normal 97" xfId="14791" xr:uid="{00000000-0005-0000-0000-0000C7390000}"/>
    <cellStyle name="Normal 98" xfId="14792" xr:uid="{00000000-0005-0000-0000-0000C8390000}"/>
    <cellStyle name="Normal 99" xfId="14793" xr:uid="{00000000-0005-0000-0000-0000C9390000}"/>
    <cellStyle name="Normal_AECUBIP" xfId="15613" xr:uid="{706C52CF-EE07-4239-B943-0FB5237BB44E}"/>
    <cellStyle name="Normal_R01 BF" xfId="15618" xr:uid="{5C5B3B77-DF00-48A7-8339-ECE774C08C70}"/>
    <cellStyle name="Note 10" xfId="14794" xr:uid="{00000000-0005-0000-0000-0000CA390000}"/>
    <cellStyle name="Note 10 2" xfId="14795" xr:uid="{00000000-0005-0000-0000-0000CB390000}"/>
    <cellStyle name="Note 10 2 2" xfId="14796" xr:uid="{00000000-0005-0000-0000-0000CC390000}"/>
    <cellStyle name="Note 10 2 3" xfId="14797" xr:uid="{00000000-0005-0000-0000-0000CD390000}"/>
    <cellStyle name="Note 10 3" xfId="14798" xr:uid="{00000000-0005-0000-0000-0000CE390000}"/>
    <cellStyle name="Note 10 3 2" xfId="14799" xr:uid="{00000000-0005-0000-0000-0000CF390000}"/>
    <cellStyle name="Note 10 3 3" xfId="14800" xr:uid="{00000000-0005-0000-0000-0000D0390000}"/>
    <cellStyle name="Note 10 4" xfId="14801" xr:uid="{00000000-0005-0000-0000-0000D1390000}"/>
    <cellStyle name="Note 10 4 2" xfId="14802" xr:uid="{00000000-0005-0000-0000-0000D2390000}"/>
    <cellStyle name="Note 10 5" xfId="14803" xr:uid="{00000000-0005-0000-0000-0000D3390000}"/>
    <cellStyle name="Note 10 6" xfId="14804" xr:uid="{00000000-0005-0000-0000-0000D4390000}"/>
    <cellStyle name="Note 11" xfId="14805" xr:uid="{00000000-0005-0000-0000-0000D5390000}"/>
    <cellStyle name="Note 11 2" xfId="14806" xr:uid="{00000000-0005-0000-0000-0000D6390000}"/>
    <cellStyle name="Note 11 2 2" xfId="14807" xr:uid="{00000000-0005-0000-0000-0000D7390000}"/>
    <cellStyle name="Note 11 2 3" xfId="14808" xr:uid="{00000000-0005-0000-0000-0000D8390000}"/>
    <cellStyle name="Note 11 3" xfId="14809" xr:uid="{00000000-0005-0000-0000-0000D9390000}"/>
    <cellStyle name="Note 11 3 2" xfId="14810" xr:uid="{00000000-0005-0000-0000-0000DA390000}"/>
    <cellStyle name="Note 11 3 3" xfId="14811" xr:uid="{00000000-0005-0000-0000-0000DB390000}"/>
    <cellStyle name="Note 11 4" xfId="14812" xr:uid="{00000000-0005-0000-0000-0000DC390000}"/>
    <cellStyle name="Note 11 4 2" xfId="14813" xr:uid="{00000000-0005-0000-0000-0000DD390000}"/>
    <cellStyle name="Note 11 5" xfId="14814" xr:uid="{00000000-0005-0000-0000-0000DE390000}"/>
    <cellStyle name="Note 11 6" xfId="14815" xr:uid="{00000000-0005-0000-0000-0000DF390000}"/>
    <cellStyle name="Note 12" xfId="14816" xr:uid="{00000000-0005-0000-0000-0000E0390000}"/>
    <cellStyle name="Note 12 2" xfId="14817" xr:uid="{00000000-0005-0000-0000-0000E1390000}"/>
    <cellStyle name="Note 12 2 2" xfId="14818" xr:uid="{00000000-0005-0000-0000-0000E2390000}"/>
    <cellStyle name="Note 12 2 3" xfId="14819" xr:uid="{00000000-0005-0000-0000-0000E3390000}"/>
    <cellStyle name="Note 12 3" xfId="14820" xr:uid="{00000000-0005-0000-0000-0000E4390000}"/>
    <cellStyle name="Note 12 3 2" xfId="14821" xr:uid="{00000000-0005-0000-0000-0000E5390000}"/>
    <cellStyle name="Note 12 3 3" xfId="14822" xr:uid="{00000000-0005-0000-0000-0000E6390000}"/>
    <cellStyle name="Note 12 4" xfId="14823" xr:uid="{00000000-0005-0000-0000-0000E7390000}"/>
    <cellStyle name="Note 12 4 2" xfId="14824" xr:uid="{00000000-0005-0000-0000-0000E8390000}"/>
    <cellStyle name="Note 12 5" xfId="14825" xr:uid="{00000000-0005-0000-0000-0000E9390000}"/>
    <cellStyle name="Note 12 6" xfId="14826" xr:uid="{00000000-0005-0000-0000-0000EA390000}"/>
    <cellStyle name="Note 13" xfId="14827" xr:uid="{00000000-0005-0000-0000-0000EB390000}"/>
    <cellStyle name="Note 13 2" xfId="14828" xr:uid="{00000000-0005-0000-0000-0000EC390000}"/>
    <cellStyle name="Note 13 2 2" xfId="14829" xr:uid="{00000000-0005-0000-0000-0000ED390000}"/>
    <cellStyle name="Note 13 2 3" xfId="14830" xr:uid="{00000000-0005-0000-0000-0000EE390000}"/>
    <cellStyle name="Note 13 3" xfId="14831" xr:uid="{00000000-0005-0000-0000-0000EF390000}"/>
    <cellStyle name="Note 13 3 2" xfId="14832" xr:uid="{00000000-0005-0000-0000-0000F0390000}"/>
    <cellStyle name="Note 13 3 3" xfId="14833" xr:uid="{00000000-0005-0000-0000-0000F1390000}"/>
    <cellStyle name="Note 13 4" xfId="14834" xr:uid="{00000000-0005-0000-0000-0000F2390000}"/>
    <cellStyle name="Note 13 4 2" xfId="14835" xr:uid="{00000000-0005-0000-0000-0000F3390000}"/>
    <cellStyle name="Note 13 5" xfId="14836" xr:uid="{00000000-0005-0000-0000-0000F4390000}"/>
    <cellStyle name="Note 13 6" xfId="14837" xr:uid="{00000000-0005-0000-0000-0000F5390000}"/>
    <cellStyle name="Note 14" xfId="14838" xr:uid="{00000000-0005-0000-0000-0000F6390000}"/>
    <cellStyle name="Note 14 2" xfId="14839" xr:uid="{00000000-0005-0000-0000-0000F7390000}"/>
    <cellStyle name="Note 14 2 2" xfId="14840" xr:uid="{00000000-0005-0000-0000-0000F8390000}"/>
    <cellStyle name="Note 14 2 3" xfId="14841" xr:uid="{00000000-0005-0000-0000-0000F9390000}"/>
    <cellStyle name="Note 14 3" xfId="14842" xr:uid="{00000000-0005-0000-0000-0000FA390000}"/>
    <cellStyle name="Note 14 3 2" xfId="14843" xr:uid="{00000000-0005-0000-0000-0000FB390000}"/>
    <cellStyle name="Note 14 4" xfId="14844" xr:uid="{00000000-0005-0000-0000-0000FC390000}"/>
    <cellStyle name="Note 14 5" xfId="14845" xr:uid="{00000000-0005-0000-0000-0000FD390000}"/>
    <cellStyle name="Note 15" xfId="14846" xr:uid="{00000000-0005-0000-0000-0000FE390000}"/>
    <cellStyle name="Note 15 2" xfId="14847" xr:uid="{00000000-0005-0000-0000-0000FF390000}"/>
    <cellStyle name="Note 15 2 2" xfId="14848" xr:uid="{00000000-0005-0000-0000-0000003A0000}"/>
    <cellStyle name="Note 15 2 3" xfId="14849" xr:uid="{00000000-0005-0000-0000-0000013A0000}"/>
    <cellStyle name="Note 15 3" xfId="14850" xr:uid="{00000000-0005-0000-0000-0000023A0000}"/>
    <cellStyle name="Note 15 3 2" xfId="14851" xr:uid="{00000000-0005-0000-0000-0000033A0000}"/>
    <cellStyle name="Note 15 4" xfId="14852" xr:uid="{00000000-0005-0000-0000-0000043A0000}"/>
    <cellStyle name="Note 15 5" xfId="14853" xr:uid="{00000000-0005-0000-0000-0000053A0000}"/>
    <cellStyle name="Note 16" xfId="14854" xr:uid="{00000000-0005-0000-0000-0000063A0000}"/>
    <cellStyle name="Note 16 2" xfId="14855" xr:uid="{00000000-0005-0000-0000-0000073A0000}"/>
    <cellStyle name="Note 16 3" xfId="14856" xr:uid="{00000000-0005-0000-0000-0000083A0000}"/>
    <cellStyle name="Note 17" xfId="14857" xr:uid="{00000000-0005-0000-0000-0000093A0000}"/>
    <cellStyle name="Note 17 2" xfId="14858" xr:uid="{00000000-0005-0000-0000-00000A3A0000}"/>
    <cellStyle name="Note 17 3" xfId="14859" xr:uid="{00000000-0005-0000-0000-00000B3A0000}"/>
    <cellStyle name="Note 18" xfId="14860" xr:uid="{00000000-0005-0000-0000-00000C3A0000}"/>
    <cellStyle name="Note 18 2" xfId="14861" xr:uid="{00000000-0005-0000-0000-00000D3A0000}"/>
    <cellStyle name="Note 19" xfId="14862" xr:uid="{00000000-0005-0000-0000-00000E3A0000}"/>
    <cellStyle name="Note 19 2" xfId="14863" xr:uid="{00000000-0005-0000-0000-00000F3A0000}"/>
    <cellStyle name="Note 2" xfId="14864" xr:uid="{00000000-0005-0000-0000-0000103A0000}"/>
    <cellStyle name="Note 2 10" xfId="14865" xr:uid="{00000000-0005-0000-0000-0000113A0000}"/>
    <cellStyle name="Note 2 10 2" xfId="14866" xr:uid="{00000000-0005-0000-0000-0000123A0000}"/>
    <cellStyle name="Note 2 10 3" xfId="14867" xr:uid="{00000000-0005-0000-0000-0000133A0000}"/>
    <cellStyle name="Note 2 11" xfId="14868" xr:uid="{00000000-0005-0000-0000-0000143A0000}"/>
    <cellStyle name="Note 2 11 2" xfId="14869" xr:uid="{00000000-0005-0000-0000-0000153A0000}"/>
    <cellStyle name="Note 2 11 3" xfId="14870" xr:uid="{00000000-0005-0000-0000-0000163A0000}"/>
    <cellStyle name="Note 2 12" xfId="14871" xr:uid="{00000000-0005-0000-0000-0000173A0000}"/>
    <cellStyle name="Note 2 12 2" xfId="14872" xr:uid="{00000000-0005-0000-0000-0000183A0000}"/>
    <cellStyle name="Note 2 13" xfId="14873" xr:uid="{00000000-0005-0000-0000-0000193A0000}"/>
    <cellStyle name="Note 2 13 2" xfId="14874" xr:uid="{00000000-0005-0000-0000-00001A3A0000}"/>
    <cellStyle name="Note 2 13 3" xfId="14875" xr:uid="{00000000-0005-0000-0000-00001B3A0000}"/>
    <cellStyle name="Note 2 14" xfId="14876" xr:uid="{00000000-0005-0000-0000-00001C3A0000}"/>
    <cellStyle name="Note 2 14 2" xfId="14877" xr:uid="{00000000-0005-0000-0000-00001D3A0000}"/>
    <cellStyle name="Note 2 15" xfId="14878" xr:uid="{00000000-0005-0000-0000-00001E3A0000}"/>
    <cellStyle name="Note 2 15 2" xfId="14879" xr:uid="{00000000-0005-0000-0000-00001F3A0000}"/>
    <cellStyle name="Note 2 16" xfId="14880" xr:uid="{00000000-0005-0000-0000-0000203A0000}"/>
    <cellStyle name="Note 2 16 2" xfId="14881" xr:uid="{00000000-0005-0000-0000-0000213A0000}"/>
    <cellStyle name="Note 2 17" xfId="14882" xr:uid="{00000000-0005-0000-0000-0000223A0000}"/>
    <cellStyle name="Note 2 17 2" xfId="14883" xr:uid="{00000000-0005-0000-0000-0000233A0000}"/>
    <cellStyle name="Note 2 18" xfId="14884" xr:uid="{00000000-0005-0000-0000-0000243A0000}"/>
    <cellStyle name="Note 2 18 2" xfId="14885" xr:uid="{00000000-0005-0000-0000-0000253A0000}"/>
    <cellStyle name="Note 2 19" xfId="14886" xr:uid="{00000000-0005-0000-0000-0000263A0000}"/>
    <cellStyle name="Note 2 19 2" xfId="14887" xr:uid="{00000000-0005-0000-0000-0000273A0000}"/>
    <cellStyle name="Note 2 2" xfId="14888" xr:uid="{00000000-0005-0000-0000-0000283A0000}"/>
    <cellStyle name="Note 2 2 2" xfId="14889" xr:uid="{00000000-0005-0000-0000-0000293A0000}"/>
    <cellStyle name="Note 2 2 3" xfId="14890" xr:uid="{00000000-0005-0000-0000-00002A3A0000}"/>
    <cellStyle name="Note 2 20" xfId="14891" xr:uid="{00000000-0005-0000-0000-00002B3A0000}"/>
    <cellStyle name="Note 2 20 2" xfId="14892" xr:uid="{00000000-0005-0000-0000-00002C3A0000}"/>
    <cellStyle name="Note 2 21" xfId="14893" xr:uid="{00000000-0005-0000-0000-00002D3A0000}"/>
    <cellStyle name="Note 2 21 2" xfId="14894" xr:uid="{00000000-0005-0000-0000-00002E3A0000}"/>
    <cellStyle name="Note 2 22" xfId="14895" xr:uid="{00000000-0005-0000-0000-00002F3A0000}"/>
    <cellStyle name="Note 2 23" xfId="14896" xr:uid="{00000000-0005-0000-0000-0000303A0000}"/>
    <cellStyle name="Note 2 24" xfId="14897" xr:uid="{00000000-0005-0000-0000-0000313A0000}"/>
    <cellStyle name="Note 2 25" xfId="14898" xr:uid="{00000000-0005-0000-0000-0000323A0000}"/>
    <cellStyle name="Note 2 3" xfId="14899" xr:uid="{00000000-0005-0000-0000-0000333A0000}"/>
    <cellStyle name="Note 2 3 2" xfId="14900" xr:uid="{00000000-0005-0000-0000-0000343A0000}"/>
    <cellStyle name="Note 2 3 3" xfId="14901" xr:uid="{00000000-0005-0000-0000-0000353A0000}"/>
    <cellStyle name="Note 2 4" xfId="14902" xr:uid="{00000000-0005-0000-0000-0000363A0000}"/>
    <cellStyle name="Note 2 4 2" xfId="14903" xr:uid="{00000000-0005-0000-0000-0000373A0000}"/>
    <cellStyle name="Note 2 4 3" xfId="14904" xr:uid="{00000000-0005-0000-0000-0000383A0000}"/>
    <cellStyle name="Note 2 5" xfId="14905" xr:uid="{00000000-0005-0000-0000-0000393A0000}"/>
    <cellStyle name="Note 2 5 2" xfId="14906" xr:uid="{00000000-0005-0000-0000-00003A3A0000}"/>
    <cellStyle name="Note 2 5 3" xfId="14907" xr:uid="{00000000-0005-0000-0000-00003B3A0000}"/>
    <cellStyle name="Note 2 6" xfId="14908" xr:uid="{00000000-0005-0000-0000-00003C3A0000}"/>
    <cellStyle name="Note 2 6 2" xfId="14909" xr:uid="{00000000-0005-0000-0000-00003D3A0000}"/>
    <cellStyle name="Note 2 6 3" xfId="14910" xr:uid="{00000000-0005-0000-0000-00003E3A0000}"/>
    <cellStyle name="Note 2 7" xfId="14911" xr:uid="{00000000-0005-0000-0000-00003F3A0000}"/>
    <cellStyle name="Note 2 7 2" xfId="14912" xr:uid="{00000000-0005-0000-0000-0000403A0000}"/>
    <cellStyle name="Note 2 7 3" xfId="14913" xr:uid="{00000000-0005-0000-0000-0000413A0000}"/>
    <cellStyle name="Note 2 8" xfId="14914" xr:uid="{00000000-0005-0000-0000-0000423A0000}"/>
    <cellStyle name="Note 2 8 2" xfId="14915" xr:uid="{00000000-0005-0000-0000-0000433A0000}"/>
    <cellStyle name="Note 2 8 3" xfId="14916" xr:uid="{00000000-0005-0000-0000-0000443A0000}"/>
    <cellStyle name="Note 2 9" xfId="14917" xr:uid="{00000000-0005-0000-0000-0000453A0000}"/>
    <cellStyle name="Note 2 9 2" xfId="14918" xr:uid="{00000000-0005-0000-0000-0000463A0000}"/>
    <cellStyle name="Note 2 9 3" xfId="14919" xr:uid="{00000000-0005-0000-0000-0000473A0000}"/>
    <cellStyle name="Note 20" xfId="14920" xr:uid="{00000000-0005-0000-0000-0000483A0000}"/>
    <cellStyle name="Note 20 2" xfId="14921" xr:uid="{00000000-0005-0000-0000-0000493A0000}"/>
    <cellStyle name="Note 21" xfId="14922" xr:uid="{00000000-0005-0000-0000-00004A3A0000}"/>
    <cellStyle name="Note 21 2" xfId="14923" xr:uid="{00000000-0005-0000-0000-00004B3A0000}"/>
    <cellStyle name="Note 22" xfId="14924" xr:uid="{00000000-0005-0000-0000-00004C3A0000}"/>
    <cellStyle name="Note 22 2" xfId="14925" xr:uid="{00000000-0005-0000-0000-00004D3A0000}"/>
    <cellStyle name="Note 23" xfId="14926" xr:uid="{00000000-0005-0000-0000-00004E3A0000}"/>
    <cellStyle name="Note 24" xfId="14927" xr:uid="{00000000-0005-0000-0000-00004F3A0000}"/>
    <cellStyle name="Note 3" xfId="14928" xr:uid="{00000000-0005-0000-0000-0000503A0000}"/>
    <cellStyle name="Note 3 10" xfId="14929" xr:uid="{00000000-0005-0000-0000-0000513A0000}"/>
    <cellStyle name="Note 3 2" xfId="14930" xr:uid="{00000000-0005-0000-0000-0000523A0000}"/>
    <cellStyle name="Note 3 2 2" xfId="14931" xr:uid="{00000000-0005-0000-0000-0000533A0000}"/>
    <cellStyle name="Note 3 2 3" xfId="14932" xr:uid="{00000000-0005-0000-0000-0000543A0000}"/>
    <cellStyle name="Note 3 3" xfId="14933" xr:uid="{00000000-0005-0000-0000-0000553A0000}"/>
    <cellStyle name="Note 3 3 2" xfId="14934" xr:uid="{00000000-0005-0000-0000-0000563A0000}"/>
    <cellStyle name="Note 3 4" xfId="14935" xr:uid="{00000000-0005-0000-0000-0000573A0000}"/>
    <cellStyle name="Note 3 4 2" xfId="14936" xr:uid="{00000000-0005-0000-0000-0000583A0000}"/>
    <cellStyle name="Note 3 4 3" xfId="14937" xr:uid="{00000000-0005-0000-0000-0000593A0000}"/>
    <cellStyle name="Note 3 5" xfId="14938" xr:uid="{00000000-0005-0000-0000-00005A3A0000}"/>
    <cellStyle name="Note 3 5 2" xfId="14939" xr:uid="{00000000-0005-0000-0000-00005B3A0000}"/>
    <cellStyle name="Note 3 6" xfId="14940" xr:uid="{00000000-0005-0000-0000-00005C3A0000}"/>
    <cellStyle name="Note 3 6 2" xfId="14941" xr:uid="{00000000-0005-0000-0000-00005D3A0000}"/>
    <cellStyle name="Note 3 7" xfId="14942" xr:uid="{00000000-0005-0000-0000-00005E3A0000}"/>
    <cellStyle name="Note 3 8" xfId="14943" xr:uid="{00000000-0005-0000-0000-00005F3A0000}"/>
    <cellStyle name="Note 3 9" xfId="14944" xr:uid="{00000000-0005-0000-0000-0000603A0000}"/>
    <cellStyle name="Note 4" xfId="14945" xr:uid="{00000000-0005-0000-0000-0000613A0000}"/>
    <cellStyle name="Note 4 10" xfId="14946" xr:uid="{00000000-0005-0000-0000-0000623A0000}"/>
    <cellStyle name="Note 4 2" xfId="14947" xr:uid="{00000000-0005-0000-0000-0000633A0000}"/>
    <cellStyle name="Note 4 2 2" xfId="14948" xr:uid="{00000000-0005-0000-0000-0000643A0000}"/>
    <cellStyle name="Note 4 2 3" xfId="14949" xr:uid="{00000000-0005-0000-0000-0000653A0000}"/>
    <cellStyle name="Note 4 3" xfId="14950" xr:uid="{00000000-0005-0000-0000-0000663A0000}"/>
    <cellStyle name="Note 4 3 2" xfId="14951" xr:uid="{00000000-0005-0000-0000-0000673A0000}"/>
    <cellStyle name="Note 4 4" xfId="14952" xr:uid="{00000000-0005-0000-0000-0000683A0000}"/>
    <cellStyle name="Note 4 4 2" xfId="14953" xr:uid="{00000000-0005-0000-0000-0000693A0000}"/>
    <cellStyle name="Note 4 4 3" xfId="14954" xr:uid="{00000000-0005-0000-0000-00006A3A0000}"/>
    <cellStyle name="Note 4 5" xfId="14955" xr:uid="{00000000-0005-0000-0000-00006B3A0000}"/>
    <cellStyle name="Note 4 5 2" xfId="14956" xr:uid="{00000000-0005-0000-0000-00006C3A0000}"/>
    <cellStyle name="Note 4 6" xfId="14957" xr:uid="{00000000-0005-0000-0000-00006D3A0000}"/>
    <cellStyle name="Note 4 6 2" xfId="14958" xr:uid="{00000000-0005-0000-0000-00006E3A0000}"/>
    <cellStyle name="Note 4 7" xfId="14959" xr:uid="{00000000-0005-0000-0000-00006F3A0000}"/>
    <cellStyle name="Note 4 8" xfId="14960" xr:uid="{00000000-0005-0000-0000-0000703A0000}"/>
    <cellStyle name="Note 4 9" xfId="14961" xr:uid="{00000000-0005-0000-0000-0000713A0000}"/>
    <cellStyle name="Note 5" xfId="14962" xr:uid="{00000000-0005-0000-0000-0000723A0000}"/>
    <cellStyle name="Note 5 2" xfId="14963" xr:uid="{00000000-0005-0000-0000-0000733A0000}"/>
    <cellStyle name="Note 5 2 2" xfId="14964" xr:uid="{00000000-0005-0000-0000-0000743A0000}"/>
    <cellStyle name="Note 5 2 3" xfId="14965" xr:uid="{00000000-0005-0000-0000-0000753A0000}"/>
    <cellStyle name="Note 5 3" xfId="14966" xr:uid="{00000000-0005-0000-0000-0000763A0000}"/>
    <cellStyle name="Note 5 3 2" xfId="14967" xr:uid="{00000000-0005-0000-0000-0000773A0000}"/>
    <cellStyle name="Note 5 3 3" xfId="14968" xr:uid="{00000000-0005-0000-0000-0000783A0000}"/>
    <cellStyle name="Note 5 4" xfId="14969" xr:uid="{00000000-0005-0000-0000-0000793A0000}"/>
    <cellStyle name="Note 5 4 2" xfId="14970" xr:uid="{00000000-0005-0000-0000-00007A3A0000}"/>
    <cellStyle name="Note 5 5" xfId="14971" xr:uid="{00000000-0005-0000-0000-00007B3A0000}"/>
    <cellStyle name="Note 5 6" xfId="14972" xr:uid="{00000000-0005-0000-0000-00007C3A0000}"/>
    <cellStyle name="Note 6" xfId="14973" xr:uid="{00000000-0005-0000-0000-00007D3A0000}"/>
    <cellStyle name="Note 6 2" xfId="14974" xr:uid="{00000000-0005-0000-0000-00007E3A0000}"/>
    <cellStyle name="Note 6 2 2" xfId="14975" xr:uid="{00000000-0005-0000-0000-00007F3A0000}"/>
    <cellStyle name="Note 6 2 3" xfId="14976" xr:uid="{00000000-0005-0000-0000-0000803A0000}"/>
    <cellStyle name="Note 6 3" xfId="14977" xr:uid="{00000000-0005-0000-0000-0000813A0000}"/>
    <cellStyle name="Note 6 3 2" xfId="14978" xr:uid="{00000000-0005-0000-0000-0000823A0000}"/>
    <cellStyle name="Note 6 3 3" xfId="14979" xr:uid="{00000000-0005-0000-0000-0000833A0000}"/>
    <cellStyle name="Note 6 4" xfId="14980" xr:uid="{00000000-0005-0000-0000-0000843A0000}"/>
    <cellStyle name="Note 6 4 2" xfId="14981" xr:uid="{00000000-0005-0000-0000-0000853A0000}"/>
    <cellStyle name="Note 6 5" xfId="14982" xr:uid="{00000000-0005-0000-0000-0000863A0000}"/>
    <cellStyle name="Note 6 6" xfId="14983" xr:uid="{00000000-0005-0000-0000-0000873A0000}"/>
    <cellStyle name="Note 7" xfId="14984" xr:uid="{00000000-0005-0000-0000-0000883A0000}"/>
    <cellStyle name="Note 7 2" xfId="14985" xr:uid="{00000000-0005-0000-0000-0000893A0000}"/>
    <cellStyle name="Note 7 2 2" xfId="14986" xr:uid="{00000000-0005-0000-0000-00008A3A0000}"/>
    <cellStyle name="Note 7 2 3" xfId="14987" xr:uid="{00000000-0005-0000-0000-00008B3A0000}"/>
    <cellStyle name="Note 7 3" xfId="14988" xr:uid="{00000000-0005-0000-0000-00008C3A0000}"/>
    <cellStyle name="Note 7 3 2" xfId="14989" xr:uid="{00000000-0005-0000-0000-00008D3A0000}"/>
    <cellStyle name="Note 7 3 3" xfId="14990" xr:uid="{00000000-0005-0000-0000-00008E3A0000}"/>
    <cellStyle name="Note 7 4" xfId="14991" xr:uid="{00000000-0005-0000-0000-00008F3A0000}"/>
    <cellStyle name="Note 7 4 2" xfId="14992" xr:uid="{00000000-0005-0000-0000-0000903A0000}"/>
    <cellStyle name="Note 7 5" xfId="14993" xr:uid="{00000000-0005-0000-0000-0000913A0000}"/>
    <cellStyle name="Note 7 6" xfId="14994" xr:uid="{00000000-0005-0000-0000-0000923A0000}"/>
    <cellStyle name="Note 8" xfId="14995" xr:uid="{00000000-0005-0000-0000-0000933A0000}"/>
    <cellStyle name="Note 8 2" xfId="14996" xr:uid="{00000000-0005-0000-0000-0000943A0000}"/>
    <cellStyle name="Note 8 2 2" xfId="14997" xr:uid="{00000000-0005-0000-0000-0000953A0000}"/>
    <cellStyle name="Note 8 2 3" xfId="14998" xr:uid="{00000000-0005-0000-0000-0000963A0000}"/>
    <cellStyle name="Note 8 3" xfId="14999" xr:uid="{00000000-0005-0000-0000-0000973A0000}"/>
    <cellStyle name="Note 8 3 2" xfId="15000" xr:uid="{00000000-0005-0000-0000-0000983A0000}"/>
    <cellStyle name="Note 8 3 3" xfId="15001" xr:uid="{00000000-0005-0000-0000-0000993A0000}"/>
    <cellStyle name="Note 8 4" xfId="15002" xr:uid="{00000000-0005-0000-0000-00009A3A0000}"/>
    <cellStyle name="Note 8 4 2" xfId="15003" xr:uid="{00000000-0005-0000-0000-00009B3A0000}"/>
    <cellStyle name="Note 8 5" xfId="15004" xr:uid="{00000000-0005-0000-0000-00009C3A0000}"/>
    <cellStyle name="Note 8 6" xfId="15005" xr:uid="{00000000-0005-0000-0000-00009D3A0000}"/>
    <cellStyle name="Note 9" xfId="15006" xr:uid="{00000000-0005-0000-0000-00009E3A0000}"/>
    <cellStyle name="Note 9 2" xfId="15007" xr:uid="{00000000-0005-0000-0000-00009F3A0000}"/>
    <cellStyle name="Note 9 2 2" xfId="15008" xr:uid="{00000000-0005-0000-0000-0000A03A0000}"/>
    <cellStyle name="Note 9 2 3" xfId="15009" xr:uid="{00000000-0005-0000-0000-0000A13A0000}"/>
    <cellStyle name="Note 9 3" xfId="15010" xr:uid="{00000000-0005-0000-0000-0000A23A0000}"/>
    <cellStyle name="Note 9 3 2" xfId="15011" xr:uid="{00000000-0005-0000-0000-0000A33A0000}"/>
    <cellStyle name="Note 9 3 3" xfId="15012" xr:uid="{00000000-0005-0000-0000-0000A43A0000}"/>
    <cellStyle name="Note 9 4" xfId="15013" xr:uid="{00000000-0005-0000-0000-0000A53A0000}"/>
    <cellStyle name="Note 9 4 2" xfId="15014" xr:uid="{00000000-0005-0000-0000-0000A63A0000}"/>
    <cellStyle name="Note 9 5" xfId="15015" xr:uid="{00000000-0005-0000-0000-0000A73A0000}"/>
    <cellStyle name="Note 9 6" xfId="15016" xr:uid="{00000000-0005-0000-0000-0000A83A0000}"/>
    <cellStyle name="Output 10" xfId="15017" xr:uid="{00000000-0005-0000-0000-0000A93A0000}"/>
    <cellStyle name="Output 11" xfId="15018" xr:uid="{00000000-0005-0000-0000-0000AA3A0000}"/>
    <cellStyle name="Output 12" xfId="15019" xr:uid="{00000000-0005-0000-0000-0000AB3A0000}"/>
    <cellStyle name="Output 2" xfId="15020" xr:uid="{00000000-0005-0000-0000-0000AC3A0000}"/>
    <cellStyle name="Output 2 10" xfId="15021" xr:uid="{00000000-0005-0000-0000-0000AD3A0000}"/>
    <cellStyle name="Output 2 2" xfId="15022" xr:uid="{00000000-0005-0000-0000-0000AE3A0000}"/>
    <cellStyle name="Output 2 2 2" xfId="15023" xr:uid="{00000000-0005-0000-0000-0000AF3A0000}"/>
    <cellStyle name="Output 2 2 2 2" xfId="15024" xr:uid="{00000000-0005-0000-0000-0000B03A0000}"/>
    <cellStyle name="Output 2 2 2 2 2" xfId="15025" xr:uid="{00000000-0005-0000-0000-0000B13A0000}"/>
    <cellStyle name="Output 2 2 2 3" xfId="15026" xr:uid="{00000000-0005-0000-0000-0000B23A0000}"/>
    <cellStyle name="Output 2 2 2 3 2" xfId="15027" xr:uid="{00000000-0005-0000-0000-0000B33A0000}"/>
    <cellStyle name="Output 2 2 2 4" xfId="15028" xr:uid="{00000000-0005-0000-0000-0000B43A0000}"/>
    <cellStyle name="Output 2 2 2 5" xfId="15029" xr:uid="{00000000-0005-0000-0000-0000B53A0000}"/>
    <cellStyle name="Output 2 2 2 6" xfId="15030" xr:uid="{00000000-0005-0000-0000-0000B63A0000}"/>
    <cellStyle name="Output 2 2 2 7" xfId="15031" xr:uid="{00000000-0005-0000-0000-0000B73A0000}"/>
    <cellStyle name="Output 2 2 2 8" xfId="15032" xr:uid="{00000000-0005-0000-0000-0000B83A0000}"/>
    <cellStyle name="Output 2 2 2 9" xfId="15033" xr:uid="{00000000-0005-0000-0000-0000B93A0000}"/>
    <cellStyle name="Output 2 2 3" xfId="15034" xr:uid="{00000000-0005-0000-0000-0000BA3A0000}"/>
    <cellStyle name="Output 2 2 3 2" xfId="15035" xr:uid="{00000000-0005-0000-0000-0000BB3A0000}"/>
    <cellStyle name="Output 2 2 4" xfId="15036" xr:uid="{00000000-0005-0000-0000-0000BC3A0000}"/>
    <cellStyle name="Output 2 2 5" xfId="15037" xr:uid="{00000000-0005-0000-0000-0000BD3A0000}"/>
    <cellStyle name="Output 2 2 6" xfId="15038" xr:uid="{00000000-0005-0000-0000-0000BE3A0000}"/>
    <cellStyle name="Output 2 2 7" xfId="15039" xr:uid="{00000000-0005-0000-0000-0000BF3A0000}"/>
    <cellStyle name="Output 2 2 8" xfId="15040" xr:uid="{00000000-0005-0000-0000-0000C03A0000}"/>
    <cellStyle name="Output 2 2 9" xfId="15041" xr:uid="{00000000-0005-0000-0000-0000C13A0000}"/>
    <cellStyle name="Output 2 3" xfId="15042" xr:uid="{00000000-0005-0000-0000-0000C23A0000}"/>
    <cellStyle name="Output 2 3 2" xfId="15043" xr:uid="{00000000-0005-0000-0000-0000C33A0000}"/>
    <cellStyle name="Output 2 4" xfId="15044" xr:uid="{00000000-0005-0000-0000-0000C43A0000}"/>
    <cellStyle name="Output 2 4 2" xfId="15045" xr:uid="{00000000-0005-0000-0000-0000C53A0000}"/>
    <cellStyle name="Output 2 5" xfId="15046" xr:uid="{00000000-0005-0000-0000-0000C63A0000}"/>
    <cellStyle name="Output 2 6" xfId="15047" xr:uid="{00000000-0005-0000-0000-0000C73A0000}"/>
    <cellStyle name="Output 2 7" xfId="15048" xr:uid="{00000000-0005-0000-0000-0000C83A0000}"/>
    <cellStyle name="Output 2 8" xfId="15049" xr:uid="{00000000-0005-0000-0000-0000C93A0000}"/>
    <cellStyle name="Output 2 9" xfId="15050" xr:uid="{00000000-0005-0000-0000-0000CA3A0000}"/>
    <cellStyle name="Output 3" xfId="15051" xr:uid="{00000000-0005-0000-0000-0000CB3A0000}"/>
    <cellStyle name="Output 3 2" xfId="15052" xr:uid="{00000000-0005-0000-0000-0000CC3A0000}"/>
    <cellStyle name="Output 4" xfId="15053" xr:uid="{00000000-0005-0000-0000-0000CD3A0000}"/>
    <cellStyle name="Output 4 2" xfId="15054" xr:uid="{00000000-0005-0000-0000-0000CE3A0000}"/>
    <cellStyle name="Output 5" xfId="15055" xr:uid="{00000000-0005-0000-0000-0000CF3A0000}"/>
    <cellStyle name="Output 5 2" xfId="15056" xr:uid="{00000000-0005-0000-0000-0000D03A0000}"/>
    <cellStyle name="Output 6" xfId="15057" xr:uid="{00000000-0005-0000-0000-0000D13A0000}"/>
    <cellStyle name="Output 7" xfId="15058" xr:uid="{00000000-0005-0000-0000-0000D23A0000}"/>
    <cellStyle name="Output 8" xfId="15059" xr:uid="{00000000-0005-0000-0000-0000D33A0000}"/>
    <cellStyle name="Output 9" xfId="15060" xr:uid="{00000000-0005-0000-0000-0000D43A0000}"/>
    <cellStyle name="Output Amounts" xfId="15061" xr:uid="{00000000-0005-0000-0000-0000D53A0000}"/>
    <cellStyle name="Output Amounts 10" xfId="15062" xr:uid="{00000000-0005-0000-0000-0000D63A0000}"/>
    <cellStyle name="OUTPUT AMOUNTS 10 2" xfId="15063" xr:uid="{00000000-0005-0000-0000-0000D73A0000}"/>
    <cellStyle name="OUTPUT AMOUNTS 10 3" xfId="15064" xr:uid="{00000000-0005-0000-0000-0000D83A0000}"/>
    <cellStyle name="Output Amounts 11" xfId="15065" xr:uid="{00000000-0005-0000-0000-0000D93A0000}"/>
    <cellStyle name="OUTPUT AMOUNTS 11 2" xfId="15066" xr:uid="{00000000-0005-0000-0000-0000DA3A0000}"/>
    <cellStyle name="OUTPUT AMOUNTS 11 3" xfId="15067" xr:uid="{00000000-0005-0000-0000-0000DB3A0000}"/>
    <cellStyle name="OUTPUT AMOUNTS 11 4" xfId="15068" xr:uid="{00000000-0005-0000-0000-0000DC3A0000}"/>
    <cellStyle name="Output Amounts 12" xfId="15069" xr:uid="{00000000-0005-0000-0000-0000DD3A0000}"/>
    <cellStyle name="Output Amounts 12 2" xfId="15070" xr:uid="{00000000-0005-0000-0000-0000DE3A0000}"/>
    <cellStyle name="OUTPUT AMOUNTS 12 3" xfId="15071" xr:uid="{00000000-0005-0000-0000-0000DF3A0000}"/>
    <cellStyle name="OUTPUT AMOUNTS 12 4" xfId="15072" xr:uid="{00000000-0005-0000-0000-0000E03A0000}"/>
    <cellStyle name="OUTPUT AMOUNTS 12 5" xfId="15073" xr:uid="{00000000-0005-0000-0000-0000E13A0000}"/>
    <cellStyle name="OUTPUT AMOUNTS 12 6" xfId="15074" xr:uid="{00000000-0005-0000-0000-0000E23A0000}"/>
    <cellStyle name="Output Amounts 13" xfId="15075" xr:uid="{00000000-0005-0000-0000-0000E33A0000}"/>
    <cellStyle name="Output Amounts 13 2" xfId="15076" xr:uid="{00000000-0005-0000-0000-0000E43A0000}"/>
    <cellStyle name="OUTPUT AMOUNTS 13 3" xfId="15077" xr:uid="{00000000-0005-0000-0000-0000E53A0000}"/>
    <cellStyle name="OUTPUT AMOUNTS 13 4" xfId="15078" xr:uid="{00000000-0005-0000-0000-0000E63A0000}"/>
    <cellStyle name="OUTPUT AMOUNTS 13 5" xfId="15079" xr:uid="{00000000-0005-0000-0000-0000E73A0000}"/>
    <cellStyle name="OUTPUT AMOUNTS 13 6" xfId="15080" xr:uid="{00000000-0005-0000-0000-0000E83A0000}"/>
    <cellStyle name="Output Amounts 14" xfId="15081" xr:uid="{00000000-0005-0000-0000-0000E93A0000}"/>
    <cellStyle name="OUTPUT AMOUNTS 14 2" xfId="15082" xr:uid="{00000000-0005-0000-0000-0000EA3A0000}"/>
    <cellStyle name="OUTPUT AMOUNTS 14 3" xfId="15083" xr:uid="{00000000-0005-0000-0000-0000EB3A0000}"/>
    <cellStyle name="OUTPUT AMOUNTS 15" xfId="15084" xr:uid="{00000000-0005-0000-0000-0000EC3A0000}"/>
    <cellStyle name="OUTPUT AMOUNTS 15 2" xfId="15085" xr:uid="{00000000-0005-0000-0000-0000ED3A0000}"/>
    <cellStyle name="OUTPUT AMOUNTS 16" xfId="15086" xr:uid="{00000000-0005-0000-0000-0000EE3A0000}"/>
    <cellStyle name="OUTPUT AMOUNTS 17" xfId="15087" xr:uid="{00000000-0005-0000-0000-0000EF3A0000}"/>
    <cellStyle name="Output Amounts 18" xfId="15088" xr:uid="{00000000-0005-0000-0000-0000F03A0000}"/>
    <cellStyle name="OUTPUT AMOUNTS 2" xfId="15089" xr:uid="{00000000-0005-0000-0000-0000F13A0000}"/>
    <cellStyle name="OUTPUT AMOUNTS 2 10" xfId="15090" xr:uid="{00000000-0005-0000-0000-0000F23A0000}"/>
    <cellStyle name="Output Amounts 2 11" xfId="15091" xr:uid="{00000000-0005-0000-0000-0000F33A0000}"/>
    <cellStyle name="Output Amounts 2 2" xfId="15092" xr:uid="{00000000-0005-0000-0000-0000F43A0000}"/>
    <cellStyle name="Output Amounts 2 2 2" xfId="15093" xr:uid="{00000000-0005-0000-0000-0000F53A0000}"/>
    <cellStyle name="Output Amounts 2 2 3" xfId="15094" xr:uid="{00000000-0005-0000-0000-0000F63A0000}"/>
    <cellStyle name="Output Amounts 2 2 4" xfId="15095" xr:uid="{00000000-0005-0000-0000-0000F73A0000}"/>
    <cellStyle name="OUTPUT AMOUNTS 2 2 5" xfId="15096" xr:uid="{00000000-0005-0000-0000-0000F83A0000}"/>
    <cellStyle name="OUTPUT AMOUNTS 2 2 6" xfId="15097" xr:uid="{00000000-0005-0000-0000-0000F93A0000}"/>
    <cellStyle name="OUTPUT AMOUNTS 2 2 7" xfId="15098" xr:uid="{00000000-0005-0000-0000-0000FA3A0000}"/>
    <cellStyle name="OUTPUT AMOUNTS 2 2 8" xfId="15099" xr:uid="{00000000-0005-0000-0000-0000FB3A0000}"/>
    <cellStyle name="Output Amounts 2 3" xfId="15100" xr:uid="{00000000-0005-0000-0000-0000FC3A0000}"/>
    <cellStyle name="Output Amounts 2 3 2" xfId="15101" xr:uid="{00000000-0005-0000-0000-0000FD3A0000}"/>
    <cellStyle name="Output Amounts 2 4" xfId="15102" xr:uid="{00000000-0005-0000-0000-0000FE3A0000}"/>
    <cellStyle name="Output Amounts 2 4 2" xfId="15103" xr:uid="{00000000-0005-0000-0000-0000FF3A0000}"/>
    <cellStyle name="Output Amounts 2 5" xfId="15104" xr:uid="{00000000-0005-0000-0000-0000003B0000}"/>
    <cellStyle name="Output Amounts 2 5 2" xfId="15105" xr:uid="{00000000-0005-0000-0000-0000013B0000}"/>
    <cellStyle name="OUTPUT AMOUNTS 2 6" xfId="15106" xr:uid="{00000000-0005-0000-0000-0000023B0000}"/>
    <cellStyle name="OUTPUT AMOUNTS 2 6 2" xfId="15107" xr:uid="{00000000-0005-0000-0000-0000033B0000}"/>
    <cellStyle name="OUTPUT AMOUNTS 2 7" xfId="15108" xr:uid="{00000000-0005-0000-0000-0000043B0000}"/>
    <cellStyle name="Output Amounts 2 8" xfId="15109" xr:uid="{00000000-0005-0000-0000-0000053B0000}"/>
    <cellStyle name="OUTPUT AMOUNTS 2 9" xfId="15110" xr:uid="{00000000-0005-0000-0000-0000063B0000}"/>
    <cellStyle name="Output Amounts 3" xfId="15111" xr:uid="{00000000-0005-0000-0000-0000073B0000}"/>
    <cellStyle name="OUTPUT AMOUNTS 3 2" xfId="15112" xr:uid="{00000000-0005-0000-0000-0000083B0000}"/>
    <cellStyle name="OUTPUT AMOUNTS 3 3" xfId="15113" xr:uid="{00000000-0005-0000-0000-0000093B0000}"/>
    <cellStyle name="Output Amounts 4" xfId="15114" xr:uid="{00000000-0005-0000-0000-00000A3B0000}"/>
    <cellStyle name="OUTPUT AMOUNTS 4 10" xfId="15115" xr:uid="{00000000-0005-0000-0000-00000B3B0000}"/>
    <cellStyle name="OUTPUT AMOUNTS 4 2" xfId="15116" xr:uid="{00000000-0005-0000-0000-00000C3B0000}"/>
    <cellStyle name="OUTPUT AMOUNTS 4 3" xfId="15117" xr:uid="{00000000-0005-0000-0000-00000D3B0000}"/>
    <cellStyle name="OUTPUT AMOUNTS 4 4" xfId="15118" xr:uid="{00000000-0005-0000-0000-00000E3B0000}"/>
    <cellStyle name="Output Amounts 4 5" xfId="15119" xr:uid="{00000000-0005-0000-0000-00000F3B0000}"/>
    <cellStyle name="Output Amounts 4 6" xfId="15120" xr:uid="{00000000-0005-0000-0000-0000103B0000}"/>
    <cellStyle name="Output Amounts 4 7" xfId="15121" xr:uid="{00000000-0005-0000-0000-0000113B0000}"/>
    <cellStyle name="Output Amounts 4 8" xfId="15122" xr:uid="{00000000-0005-0000-0000-0000123B0000}"/>
    <cellStyle name="OUTPUT AMOUNTS 4 9" xfId="15123" xr:uid="{00000000-0005-0000-0000-0000133B0000}"/>
    <cellStyle name="Output Amounts 5" xfId="15124" xr:uid="{00000000-0005-0000-0000-0000143B0000}"/>
    <cellStyle name="OUTPUT AMOUNTS 5 2" xfId="15125" xr:uid="{00000000-0005-0000-0000-0000153B0000}"/>
    <cellStyle name="OUTPUT AMOUNTS 5 3" xfId="15126" xr:uid="{00000000-0005-0000-0000-0000163B0000}"/>
    <cellStyle name="Output Amounts 6" xfId="15127" xr:uid="{00000000-0005-0000-0000-0000173B0000}"/>
    <cellStyle name="OUTPUT AMOUNTS 6 2" xfId="15128" xr:uid="{00000000-0005-0000-0000-0000183B0000}"/>
    <cellStyle name="OUTPUT AMOUNTS 6 3" xfId="15129" xr:uid="{00000000-0005-0000-0000-0000193B0000}"/>
    <cellStyle name="Output Amounts 7" xfId="15130" xr:uid="{00000000-0005-0000-0000-00001A3B0000}"/>
    <cellStyle name="OUTPUT AMOUNTS 7 2" xfId="15131" xr:uid="{00000000-0005-0000-0000-00001B3B0000}"/>
    <cellStyle name="OUTPUT AMOUNTS 7 3" xfId="15132" xr:uid="{00000000-0005-0000-0000-00001C3B0000}"/>
    <cellStyle name="Output Amounts 8" xfId="15133" xr:uid="{00000000-0005-0000-0000-00001D3B0000}"/>
    <cellStyle name="OUTPUT AMOUNTS 8 2" xfId="15134" xr:uid="{00000000-0005-0000-0000-00001E3B0000}"/>
    <cellStyle name="OUTPUT AMOUNTS 8 3" xfId="15135" xr:uid="{00000000-0005-0000-0000-00001F3B0000}"/>
    <cellStyle name="Output Amounts 9" xfId="15136" xr:uid="{00000000-0005-0000-0000-0000203B0000}"/>
    <cellStyle name="OUTPUT AMOUNTS 9 2" xfId="15137" xr:uid="{00000000-0005-0000-0000-0000213B0000}"/>
    <cellStyle name="OUTPUT AMOUNTS 9 3" xfId="15138" xr:uid="{00000000-0005-0000-0000-0000223B0000}"/>
    <cellStyle name="OUTPUT AMOUNTS_04-09 Rev Sum" xfId="15139" xr:uid="{00000000-0005-0000-0000-0000233B0000}"/>
    <cellStyle name="Output Column Headings" xfId="15140" xr:uid="{00000000-0005-0000-0000-0000243B0000}"/>
    <cellStyle name="Output Column Headings 10" xfId="15141" xr:uid="{00000000-0005-0000-0000-0000253B0000}"/>
    <cellStyle name="OUTPUT COLUMN HEADINGS 10 2" xfId="15142" xr:uid="{00000000-0005-0000-0000-0000263B0000}"/>
    <cellStyle name="Output Column Headings 11" xfId="15143" xr:uid="{00000000-0005-0000-0000-0000273B0000}"/>
    <cellStyle name="Output Column Headings 11 2" xfId="15144" xr:uid="{00000000-0005-0000-0000-0000283B0000}"/>
    <cellStyle name="Output Column Headings 12" xfId="15145" xr:uid="{00000000-0005-0000-0000-0000293B0000}"/>
    <cellStyle name="Output Column Headings 12 2" xfId="15146" xr:uid="{00000000-0005-0000-0000-00002A3B0000}"/>
    <cellStyle name="Output Column Headings 13" xfId="15147" xr:uid="{00000000-0005-0000-0000-00002B3B0000}"/>
    <cellStyle name="OUTPUT COLUMN HEADINGS 13 2" xfId="15148" xr:uid="{00000000-0005-0000-0000-00002C3B0000}"/>
    <cellStyle name="Output Column Headings 14" xfId="15149" xr:uid="{00000000-0005-0000-0000-00002D3B0000}"/>
    <cellStyle name="OUTPUT COLUMN HEADINGS 15" xfId="15150" xr:uid="{00000000-0005-0000-0000-00002E3B0000}"/>
    <cellStyle name="OUTPUT COLUMN HEADINGS 16" xfId="15151" xr:uid="{00000000-0005-0000-0000-00002F3B0000}"/>
    <cellStyle name="Output Column Headings 17" xfId="15152" xr:uid="{00000000-0005-0000-0000-0000303B0000}"/>
    <cellStyle name="Output Column Headings 2" xfId="15153" xr:uid="{00000000-0005-0000-0000-0000313B0000}"/>
    <cellStyle name="Output Column Headings 2 2" xfId="15154" xr:uid="{00000000-0005-0000-0000-0000323B0000}"/>
    <cellStyle name="Output Column Headings 2 2 2" xfId="15155" xr:uid="{00000000-0005-0000-0000-0000333B0000}"/>
    <cellStyle name="Output Column Headings 2 2 3" xfId="15156" xr:uid="{00000000-0005-0000-0000-0000343B0000}"/>
    <cellStyle name="Output Column Headings 2 2 4" xfId="15157" xr:uid="{00000000-0005-0000-0000-0000353B0000}"/>
    <cellStyle name="OUTPUT COLUMN HEADINGS 2 2 5" xfId="15158" xr:uid="{00000000-0005-0000-0000-0000363B0000}"/>
    <cellStyle name="OUTPUT COLUMN HEADINGS 2 2 6" xfId="15159" xr:uid="{00000000-0005-0000-0000-0000373B0000}"/>
    <cellStyle name="OUTPUT COLUMN HEADINGS 2 2 7" xfId="15160" xr:uid="{00000000-0005-0000-0000-0000383B0000}"/>
    <cellStyle name="OUTPUT COLUMN HEADINGS 2 2 8" xfId="15161" xr:uid="{00000000-0005-0000-0000-0000393B0000}"/>
    <cellStyle name="Output Column Headings 2 3" xfId="15162" xr:uid="{00000000-0005-0000-0000-00003A3B0000}"/>
    <cellStyle name="Output Column Headings 2 3 2" xfId="15163" xr:uid="{00000000-0005-0000-0000-00003B3B0000}"/>
    <cellStyle name="Output Column Headings 2 4" xfId="15164" xr:uid="{00000000-0005-0000-0000-00003C3B0000}"/>
    <cellStyle name="Output Column Headings 2 4 2" xfId="15165" xr:uid="{00000000-0005-0000-0000-00003D3B0000}"/>
    <cellStyle name="Output Column Headings 2 5" xfId="15166" xr:uid="{00000000-0005-0000-0000-00003E3B0000}"/>
    <cellStyle name="Output Column Headings 2 5 2" xfId="15167" xr:uid="{00000000-0005-0000-0000-00003F3B0000}"/>
    <cellStyle name="OUTPUT COLUMN HEADINGS 2 6" xfId="15168" xr:uid="{00000000-0005-0000-0000-0000403B0000}"/>
    <cellStyle name="OUTPUT COLUMN HEADINGS 2 7" xfId="15169" xr:uid="{00000000-0005-0000-0000-0000413B0000}"/>
    <cellStyle name="Output Column Headings 2 8" xfId="15170" xr:uid="{00000000-0005-0000-0000-0000423B0000}"/>
    <cellStyle name="Output Column Headings 3" xfId="15171" xr:uid="{00000000-0005-0000-0000-0000433B0000}"/>
    <cellStyle name="OUTPUT COLUMN HEADINGS 3 2" xfId="15172" xr:uid="{00000000-0005-0000-0000-0000443B0000}"/>
    <cellStyle name="OUTPUT COLUMN HEADINGS 3 3" xfId="15173" xr:uid="{00000000-0005-0000-0000-0000453B0000}"/>
    <cellStyle name="OUTPUT COLUMN HEADINGS 3 4" xfId="15174" xr:uid="{00000000-0005-0000-0000-0000463B0000}"/>
    <cellStyle name="Output Column Headings 3 5" xfId="15175" xr:uid="{00000000-0005-0000-0000-0000473B0000}"/>
    <cellStyle name="Output Column Headings 3 6" xfId="15176" xr:uid="{00000000-0005-0000-0000-0000483B0000}"/>
    <cellStyle name="Output Column Headings 3 7" xfId="15177" xr:uid="{00000000-0005-0000-0000-0000493B0000}"/>
    <cellStyle name="Output Column Headings 3 8" xfId="15178" xr:uid="{00000000-0005-0000-0000-00004A3B0000}"/>
    <cellStyle name="Output Column Headings 4" xfId="15179" xr:uid="{00000000-0005-0000-0000-00004B3B0000}"/>
    <cellStyle name="OUTPUT COLUMN HEADINGS 4 2" xfId="15180" xr:uid="{00000000-0005-0000-0000-00004C3B0000}"/>
    <cellStyle name="Output Column Headings 5" xfId="15181" xr:uid="{00000000-0005-0000-0000-00004D3B0000}"/>
    <cellStyle name="OUTPUT COLUMN HEADINGS 5 2" xfId="15182" xr:uid="{00000000-0005-0000-0000-00004E3B0000}"/>
    <cellStyle name="Output Column Headings 6" xfId="15183" xr:uid="{00000000-0005-0000-0000-00004F3B0000}"/>
    <cellStyle name="OUTPUT COLUMN HEADINGS 6 2" xfId="15184" xr:uid="{00000000-0005-0000-0000-0000503B0000}"/>
    <cellStyle name="Output Column Headings 7" xfId="15185" xr:uid="{00000000-0005-0000-0000-0000513B0000}"/>
    <cellStyle name="OUTPUT COLUMN HEADINGS 7 2" xfId="15186" xr:uid="{00000000-0005-0000-0000-0000523B0000}"/>
    <cellStyle name="Output Column Headings 8" xfId="15187" xr:uid="{00000000-0005-0000-0000-0000533B0000}"/>
    <cellStyle name="OUTPUT COLUMN HEADINGS 8 2" xfId="15188" xr:uid="{00000000-0005-0000-0000-0000543B0000}"/>
    <cellStyle name="Output Column Headings 9" xfId="15189" xr:uid="{00000000-0005-0000-0000-0000553B0000}"/>
    <cellStyle name="OUTPUT COLUMN HEADINGS 9 2" xfId="15190" xr:uid="{00000000-0005-0000-0000-0000563B0000}"/>
    <cellStyle name="OUTPUT COLUMN HEADINGS_10-09 Rev Sum" xfId="15191" xr:uid="{00000000-0005-0000-0000-0000573B0000}"/>
    <cellStyle name="Output Line Items" xfId="15192" xr:uid="{00000000-0005-0000-0000-0000583B0000}"/>
    <cellStyle name="Output Line Items 10" xfId="15193" xr:uid="{00000000-0005-0000-0000-0000593B0000}"/>
    <cellStyle name="OUTPUT LINE ITEMS 10 2" xfId="15194" xr:uid="{00000000-0005-0000-0000-00005A3B0000}"/>
    <cellStyle name="Output Line Items 11" xfId="15195" xr:uid="{00000000-0005-0000-0000-00005B3B0000}"/>
    <cellStyle name="Output Line Items 11 2" xfId="15196" xr:uid="{00000000-0005-0000-0000-00005C3B0000}"/>
    <cellStyle name="Output Line Items 12" xfId="15197" xr:uid="{00000000-0005-0000-0000-00005D3B0000}"/>
    <cellStyle name="Output Line Items 12 2" xfId="15198" xr:uid="{00000000-0005-0000-0000-00005E3B0000}"/>
    <cellStyle name="Output Line Items 13" xfId="15199" xr:uid="{00000000-0005-0000-0000-00005F3B0000}"/>
    <cellStyle name="OUTPUT LINE ITEMS 13 2" xfId="15200" xr:uid="{00000000-0005-0000-0000-0000603B0000}"/>
    <cellStyle name="Output Line Items 14" xfId="15201" xr:uid="{00000000-0005-0000-0000-0000613B0000}"/>
    <cellStyle name="OUTPUT LINE ITEMS 15" xfId="15202" xr:uid="{00000000-0005-0000-0000-0000623B0000}"/>
    <cellStyle name="OUTPUT LINE ITEMS 16" xfId="15203" xr:uid="{00000000-0005-0000-0000-0000633B0000}"/>
    <cellStyle name="OUTPUT LINE ITEMS 17" xfId="15204" xr:uid="{00000000-0005-0000-0000-0000643B0000}"/>
    <cellStyle name="Output Line Items 2" xfId="15205" xr:uid="{00000000-0005-0000-0000-0000653B0000}"/>
    <cellStyle name="Output Line Items 2 2" xfId="15206" xr:uid="{00000000-0005-0000-0000-0000663B0000}"/>
    <cellStyle name="Output Line Items 2 2 2" xfId="15207" xr:uid="{00000000-0005-0000-0000-0000673B0000}"/>
    <cellStyle name="Output Line Items 2 2 3" xfId="15208" xr:uid="{00000000-0005-0000-0000-0000683B0000}"/>
    <cellStyle name="Output Line Items 2 2 4" xfId="15209" xr:uid="{00000000-0005-0000-0000-0000693B0000}"/>
    <cellStyle name="OUTPUT LINE ITEMS 2 2 5" xfId="15210" xr:uid="{00000000-0005-0000-0000-00006A3B0000}"/>
    <cellStyle name="OUTPUT LINE ITEMS 2 2 6" xfId="15211" xr:uid="{00000000-0005-0000-0000-00006B3B0000}"/>
    <cellStyle name="OUTPUT LINE ITEMS 2 2 7" xfId="15212" xr:uid="{00000000-0005-0000-0000-00006C3B0000}"/>
    <cellStyle name="OUTPUT LINE ITEMS 2 2 8" xfId="15213" xr:uid="{00000000-0005-0000-0000-00006D3B0000}"/>
    <cellStyle name="Output Line Items 2 3" xfId="15214" xr:uid="{00000000-0005-0000-0000-00006E3B0000}"/>
    <cellStyle name="Output Line Items 2 3 2" xfId="15215" xr:uid="{00000000-0005-0000-0000-00006F3B0000}"/>
    <cellStyle name="Output Line Items 2 4" xfId="15216" xr:uid="{00000000-0005-0000-0000-0000703B0000}"/>
    <cellStyle name="Output Line Items 2 4 2" xfId="15217" xr:uid="{00000000-0005-0000-0000-0000713B0000}"/>
    <cellStyle name="Output Line Items 2 5" xfId="15218" xr:uid="{00000000-0005-0000-0000-0000723B0000}"/>
    <cellStyle name="Output Line Items 2 5 2" xfId="15219" xr:uid="{00000000-0005-0000-0000-0000733B0000}"/>
    <cellStyle name="OUTPUT LINE ITEMS 2 6" xfId="15220" xr:uid="{00000000-0005-0000-0000-0000743B0000}"/>
    <cellStyle name="OUTPUT LINE ITEMS 2 7" xfId="15221" xr:uid="{00000000-0005-0000-0000-0000753B0000}"/>
    <cellStyle name="Output Line Items 2 8" xfId="15222" xr:uid="{00000000-0005-0000-0000-0000763B0000}"/>
    <cellStyle name="Output Line Items 3" xfId="15223" xr:uid="{00000000-0005-0000-0000-0000773B0000}"/>
    <cellStyle name="Output Line Items 3 2" xfId="15224" xr:uid="{00000000-0005-0000-0000-0000783B0000}"/>
    <cellStyle name="Output Line Items 3 2 2" xfId="15225" xr:uid="{00000000-0005-0000-0000-0000793B0000}"/>
    <cellStyle name="Output Line Items 3 2 3" xfId="15226" xr:uid="{00000000-0005-0000-0000-00007A3B0000}"/>
    <cellStyle name="Output Line Items 3 2 4" xfId="15227" xr:uid="{00000000-0005-0000-0000-00007B3B0000}"/>
    <cellStyle name="OUTPUT LINE ITEMS 3 2 5" xfId="15228" xr:uid="{00000000-0005-0000-0000-00007C3B0000}"/>
    <cellStyle name="OUTPUT LINE ITEMS 3 2 6" xfId="15229" xr:uid="{00000000-0005-0000-0000-00007D3B0000}"/>
    <cellStyle name="OUTPUT LINE ITEMS 3 2 7" xfId="15230" xr:uid="{00000000-0005-0000-0000-00007E3B0000}"/>
    <cellStyle name="OUTPUT LINE ITEMS 3 2 8" xfId="15231" xr:uid="{00000000-0005-0000-0000-00007F3B0000}"/>
    <cellStyle name="Output Line Items 3 3" xfId="15232" xr:uid="{00000000-0005-0000-0000-0000803B0000}"/>
    <cellStyle name="Output Line Items 3 3 2" xfId="15233" xr:uid="{00000000-0005-0000-0000-0000813B0000}"/>
    <cellStyle name="Output Line Items 3 4" xfId="15234" xr:uid="{00000000-0005-0000-0000-0000823B0000}"/>
    <cellStyle name="Output Line Items 3 4 2" xfId="15235" xr:uid="{00000000-0005-0000-0000-0000833B0000}"/>
    <cellStyle name="Output Line Items 3 5" xfId="15236" xr:uid="{00000000-0005-0000-0000-0000843B0000}"/>
    <cellStyle name="Output Line Items 3 5 2" xfId="15237" xr:uid="{00000000-0005-0000-0000-0000853B0000}"/>
    <cellStyle name="Output Line Items 3 6" xfId="15238" xr:uid="{00000000-0005-0000-0000-0000863B0000}"/>
    <cellStyle name="Output Line Items 3 6 2" xfId="15239" xr:uid="{00000000-0005-0000-0000-0000873B0000}"/>
    <cellStyle name="OUTPUT LINE ITEMS 3 7" xfId="15240" xr:uid="{00000000-0005-0000-0000-0000883B0000}"/>
    <cellStyle name="OUTPUT LINE ITEMS 3 8" xfId="15241" xr:uid="{00000000-0005-0000-0000-0000893B0000}"/>
    <cellStyle name="Output Line Items 3 9" xfId="15242" xr:uid="{00000000-0005-0000-0000-00008A3B0000}"/>
    <cellStyle name="Output Line Items 4" xfId="15243" xr:uid="{00000000-0005-0000-0000-00008B3B0000}"/>
    <cellStyle name="OUTPUT LINE ITEMS 4 2" xfId="15244" xr:uid="{00000000-0005-0000-0000-00008C3B0000}"/>
    <cellStyle name="Output Line Items 5" xfId="15245" xr:uid="{00000000-0005-0000-0000-00008D3B0000}"/>
    <cellStyle name="OUTPUT LINE ITEMS 5 2" xfId="15246" xr:uid="{00000000-0005-0000-0000-00008E3B0000}"/>
    <cellStyle name="Output Line Items 6" xfId="15247" xr:uid="{00000000-0005-0000-0000-00008F3B0000}"/>
    <cellStyle name="OUTPUT LINE ITEMS 6 2" xfId="15248" xr:uid="{00000000-0005-0000-0000-0000903B0000}"/>
    <cellStyle name="Output Line Items 7" xfId="15249" xr:uid="{00000000-0005-0000-0000-0000913B0000}"/>
    <cellStyle name="OUTPUT LINE ITEMS 7 2" xfId="15250" xr:uid="{00000000-0005-0000-0000-0000923B0000}"/>
    <cellStyle name="Output Line Items 8" xfId="15251" xr:uid="{00000000-0005-0000-0000-0000933B0000}"/>
    <cellStyle name="OUTPUT LINE ITEMS 8 2" xfId="15252" xr:uid="{00000000-0005-0000-0000-0000943B0000}"/>
    <cellStyle name="Output Line Items 9" xfId="15253" xr:uid="{00000000-0005-0000-0000-0000953B0000}"/>
    <cellStyle name="OUTPUT LINE ITEMS 9 2" xfId="15254" xr:uid="{00000000-0005-0000-0000-0000963B0000}"/>
    <cellStyle name="OUTPUT LINE ITEMS_06-03 Unbun A" xfId="15255" xr:uid="{00000000-0005-0000-0000-0000973B0000}"/>
    <cellStyle name="Output Report Heading" xfId="15256" xr:uid="{00000000-0005-0000-0000-0000983B0000}"/>
    <cellStyle name="Output Report Heading 10" xfId="15257" xr:uid="{00000000-0005-0000-0000-0000993B0000}"/>
    <cellStyle name="OUTPUT REPORT HEADING 10 2" xfId="15258" xr:uid="{00000000-0005-0000-0000-00009A3B0000}"/>
    <cellStyle name="Output Report Heading 11" xfId="15259" xr:uid="{00000000-0005-0000-0000-00009B3B0000}"/>
    <cellStyle name="Output Report Heading 11 2" xfId="15260" xr:uid="{00000000-0005-0000-0000-00009C3B0000}"/>
    <cellStyle name="Output Report Heading 12" xfId="15261" xr:uid="{00000000-0005-0000-0000-00009D3B0000}"/>
    <cellStyle name="Output Report Heading 12 2" xfId="15262" xr:uid="{00000000-0005-0000-0000-00009E3B0000}"/>
    <cellStyle name="Output Report Heading 13" xfId="15263" xr:uid="{00000000-0005-0000-0000-00009F3B0000}"/>
    <cellStyle name="OUTPUT REPORT HEADING 13 2" xfId="15264" xr:uid="{00000000-0005-0000-0000-0000A03B0000}"/>
    <cellStyle name="Output Report Heading 14" xfId="15265" xr:uid="{00000000-0005-0000-0000-0000A13B0000}"/>
    <cellStyle name="OUTPUT REPORT HEADING 15" xfId="15266" xr:uid="{00000000-0005-0000-0000-0000A23B0000}"/>
    <cellStyle name="OUTPUT REPORT HEADING 16" xfId="15267" xr:uid="{00000000-0005-0000-0000-0000A33B0000}"/>
    <cellStyle name="Output Report Heading 17" xfId="15268" xr:uid="{00000000-0005-0000-0000-0000A43B0000}"/>
    <cellStyle name="OUTPUT REPORT HEADING 2" xfId="15269" xr:uid="{00000000-0005-0000-0000-0000A53B0000}"/>
    <cellStyle name="Output Report Heading 2 2" xfId="15270" xr:uid="{00000000-0005-0000-0000-0000A63B0000}"/>
    <cellStyle name="Output Report Heading 2 2 2" xfId="15271" xr:uid="{00000000-0005-0000-0000-0000A73B0000}"/>
    <cellStyle name="Output Report Heading 2 2 3" xfId="15272" xr:uid="{00000000-0005-0000-0000-0000A83B0000}"/>
    <cellStyle name="Output Report Heading 2 2 4" xfId="15273" xr:uid="{00000000-0005-0000-0000-0000A93B0000}"/>
    <cellStyle name="OUTPUT REPORT HEADING 2 2 5" xfId="15274" xr:uid="{00000000-0005-0000-0000-0000AA3B0000}"/>
    <cellStyle name="OUTPUT REPORT HEADING 2 2 6" xfId="15275" xr:uid="{00000000-0005-0000-0000-0000AB3B0000}"/>
    <cellStyle name="OUTPUT REPORT HEADING 2 2 7" xfId="15276" xr:uid="{00000000-0005-0000-0000-0000AC3B0000}"/>
    <cellStyle name="OUTPUT REPORT HEADING 2 2 8" xfId="15277" xr:uid="{00000000-0005-0000-0000-0000AD3B0000}"/>
    <cellStyle name="Output Report Heading 2 3" xfId="15278" xr:uid="{00000000-0005-0000-0000-0000AE3B0000}"/>
    <cellStyle name="Output Report Heading 2 3 2" xfId="15279" xr:uid="{00000000-0005-0000-0000-0000AF3B0000}"/>
    <cellStyle name="Output Report Heading 2 4" xfId="15280" xr:uid="{00000000-0005-0000-0000-0000B03B0000}"/>
    <cellStyle name="Output Report Heading 2 4 2" xfId="15281" xr:uid="{00000000-0005-0000-0000-0000B13B0000}"/>
    <cellStyle name="Output Report Heading 2 5" xfId="15282" xr:uid="{00000000-0005-0000-0000-0000B23B0000}"/>
    <cellStyle name="Output Report Heading 2 5 2" xfId="15283" xr:uid="{00000000-0005-0000-0000-0000B33B0000}"/>
    <cellStyle name="OUTPUT REPORT HEADING 2 6" xfId="15284" xr:uid="{00000000-0005-0000-0000-0000B43B0000}"/>
    <cellStyle name="OUTPUT REPORT HEADING 2 7" xfId="15285" xr:uid="{00000000-0005-0000-0000-0000B53B0000}"/>
    <cellStyle name="Output Report Heading 2 8" xfId="15286" xr:uid="{00000000-0005-0000-0000-0000B63B0000}"/>
    <cellStyle name="Output Report Heading 3" xfId="15287" xr:uid="{00000000-0005-0000-0000-0000B73B0000}"/>
    <cellStyle name="OUTPUT REPORT HEADING 3 2" xfId="15288" xr:uid="{00000000-0005-0000-0000-0000B83B0000}"/>
    <cellStyle name="OUTPUT REPORT HEADING 3 3" xfId="15289" xr:uid="{00000000-0005-0000-0000-0000B93B0000}"/>
    <cellStyle name="OUTPUT REPORT HEADING 3 4" xfId="15290" xr:uid="{00000000-0005-0000-0000-0000BA3B0000}"/>
    <cellStyle name="Output Report Heading 3 5" xfId="15291" xr:uid="{00000000-0005-0000-0000-0000BB3B0000}"/>
    <cellStyle name="Output Report Heading 3 6" xfId="15292" xr:uid="{00000000-0005-0000-0000-0000BC3B0000}"/>
    <cellStyle name="Output Report Heading 3 7" xfId="15293" xr:uid="{00000000-0005-0000-0000-0000BD3B0000}"/>
    <cellStyle name="Output Report Heading 3 8" xfId="15294" xr:uid="{00000000-0005-0000-0000-0000BE3B0000}"/>
    <cellStyle name="Output Report Heading 4" xfId="15295" xr:uid="{00000000-0005-0000-0000-0000BF3B0000}"/>
    <cellStyle name="OUTPUT REPORT HEADING 4 2" xfId="15296" xr:uid="{00000000-0005-0000-0000-0000C03B0000}"/>
    <cellStyle name="Output Report Heading 5" xfId="15297" xr:uid="{00000000-0005-0000-0000-0000C13B0000}"/>
    <cellStyle name="OUTPUT REPORT HEADING 5 2" xfId="15298" xr:uid="{00000000-0005-0000-0000-0000C23B0000}"/>
    <cellStyle name="Output Report Heading 6" xfId="15299" xr:uid="{00000000-0005-0000-0000-0000C33B0000}"/>
    <cellStyle name="OUTPUT REPORT HEADING 6 2" xfId="15300" xr:uid="{00000000-0005-0000-0000-0000C43B0000}"/>
    <cellStyle name="Output Report Heading 7" xfId="15301" xr:uid="{00000000-0005-0000-0000-0000C53B0000}"/>
    <cellStyle name="OUTPUT REPORT HEADING 7 2" xfId="15302" xr:uid="{00000000-0005-0000-0000-0000C63B0000}"/>
    <cellStyle name="Output Report Heading 8" xfId="15303" xr:uid="{00000000-0005-0000-0000-0000C73B0000}"/>
    <cellStyle name="OUTPUT REPORT HEADING 8 2" xfId="15304" xr:uid="{00000000-0005-0000-0000-0000C83B0000}"/>
    <cellStyle name="Output Report Heading 9" xfId="15305" xr:uid="{00000000-0005-0000-0000-0000C93B0000}"/>
    <cellStyle name="OUTPUT REPORT HEADING 9 2" xfId="15306" xr:uid="{00000000-0005-0000-0000-0000CA3B0000}"/>
    <cellStyle name="OUTPUT REPORT HEADING_01-05 Unbun" xfId="15307" xr:uid="{00000000-0005-0000-0000-0000CB3B0000}"/>
    <cellStyle name="Output Report Title" xfId="15308" xr:uid="{00000000-0005-0000-0000-0000CC3B0000}"/>
    <cellStyle name="Output Report Title 10" xfId="15309" xr:uid="{00000000-0005-0000-0000-0000CD3B0000}"/>
    <cellStyle name="OUTPUT REPORT TITLE 10 2" xfId="15310" xr:uid="{00000000-0005-0000-0000-0000CE3B0000}"/>
    <cellStyle name="Output Report Title 11" xfId="15311" xr:uid="{00000000-0005-0000-0000-0000CF3B0000}"/>
    <cellStyle name="Output Report Title 11 2" xfId="15312" xr:uid="{00000000-0005-0000-0000-0000D03B0000}"/>
    <cellStyle name="Output Report Title 12" xfId="15313" xr:uid="{00000000-0005-0000-0000-0000D13B0000}"/>
    <cellStyle name="Output Report Title 12 2" xfId="15314" xr:uid="{00000000-0005-0000-0000-0000D23B0000}"/>
    <cellStyle name="Output Report Title 13" xfId="15315" xr:uid="{00000000-0005-0000-0000-0000D33B0000}"/>
    <cellStyle name="OUTPUT REPORT TITLE 13 2" xfId="15316" xr:uid="{00000000-0005-0000-0000-0000D43B0000}"/>
    <cellStyle name="Output Report Title 14" xfId="15317" xr:uid="{00000000-0005-0000-0000-0000D53B0000}"/>
    <cellStyle name="OUTPUT REPORT TITLE 15" xfId="15318" xr:uid="{00000000-0005-0000-0000-0000D63B0000}"/>
    <cellStyle name="OUTPUT REPORT TITLE 16" xfId="15319" xr:uid="{00000000-0005-0000-0000-0000D73B0000}"/>
    <cellStyle name="Output Report Title 17" xfId="15320" xr:uid="{00000000-0005-0000-0000-0000D83B0000}"/>
    <cellStyle name="Output Report Title 2" xfId="15321" xr:uid="{00000000-0005-0000-0000-0000D93B0000}"/>
    <cellStyle name="Output Report Title 2 2" xfId="15322" xr:uid="{00000000-0005-0000-0000-0000DA3B0000}"/>
    <cellStyle name="Output Report Title 2 2 2" xfId="15323" xr:uid="{00000000-0005-0000-0000-0000DB3B0000}"/>
    <cellStyle name="Output Report Title 2 2 3" xfId="15324" xr:uid="{00000000-0005-0000-0000-0000DC3B0000}"/>
    <cellStyle name="Output Report Title 2 2 4" xfId="15325" xr:uid="{00000000-0005-0000-0000-0000DD3B0000}"/>
    <cellStyle name="OUTPUT REPORT TITLE 2 2 5" xfId="15326" xr:uid="{00000000-0005-0000-0000-0000DE3B0000}"/>
    <cellStyle name="OUTPUT REPORT TITLE 2 2 6" xfId="15327" xr:uid="{00000000-0005-0000-0000-0000DF3B0000}"/>
    <cellStyle name="OUTPUT REPORT TITLE 2 2 7" xfId="15328" xr:uid="{00000000-0005-0000-0000-0000E03B0000}"/>
    <cellStyle name="OUTPUT REPORT TITLE 2 2 8" xfId="15329" xr:uid="{00000000-0005-0000-0000-0000E13B0000}"/>
    <cellStyle name="Output Report Title 2 3" xfId="15330" xr:uid="{00000000-0005-0000-0000-0000E23B0000}"/>
    <cellStyle name="Output Report Title 2 3 2" xfId="15331" xr:uid="{00000000-0005-0000-0000-0000E33B0000}"/>
    <cellStyle name="Output Report Title 2 4" xfId="15332" xr:uid="{00000000-0005-0000-0000-0000E43B0000}"/>
    <cellStyle name="Output Report Title 2 4 2" xfId="15333" xr:uid="{00000000-0005-0000-0000-0000E53B0000}"/>
    <cellStyle name="Output Report Title 2 5" xfId="15334" xr:uid="{00000000-0005-0000-0000-0000E63B0000}"/>
    <cellStyle name="Output Report Title 2 5 2" xfId="15335" xr:uid="{00000000-0005-0000-0000-0000E73B0000}"/>
    <cellStyle name="OUTPUT REPORT TITLE 2 6" xfId="15336" xr:uid="{00000000-0005-0000-0000-0000E83B0000}"/>
    <cellStyle name="OUTPUT REPORT TITLE 2 7" xfId="15337" xr:uid="{00000000-0005-0000-0000-0000E93B0000}"/>
    <cellStyle name="Output Report Title 2 8" xfId="15338" xr:uid="{00000000-0005-0000-0000-0000EA3B0000}"/>
    <cellStyle name="Output Report Title 3" xfId="15339" xr:uid="{00000000-0005-0000-0000-0000EB3B0000}"/>
    <cellStyle name="Output Report Title 3 2" xfId="15340" xr:uid="{00000000-0005-0000-0000-0000EC3B0000}"/>
    <cellStyle name="Output Report Title 3 2 2" xfId="15341" xr:uid="{00000000-0005-0000-0000-0000ED3B0000}"/>
    <cellStyle name="Output Report Title 3 2 3" xfId="15342" xr:uid="{00000000-0005-0000-0000-0000EE3B0000}"/>
    <cellStyle name="Output Report Title 3 2 4" xfId="15343" xr:uid="{00000000-0005-0000-0000-0000EF3B0000}"/>
    <cellStyle name="OUTPUT REPORT TITLE 3 2 5" xfId="15344" xr:uid="{00000000-0005-0000-0000-0000F03B0000}"/>
    <cellStyle name="OUTPUT REPORT TITLE 3 2 6" xfId="15345" xr:uid="{00000000-0005-0000-0000-0000F13B0000}"/>
    <cellStyle name="OUTPUT REPORT TITLE 3 2 7" xfId="15346" xr:uid="{00000000-0005-0000-0000-0000F23B0000}"/>
    <cellStyle name="OUTPUT REPORT TITLE 3 2 8" xfId="15347" xr:uid="{00000000-0005-0000-0000-0000F33B0000}"/>
    <cellStyle name="Output Report Title 3 3" xfId="15348" xr:uid="{00000000-0005-0000-0000-0000F43B0000}"/>
    <cellStyle name="Output Report Title 3 3 2" xfId="15349" xr:uid="{00000000-0005-0000-0000-0000F53B0000}"/>
    <cellStyle name="Output Report Title 3 4" xfId="15350" xr:uid="{00000000-0005-0000-0000-0000F63B0000}"/>
    <cellStyle name="Output Report Title 3 4 2" xfId="15351" xr:uid="{00000000-0005-0000-0000-0000F73B0000}"/>
    <cellStyle name="Output Report Title 3 5" xfId="15352" xr:uid="{00000000-0005-0000-0000-0000F83B0000}"/>
    <cellStyle name="Output Report Title 3 5 2" xfId="15353" xr:uid="{00000000-0005-0000-0000-0000F93B0000}"/>
    <cellStyle name="Output Report Title 3 6" xfId="15354" xr:uid="{00000000-0005-0000-0000-0000FA3B0000}"/>
    <cellStyle name="Output Report Title 3 6 2" xfId="15355" xr:uid="{00000000-0005-0000-0000-0000FB3B0000}"/>
    <cellStyle name="OUTPUT REPORT TITLE 3 7" xfId="15356" xr:uid="{00000000-0005-0000-0000-0000FC3B0000}"/>
    <cellStyle name="OUTPUT REPORT TITLE 3 8" xfId="15357" xr:uid="{00000000-0005-0000-0000-0000FD3B0000}"/>
    <cellStyle name="Output Report Title 3 9" xfId="15358" xr:uid="{00000000-0005-0000-0000-0000FE3B0000}"/>
    <cellStyle name="Output Report Title 4" xfId="15359" xr:uid="{00000000-0005-0000-0000-0000FF3B0000}"/>
    <cellStyle name="OUTPUT REPORT TITLE 4 2" xfId="15360" xr:uid="{00000000-0005-0000-0000-0000003C0000}"/>
    <cellStyle name="Output Report Title 5" xfId="15361" xr:uid="{00000000-0005-0000-0000-0000013C0000}"/>
    <cellStyle name="OUTPUT REPORT TITLE 5 2" xfId="15362" xr:uid="{00000000-0005-0000-0000-0000023C0000}"/>
    <cellStyle name="Output Report Title 6" xfId="15363" xr:uid="{00000000-0005-0000-0000-0000033C0000}"/>
    <cellStyle name="OUTPUT REPORT TITLE 6 2" xfId="15364" xr:uid="{00000000-0005-0000-0000-0000043C0000}"/>
    <cellStyle name="Output Report Title 7" xfId="15365" xr:uid="{00000000-0005-0000-0000-0000053C0000}"/>
    <cellStyle name="OUTPUT REPORT TITLE 7 2" xfId="15366" xr:uid="{00000000-0005-0000-0000-0000063C0000}"/>
    <cellStyle name="Output Report Title 8" xfId="15367" xr:uid="{00000000-0005-0000-0000-0000073C0000}"/>
    <cellStyle name="OUTPUT REPORT TITLE 8 2" xfId="15368" xr:uid="{00000000-0005-0000-0000-0000083C0000}"/>
    <cellStyle name="Output Report Title 9" xfId="15369" xr:uid="{00000000-0005-0000-0000-0000093C0000}"/>
    <cellStyle name="OUTPUT REPORT TITLE 9 2" xfId="15370" xr:uid="{00000000-0005-0000-0000-00000A3C0000}"/>
    <cellStyle name="OUTPUT REPORT TITLE_01-05 Unbun" xfId="15371" xr:uid="{00000000-0005-0000-0000-00000B3C0000}"/>
    <cellStyle name="Percent" xfId="15609" builtinId="5"/>
    <cellStyle name="Percent [0]" xfId="15372" xr:uid="{00000000-0005-0000-0000-00000D3C0000}"/>
    <cellStyle name="Percent [0] 2" xfId="15373" xr:uid="{00000000-0005-0000-0000-00000E3C0000}"/>
    <cellStyle name="Percent [00]" xfId="15374" xr:uid="{00000000-0005-0000-0000-00000F3C0000}"/>
    <cellStyle name="Percent [00] 2" xfId="15375" xr:uid="{00000000-0005-0000-0000-0000103C0000}"/>
    <cellStyle name="Percent 10" xfId="15376" xr:uid="{00000000-0005-0000-0000-0000113C0000}"/>
    <cellStyle name="Percent 11" xfId="15377" xr:uid="{00000000-0005-0000-0000-0000123C0000}"/>
    <cellStyle name="Percent 12" xfId="15378" xr:uid="{00000000-0005-0000-0000-0000133C0000}"/>
    <cellStyle name="Percent 13" xfId="15379" xr:uid="{00000000-0005-0000-0000-0000143C0000}"/>
    <cellStyle name="Percent 14" xfId="15380" xr:uid="{00000000-0005-0000-0000-0000153C0000}"/>
    <cellStyle name="Percent 15" xfId="15381" xr:uid="{00000000-0005-0000-0000-0000163C0000}"/>
    <cellStyle name="Percent 16" xfId="15382" xr:uid="{00000000-0005-0000-0000-0000173C0000}"/>
    <cellStyle name="Percent 17" xfId="15383" xr:uid="{00000000-0005-0000-0000-0000183C0000}"/>
    <cellStyle name="Percent 18" xfId="15384" xr:uid="{00000000-0005-0000-0000-0000193C0000}"/>
    <cellStyle name="Percent 19" xfId="15385" xr:uid="{00000000-0005-0000-0000-00001A3C0000}"/>
    <cellStyle name="Percent 2" xfId="15386" xr:uid="{00000000-0005-0000-0000-00001B3C0000}"/>
    <cellStyle name="Percent 2 2" xfId="15387" xr:uid="{00000000-0005-0000-0000-00001C3C0000}"/>
    <cellStyle name="Percent 2 3" xfId="15388" xr:uid="{00000000-0005-0000-0000-00001D3C0000}"/>
    <cellStyle name="Percent 2 4" xfId="15389" xr:uid="{00000000-0005-0000-0000-00001E3C0000}"/>
    <cellStyle name="Percent 2 5" xfId="15390" xr:uid="{00000000-0005-0000-0000-00001F3C0000}"/>
    <cellStyle name="Percent 2 6" xfId="15619" xr:uid="{50A6A14F-582B-4A84-85C6-FF29729BC61B}"/>
    <cellStyle name="Percent 20" xfId="15391" xr:uid="{00000000-0005-0000-0000-0000203C0000}"/>
    <cellStyle name="Percent 21" xfId="15392" xr:uid="{00000000-0005-0000-0000-0000213C0000}"/>
    <cellStyle name="Percent 22" xfId="15393" xr:uid="{00000000-0005-0000-0000-0000223C0000}"/>
    <cellStyle name="Percent 23" xfId="15394" xr:uid="{00000000-0005-0000-0000-0000233C0000}"/>
    <cellStyle name="Percent 24" xfId="15395" xr:uid="{00000000-0005-0000-0000-0000243C0000}"/>
    <cellStyle name="Percent 25" xfId="15396" xr:uid="{00000000-0005-0000-0000-0000253C0000}"/>
    <cellStyle name="Percent 26" xfId="15397" xr:uid="{00000000-0005-0000-0000-0000263C0000}"/>
    <cellStyle name="Percent 27" xfId="15398" xr:uid="{00000000-0005-0000-0000-0000273C0000}"/>
    <cellStyle name="Percent 28" xfId="15399" xr:uid="{00000000-0005-0000-0000-0000283C0000}"/>
    <cellStyle name="Percent 29" xfId="15400" xr:uid="{00000000-0005-0000-0000-0000293C0000}"/>
    <cellStyle name="Percent 3" xfId="15401" xr:uid="{00000000-0005-0000-0000-00002A3C0000}"/>
    <cellStyle name="Percent 3 2" xfId="15402" xr:uid="{00000000-0005-0000-0000-00002B3C0000}"/>
    <cellStyle name="Percent 30" xfId="15403" xr:uid="{00000000-0005-0000-0000-00002C3C0000}"/>
    <cellStyle name="Percent 4" xfId="15404" xr:uid="{00000000-0005-0000-0000-00002D3C0000}"/>
    <cellStyle name="Percent 5" xfId="15405" xr:uid="{00000000-0005-0000-0000-00002E3C0000}"/>
    <cellStyle name="Percent 6" xfId="4" xr:uid="{00000000-0005-0000-0000-00002F3C0000}"/>
    <cellStyle name="Percent 7" xfId="15406" xr:uid="{00000000-0005-0000-0000-0000303C0000}"/>
    <cellStyle name="Percent 8" xfId="15407" xr:uid="{00000000-0005-0000-0000-0000313C0000}"/>
    <cellStyle name="Percent 9" xfId="15408" xr:uid="{00000000-0005-0000-0000-0000323C0000}"/>
    <cellStyle name="Percent[0]" xfId="15409" xr:uid="{00000000-0005-0000-0000-0000333C0000}"/>
    <cellStyle name="PrePop Currency (0)" xfId="15410" xr:uid="{00000000-0005-0000-0000-0000343C0000}"/>
    <cellStyle name="PrePop Currency (0) 2" xfId="15411" xr:uid="{00000000-0005-0000-0000-0000353C0000}"/>
    <cellStyle name="PrePop Currency (2)" xfId="15412" xr:uid="{00000000-0005-0000-0000-0000363C0000}"/>
    <cellStyle name="PrePop Currency (2) 2" xfId="15413" xr:uid="{00000000-0005-0000-0000-0000373C0000}"/>
    <cellStyle name="PrePop Units (0)" xfId="15414" xr:uid="{00000000-0005-0000-0000-0000383C0000}"/>
    <cellStyle name="PrePop Units (0) 2" xfId="15415" xr:uid="{00000000-0005-0000-0000-0000393C0000}"/>
    <cellStyle name="PrePop Units (1)" xfId="15416" xr:uid="{00000000-0005-0000-0000-00003A3C0000}"/>
    <cellStyle name="PrePop Units (1) 2" xfId="15417" xr:uid="{00000000-0005-0000-0000-00003B3C0000}"/>
    <cellStyle name="PrePop Units (2)" xfId="15418" xr:uid="{00000000-0005-0000-0000-00003C3C0000}"/>
    <cellStyle name="PrePop Units (2) 2" xfId="15419" xr:uid="{00000000-0005-0000-0000-00003D3C0000}"/>
    <cellStyle name="ReportTitlePrompt" xfId="15420" xr:uid="{00000000-0005-0000-0000-00003E3C0000}"/>
    <cellStyle name="ReportTitlePrompt 2" xfId="15421" xr:uid="{00000000-0005-0000-0000-00003F3C0000}"/>
    <cellStyle name="ReportTitleValue" xfId="15422" xr:uid="{00000000-0005-0000-0000-0000403C0000}"/>
    <cellStyle name="ReportTitleValue 2" xfId="15423" xr:uid="{00000000-0005-0000-0000-0000413C0000}"/>
    <cellStyle name="ReportTitleValue 3" xfId="15424" xr:uid="{00000000-0005-0000-0000-0000423C0000}"/>
    <cellStyle name="ReportTitleValue 4" xfId="15425" xr:uid="{00000000-0005-0000-0000-0000433C0000}"/>
    <cellStyle name="RowAcctAbovePrompt" xfId="15426" xr:uid="{00000000-0005-0000-0000-0000443C0000}"/>
    <cellStyle name="RowAcctAbovePrompt 2" xfId="15427" xr:uid="{00000000-0005-0000-0000-0000453C0000}"/>
    <cellStyle name="RowAcctSOBAbovePrompt" xfId="15428" xr:uid="{00000000-0005-0000-0000-0000463C0000}"/>
    <cellStyle name="RowAcctSOBAbovePrompt 2" xfId="15429" xr:uid="{00000000-0005-0000-0000-0000473C0000}"/>
    <cellStyle name="RowAcctSOBValue" xfId="15430" xr:uid="{00000000-0005-0000-0000-0000483C0000}"/>
    <cellStyle name="RowAcctSOBValue 2" xfId="15431" xr:uid="{00000000-0005-0000-0000-0000493C0000}"/>
    <cellStyle name="RowAcctValue" xfId="15432" xr:uid="{00000000-0005-0000-0000-00004A3C0000}"/>
    <cellStyle name="RowAcctValue 2" xfId="15433" xr:uid="{00000000-0005-0000-0000-00004B3C0000}"/>
    <cellStyle name="RowAttrAbovePrompt" xfId="15434" xr:uid="{00000000-0005-0000-0000-00004C3C0000}"/>
    <cellStyle name="RowAttrAbovePrompt 2" xfId="15435" xr:uid="{00000000-0005-0000-0000-00004D3C0000}"/>
    <cellStyle name="RowAttrValue" xfId="15436" xr:uid="{00000000-0005-0000-0000-00004E3C0000}"/>
    <cellStyle name="RowAttrValue 2" xfId="15437" xr:uid="{00000000-0005-0000-0000-00004F3C0000}"/>
    <cellStyle name="RowColSetAbovePrompt" xfId="15438" xr:uid="{00000000-0005-0000-0000-0000503C0000}"/>
    <cellStyle name="RowColSetAbovePrompt 2" xfId="15439" xr:uid="{00000000-0005-0000-0000-0000513C0000}"/>
    <cellStyle name="RowColSetLeftPrompt" xfId="15440" xr:uid="{00000000-0005-0000-0000-0000523C0000}"/>
    <cellStyle name="RowColSetLeftPrompt 2" xfId="15441" xr:uid="{00000000-0005-0000-0000-0000533C0000}"/>
    <cellStyle name="RowColSetValue" xfId="15442" xr:uid="{00000000-0005-0000-0000-0000543C0000}"/>
    <cellStyle name="RowColSetValue 2" xfId="15443" xr:uid="{00000000-0005-0000-0000-0000553C0000}"/>
    <cellStyle name="RowLeftPrompt" xfId="15444" xr:uid="{00000000-0005-0000-0000-0000563C0000}"/>
    <cellStyle name="RowLeftPrompt 2" xfId="15445" xr:uid="{00000000-0005-0000-0000-0000573C0000}"/>
    <cellStyle name="SampleUsingFormatMask" xfId="15446" xr:uid="{00000000-0005-0000-0000-0000583C0000}"/>
    <cellStyle name="SampleUsingFormatMask 2" xfId="15447" xr:uid="{00000000-0005-0000-0000-0000593C0000}"/>
    <cellStyle name="SampleWithNoFormatMask" xfId="15448" xr:uid="{00000000-0005-0000-0000-00005A3C0000}"/>
    <cellStyle name="SampleWithNoFormatMask 2" xfId="15449" xr:uid="{00000000-0005-0000-0000-00005B3C0000}"/>
    <cellStyle name="Schedule" xfId="15450" xr:uid="{00000000-0005-0000-0000-00005C3C0000}"/>
    <cellStyle name="Schedule 2" xfId="15451" xr:uid="{00000000-0005-0000-0000-00005D3C0000}"/>
    <cellStyle name="Schedule 2 10" xfId="15452" xr:uid="{00000000-0005-0000-0000-00005E3C0000}"/>
    <cellStyle name="Schedule 2 11" xfId="15453" xr:uid="{00000000-0005-0000-0000-00005F3C0000}"/>
    <cellStyle name="Schedule 2 12" xfId="15454" xr:uid="{00000000-0005-0000-0000-0000603C0000}"/>
    <cellStyle name="Schedule 2 13" xfId="15455" xr:uid="{00000000-0005-0000-0000-0000613C0000}"/>
    <cellStyle name="Schedule 2 2" xfId="15456" xr:uid="{00000000-0005-0000-0000-0000623C0000}"/>
    <cellStyle name="Schedule 2 3" xfId="15457" xr:uid="{00000000-0005-0000-0000-0000633C0000}"/>
    <cellStyle name="Schedule 2 4" xfId="15458" xr:uid="{00000000-0005-0000-0000-0000643C0000}"/>
    <cellStyle name="Schedule 2 5" xfId="15459" xr:uid="{00000000-0005-0000-0000-0000653C0000}"/>
    <cellStyle name="Schedule 2 6" xfId="15460" xr:uid="{00000000-0005-0000-0000-0000663C0000}"/>
    <cellStyle name="Schedule 2 7" xfId="15461" xr:uid="{00000000-0005-0000-0000-0000673C0000}"/>
    <cellStyle name="Schedule 2 8" xfId="15462" xr:uid="{00000000-0005-0000-0000-0000683C0000}"/>
    <cellStyle name="Schedule 2 9" xfId="15463" xr:uid="{00000000-0005-0000-0000-0000693C0000}"/>
    <cellStyle name="Schedule 3" xfId="15464" xr:uid="{00000000-0005-0000-0000-00006A3C0000}"/>
    <cellStyle name="Schedule 3 2" xfId="15465" xr:uid="{00000000-0005-0000-0000-00006B3C0000}"/>
    <cellStyle name="Schedule 4" xfId="15466" xr:uid="{00000000-0005-0000-0000-00006C3C0000}"/>
    <cellStyle name="Schedule_J901 UNSE CARES SubAcct Correction 01-10" xfId="15467" xr:uid="{00000000-0005-0000-0000-00006D3C0000}"/>
    <cellStyle name="Text Indent A" xfId="15468" xr:uid="{00000000-0005-0000-0000-00006E3C0000}"/>
    <cellStyle name="Text Indent A 2" xfId="15469" xr:uid="{00000000-0005-0000-0000-00006F3C0000}"/>
    <cellStyle name="Text Indent A 3" xfId="15470" xr:uid="{00000000-0005-0000-0000-0000703C0000}"/>
    <cellStyle name="Text Indent B" xfId="15471" xr:uid="{00000000-0005-0000-0000-0000713C0000}"/>
    <cellStyle name="Text Indent B 2" xfId="15472" xr:uid="{00000000-0005-0000-0000-0000723C0000}"/>
    <cellStyle name="Text Indent C" xfId="15473" xr:uid="{00000000-0005-0000-0000-0000733C0000}"/>
    <cellStyle name="Text Indent C 2" xfId="15474" xr:uid="{00000000-0005-0000-0000-0000743C0000}"/>
    <cellStyle name="Title 10" xfId="15475" xr:uid="{00000000-0005-0000-0000-0000753C0000}"/>
    <cellStyle name="Title 11" xfId="15476" xr:uid="{00000000-0005-0000-0000-0000763C0000}"/>
    <cellStyle name="Title 12" xfId="15477" xr:uid="{00000000-0005-0000-0000-0000773C0000}"/>
    <cellStyle name="Title 2" xfId="15478" xr:uid="{00000000-0005-0000-0000-0000783C0000}"/>
    <cellStyle name="Title 2 10" xfId="15479" xr:uid="{00000000-0005-0000-0000-0000793C0000}"/>
    <cellStyle name="Title 2 2" xfId="15480" xr:uid="{00000000-0005-0000-0000-00007A3C0000}"/>
    <cellStyle name="Title 2 2 2" xfId="15481" xr:uid="{00000000-0005-0000-0000-00007B3C0000}"/>
    <cellStyle name="Title 2 2 2 2" xfId="15482" xr:uid="{00000000-0005-0000-0000-00007C3C0000}"/>
    <cellStyle name="Title 2 2 2 2 2" xfId="15483" xr:uid="{00000000-0005-0000-0000-00007D3C0000}"/>
    <cellStyle name="Title 2 2 2 3" xfId="15484" xr:uid="{00000000-0005-0000-0000-00007E3C0000}"/>
    <cellStyle name="Title 2 2 2 3 2" xfId="15485" xr:uid="{00000000-0005-0000-0000-00007F3C0000}"/>
    <cellStyle name="Title 2 2 2 4" xfId="15486" xr:uid="{00000000-0005-0000-0000-0000803C0000}"/>
    <cellStyle name="Title 2 2 2 5" xfId="15487" xr:uid="{00000000-0005-0000-0000-0000813C0000}"/>
    <cellStyle name="Title 2 2 2 6" xfId="15488" xr:uid="{00000000-0005-0000-0000-0000823C0000}"/>
    <cellStyle name="Title 2 2 2 7" xfId="15489" xr:uid="{00000000-0005-0000-0000-0000833C0000}"/>
    <cellStyle name="Title 2 2 2 8" xfId="15490" xr:uid="{00000000-0005-0000-0000-0000843C0000}"/>
    <cellStyle name="Title 2 2 2 9" xfId="15491" xr:uid="{00000000-0005-0000-0000-0000853C0000}"/>
    <cellStyle name="Title 2 2 3" xfId="15492" xr:uid="{00000000-0005-0000-0000-0000863C0000}"/>
    <cellStyle name="Title 2 2 3 2" xfId="15493" xr:uid="{00000000-0005-0000-0000-0000873C0000}"/>
    <cellStyle name="Title 2 2 4" xfId="15494" xr:uid="{00000000-0005-0000-0000-0000883C0000}"/>
    <cellStyle name="Title 2 2 5" xfId="15495" xr:uid="{00000000-0005-0000-0000-0000893C0000}"/>
    <cellStyle name="Title 2 2 6" xfId="15496" xr:uid="{00000000-0005-0000-0000-00008A3C0000}"/>
    <cellStyle name="Title 2 2 7" xfId="15497" xr:uid="{00000000-0005-0000-0000-00008B3C0000}"/>
    <cellStyle name="Title 2 2 8" xfId="15498" xr:uid="{00000000-0005-0000-0000-00008C3C0000}"/>
    <cellStyle name="Title 2 2 9" xfId="15499" xr:uid="{00000000-0005-0000-0000-00008D3C0000}"/>
    <cellStyle name="Title 2 3" xfId="15500" xr:uid="{00000000-0005-0000-0000-00008E3C0000}"/>
    <cellStyle name="Title 2 3 2" xfId="15501" xr:uid="{00000000-0005-0000-0000-00008F3C0000}"/>
    <cellStyle name="Title 2 4" xfId="15502" xr:uid="{00000000-0005-0000-0000-0000903C0000}"/>
    <cellStyle name="Title 2 4 2" xfId="15503" xr:uid="{00000000-0005-0000-0000-0000913C0000}"/>
    <cellStyle name="Title 2 5" xfId="15504" xr:uid="{00000000-0005-0000-0000-0000923C0000}"/>
    <cellStyle name="Title 2 6" xfId="15505" xr:uid="{00000000-0005-0000-0000-0000933C0000}"/>
    <cellStyle name="Title 2 7" xfId="15506" xr:uid="{00000000-0005-0000-0000-0000943C0000}"/>
    <cellStyle name="Title 2 8" xfId="15507" xr:uid="{00000000-0005-0000-0000-0000953C0000}"/>
    <cellStyle name="Title 2 9" xfId="15508" xr:uid="{00000000-0005-0000-0000-0000963C0000}"/>
    <cellStyle name="Title 3" xfId="15509" xr:uid="{00000000-0005-0000-0000-0000973C0000}"/>
    <cellStyle name="Title 3 2" xfId="15510" xr:uid="{00000000-0005-0000-0000-0000983C0000}"/>
    <cellStyle name="Title 4" xfId="15511" xr:uid="{00000000-0005-0000-0000-0000993C0000}"/>
    <cellStyle name="Title 4 2" xfId="15512" xr:uid="{00000000-0005-0000-0000-00009A3C0000}"/>
    <cellStyle name="Title 5" xfId="15513" xr:uid="{00000000-0005-0000-0000-00009B3C0000}"/>
    <cellStyle name="Title 5 2" xfId="15514" xr:uid="{00000000-0005-0000-0000-00009C3C0000}"/>
    <cellStyle name="Title 6" xfId="15515" xr:uid="{00000000-0005-0000-0000-00009D3C0000}"/>
    <cellStyle name="Title 7" xfId="15516" xr:uid="{00000000-0005-0000-0000-00009E3C0000}"/>
    <cellStyle name="Title 8" xfId="15517" xr:uid="{00000000-0005-0000-0000-00009F3C0000}"/>
    <cellStyle name="Title 9" xfId="15518" xr:uid="{00000000-0005-0000-0000-0000A03C0000}"/>
    <cellStyle name="Total 10" xfId="15519" xr:uid="{00000000-0005-0000-0000-0000A13C0000}"/>
    <cellStyle name="Total 11" xfId="15520" xr:uid="{00000000-0005-0000-0000-0000A23C0000}"/>
    <cellStyle name="Total 12" xfId="15521" xr:uid="{00000000-0005-0000-0000-0000A33C0000}"/>
    <cellStyle name="Total 2" xfId="15522" xr:uid="{00000000-0005-0000-0000-0000A43C0000}"/>
    <cellStyle name="Total 2 10" xfId="15523" xr:uid="{00000000-0005-0000-0000-0000A53C0000}"/>
    <cellStyle name="Total 2 2" xfId="15524" xr:uid="{00000000-0005-0000-0000-0000A63C0000}"/>
    <cellStyle name="Total 2 2 2" xfId="15525" xr:uid="{00000000-0005-0000-0000-0000A73C0000}"/>
    <cellStyle name="Total 2 2 2 2" xfId="15526" xr:uid="{00000000-0005-0000-0000-0000A83C0000}"/>
    <cellStyle name="Total 2 2 2 2 2" xfId="15527" xr:uid="{00000000-0005-0000-0000-0000A93C0000}"/>
    <cellStyle name="Total 2 2 2 3" xfId="15528" xr:uid="{00000000-0005-0000-0000-0000AA3C0000}"/>
    <cellStyle name="Total 2 2 2 3 2" xfId="15529" xr:uid="{00000000-0005-0000-0000-0000AB3C0000}"/>
    <cellStyle name="Total 2 2 2 4" xfId="15530" xr:uid="{00000000-0005-0000-0000-0000AC3C0000}"/>
    <cellStyle name="Total 2 2 2 5" xfId="15531" xr:uid="{00000000-0005-0000-0000-0000AD3C0000}"/>
    <cellStyle name="Total 2 2 2 6" xfId="15532" xr:uid="{00000000-0005-0000-0000-0000AE3C0000}"/>
    <cellStyle name="Total 2 2 2 7" xfId="15533" xr:uid="{00000000-0005-0000-0000-0000AF3C0000}"/>
    <cellStyle name="Total 2 2 2 8" xfId="15534" xr:uid="{00000000-0005-0000-0000-0000B03C0000}"/>
    <cellStyle name="Total 2 2 2 9" xfId="15535" xr:uid="{00000000-0005-0000-0000-0000B13C0000}"/>
    <cellStyle name="Total 2 2 3" xfId="15536" xr:uid="{00000000-0005-0000-0000-0000B23C0000}"/>
    <cellStyle name="Total 2 2 3 2" xfId="15537" xr:uid="{00000000-0005-0000-0000-0000B33C0000}"/>
    <cellStyle name="Total 2 2 4" xfId="15538" xr:uid="{00000000-0005-0000-0000-0000B43C0000}"/>
    <cellStyle name="Total 2 2 5" xfId="15539" xr:uid="{00000000-0005-0000-0000-0000B53C0000}"/>
    <cellStyle name="Total 2 2 6" xfId="15540" xr:uid="{00000000-0005-0000-0000-0000B63C0000}"/>
    <cellStyle name="Total 2 2 7" xfId="15541" xr:uid="{00000000-0005-0000-0000-0000B73C0000}"/>
    <cellStyle name="Total 2 2 8" xfId="15542" xr:uid="{00000000-0005-0000-0000-0000B83C0000}"/>
    <cellStyle name="Total 2 2 9" xfId="15543" xr:uid="{00000000-0005-0000-0000-0000B93C0000}"/>
    <cellStyle name="Total 2 3" xfId="15544" xr:uid="{00000000-0005-0000-0000-0000BA3C0000}"/>
    <cellStyle name="Total 2 3 2" xfId="15545" xr:uid="{00000000-0005-0000-0000-0000BB3C0000}"/>
    <cellStyle name="Total 2 4" xfId="15546" xr:uid="{00000000-0005-0000-0000-0000BC3C0000}"/>
    <cellStyle name="Total 2 4 2" xfId="15547" xr:uid="{00000000-0005-0000-0000-0000BD3C0000}"/>
    <cellStyle name="Total 2 5" xfId="15548" xr:uid="{00000000-0005-0000-0000-0000BE3C0000}"/>
    <cellStyle name="Total 2 6" xfId="15549" xr:uid="{00000000-0005-0000-0000-0000BF3C0000}"/>
    <cellStyle name="Total 2 7" xfId="15550" xr:uid="{00000000-0005-0000-0000-0000C03C0000}"/>
    <cellStyle name="Total 2 8" xfId="15551" xr:uid="{00000000-0005-0000-0000-0000C13C0000}"/>
    <cellStyle name="Total 2 9" xfId="15552" xr:uid="{00000000-0005-0000-0000-0000C23C0000}"/>
    <cellStyle name="Total 3" xfId="15553" xr:uid="{00000000-0005-0000-0000-0000C33C0000}"/>
    <cellStyle name="Total 3 2" xfId="15554" xr:uid="{00000000-0005-0000-0000-0000C43C0000}"/>
    <cellStyle name="Total 4" xfId="15555" xr:uid="{00000000-0005-0000-0000-0000C53C0000}"/>
    <cellStyle name="Total 4 2" xfId="15556" xr:uid="{00000000-0005-0000-0000-0000C63C0000}"/>
    <cellStyle name="Total 5" xfId="15557" xr:uid="{00000000-0005-0000-0000-0000C73C0000}"/>
    <cellStyle name="Total 5 2" xfId="15558" xr:uid="{00000000-0005-0000-0000-0000C83C0000}"/>
    <cellStyle name="Total 6" xfId="15559" xr:uid="{00000000-0005-0000-0000-0000C93C0000}"/>
    <cellStyle name="Total 7" xfId="15560" xr:uid="{00000000-0005-0000-0000-0000CA3C0000}"/>
    <cellStyle name="Total 8" xfId="15561" xr:uid="{00000000-0005-0000-0000-0000CB3C0000}"/>
    <cellStyle name="Total 9" xfId="15562" xr:uid="{00000000-0005-0000-0000-0000CC3C0000}"/>
    <cellStyle name="UploadThisRowValue" xfId="15563" xr:uid="{00000000-0005-0000-0000-0000CD3C0000}"/>
    <cellStyle name="UploadThisRowValue 2" xfId="15564" xr:uid="{00000000-0005-0000-0000-0000CE3C0000}"/>
    <cellStyle name="Warning Text 10" xfId="15565" xr:uid="{00000000-0005-0000-0000-0000CF3C0000}"/>
    <cellStyle name="Warning Text 11" xfId="15566" xr:uid="{00000000-0005-0000-0000-0000D03C0000}"/>
    <cellStyle name="Warning Text 12" xfId="15567" xr:uid="{00000000-0005-0000-0000-0000D13C0000}"/>
    <cellStyle name="Warning Text 2" xfId="15568" xr:uid="{00000000-0005-0000-0000-0000D23C0000}"/>
    <cellStyle name="Warning Text 2 10" xfId="15569" xr:uid="{00000000-0005-0000-0000-0000D33C0000}"/>
    <cellStyle name="Warning Text 2 2" xfId="15570" xr:uid="{00000000-0005-0000-0000-0000D43C0000}"/>
    <cellStyle name="Warning Text 2 2 2" xfId="15571" xr:uid="{00000000-0005-0000-0000-0000D53C0000}"/>
    <cellStyle name="Warning Text 2 2 2 2" xfId="15572" xr:uid="{00000000-0005-0000-0000-0000D63C0000}"/>
    <cellStyle name="Warning Text 2 2 2 2 2" xfId="15573" xr:uid="{00000000-0005-0000-0000-0000D73C0000}"/>
    <cellStyle name="Warning Text 2 2 2 3" xfId="15574" xr:uid="{00000000-0005-0000-0000-0000D83C0000}"/>
    <cellStyle name="Warning Text 2 2 2 3 2" xfId="15575" xr:uid="{00000000-0005-0000-0000-0000D93C0000}"/>
    <cellStyle name="Warning Text 2 2 2 4" xfId="15576" xr:uid="{00000000-0005-0000-0000-0000DA3C0000}"/>
    <cellStyle name="Warning Text 2 2 2 5" xfId="15577" xr:uid="{00000000-0005-0000-0000-0000DB3C0000}"/>
    <cellStyle name="Warning Text 2 2 2 6" xfId="15578" xr:uid="{00000000-0005-0000-0000-0000DC3C0000}"/>
    <cellStyle name="Warning Text 2 2 2 7" xfId="15579" xr:uid="{00000000-0005-0000-0000-0000DD3C0000}"/>
    <cellStyle name="Warning Text 2 2 2 8" xfId="15580" xr:uid="{00000000-0005-0000-0000-0000DE3C0000}"/>
    <cellStyle name="Warning Text 2 2 2 9" xfId="15581" xr:uid="{00000000-0005-0000-0000-0000DF3C0000}"/>
    <cellStyle name="Warning Text 2 2 3" xfId="15582" xr:uid="{00000000-0005-0000-0000-0000E03C0000}"/>
    <cellStyle name="Warning Text 2 2 3 2" xfId="15583" xr:uid="{00000000-0005-0000-0000-0000E13C0000}"/>
    <cellStyle name="Warning Text 2 2 4" xfId="15584" xr:uid="{00000000-0005-0000-0000-0000E23C0000}"/>
    <cellStyle name="Warning Text 2 2 5" xfId="15585" xr:uid="{00000000-0005-0000-0000-0000E33C0000}"/>
    <cellStyle name="Warning Text 2 2 6" xfId="15586" xr:uid="{00000000-0005-0000-0000-0000E43C0000}"/>
    <cellStyle name="Warning Text 2 2 7" xfId="15587" xr:uid="{00000000-0005-0000-0000-0000E53C0000}"/>
    <cellStyle name="Warning Text 2 2 8" xfId="15588" xr:uid="{00000000-0005-0000-0000-0000E63C0000}"/>
    <cellStyle name="Warning Text 2 2 9" xfId="15589" xr:uid="{00000000-0005-0000-0000-0000E73C0000}"/>
    <cellStyle name="Warning Text 2 3" xfId="15590" xr:uid="{00000000-0005-0000-0000-0000E83C0000}"/>
    <cellStyle name="Warning Text 2 3 2" xfId="15591" xr:uid="{00000000-0005-0000-0000-0000E93C0000}"/>
    <cellStyle name="Warning Text 2 4" xfId="15592" xr:uid="{00000000-0005-0000-0000-0000EA3C0000}"/>
    <cellStyle name="Warning Text 2 4 2" xfId="15593" xr:uid="{00000000-0005-0000-0000-0000EB3C0000}"/>
    <cellStyle name="Warning Text 2 5" xfId="15594" xr:uid="{00000000-0005-0000-0000-0000EC3C0000}"/>
    <cellStyle name="Warning Text 2 6" xfId="15595" xr:uid="{00000000-0005-0000-0000-0000ED3C0000}"/>
    <cellStyle name="Warning Text 2 7" xfId="15596" xr:uid="{00000000-0005-0000-0000-0000EE3C0000}"/>
    <cellStyle name="Warning Text 2 8" xfId="15597" xr:uid="{00000000-0005-0000-0000-0000EF3C0000}"/>
    <cellStyle name="Warning Text 2 9" xfId="15598" xr:uid="{00000000-0005-0000-0000-0000F03C0000}"/>
    <cellStyle name="Warning Text 3" xfId="15599" xr:uid="{00000000-0005-0000-0000-0000F13C0000}"/>
    <cellStyle name="Warning Text 3 2" xfId="15600" xr:uid="{00000000-0005-0000-0000-0000F23C0000}"/>
    <cellStyle name="Warning Text 4" xfId="15601" xr:uid="{00000000-0005-0000-0000-0000F33C0000}"/>
    <cellStyle name="Warning Text 4 2" xfId="15602" xr:uid="{00000000-0005-0000-0000-0000F43C0000}"/>
    <cellStyle name="Warning Text 5" xfId="15603" xr:uid="{00000000-0005-0000-0000-0000F53C0000}"/>
    <cellStyle name="Warning Text 5 2" xfId="15604" xr:uid="{00000000-0005-0000-0000-0000F63C0000}"/>
    <cellStyle name="Warning Text 6" xfId="15605" xr:uid="{00000000-0005-0000-0000-0000F73C0000}"/>
    <cellStyle name="Warning Text 7" xfId="15606" xr:uid="{00000000-0005-0000-0000-0000F83C0000}"/>
    <cellStyle name="Warning Text 8" xfId="15607" xr:uid="{00000000-0005-0000-0000-0000F93C0000}"/>
    <cellStyle name="Warning Text 9" xfId="15608" xr:uid="{00000000-0005-0000-0000-0000FA3C0000}"/>
  </cellStyles>
  <dxfs count="131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10.xml"/><Relationship Id="rId89" Type="http://schemas.openxmlformats.org/officeDocument/2006/relationships/externalLink" Target="externalLinks/externalLink15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6.xml"/><Relationship Id="rId95" Type="http://schemas.openxmlformats.org/officeDocument/2006/relationships/styles" Target="style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externalLink" Target="externalLinks/externalLink6.xml"/><Relationship Id="rId85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1.xml"/><Relationship Id="rId83" Type="http://schemas.openxmlformats.org/officeDocument/2006/relationships/externalLink" Target="externalLinks/externalLink9.xml"/><Relationship Id="rId88" Type="http://schemas.openxmlformats.org/officeDocument/2006/relationships/externalLink" Target="externalLinks/externalLink14.xml"/><Relationship Id="rId91" Type="http://schemas.openxmlformats.org/officeDocument/2006/relationships/externalLink" Target="externalLinks/externalLink17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4.xml"/><Relationship Id="rId81" Type="http://schemas.openxmlformats.org/officeDocument/2006/relationships/externalLink" Target="externalLinks/externalLink7.xml"/><Relationship Id="rId86" Type="http://schemas.openxmlformats.org/officeDocument/2006/relationships/externalLink" Target="externalLinks/externalLink12.xml"/><Relationship Id="rId9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2.xml"/><Relationship Id="rId97" Type="http://schemas.microsoft.com/office/2017/10/relationships/person" Target="persons/perso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3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9.xml"/><Relationship Id="rId98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RATES/UNS%20Gas%20Rate%20Case%202023-24%20TY/ARAM%20Support%20A3%20Support%20-%20Revenue.xlsx" TargetMode="External"/><Relationship Id="rId2" Type="http://schemas.openxmlformats.org/officeDocument/2006/relationships/externalLinkPath" Target="file:///G:\RATES\UNS%20Gas%20Rate%20Case%202023-24%20TY\ARAM%20Support%20A3%20Support%20-%20Revenue.xlsx" TargetMode="External"/><Relationship Id="rId1" Type="http://schemas.openxmlformats.org/officeDocument/2006/relationships/externalLinkPath" Target="/RATES/UNS%20Gas%20Rate%20Case%202023-24%20TY/ARAM%20Support%20A3%20Support%20-%20Revenu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RATES\ARAM\UNSG\Annual\2026\Support\Pricing\A3-06%20Retail%20Revenues\Other%20Revenue%20Adjustment.xlsx" TargetMode="External"/><Relationship Id="rId1" Type="http://schemas.openxmlformats.org/officeDocument/2006/relationships/externalLinkPath" Target="Other%20Revenue%20Adjustment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FORECAST/A_REPORTS/UNS%20MASTER%20DATA/UNS%20Gas%20(Accounting%20Restated%20Numbers)/UNSG%20Master%20Database.xlsm" TargetMode="External"/><Relationship Id="rId2" Type="http://schemas.openxmlformats.org/officeDocument/2006/relationships/externalLinkPath" Target="file:///G:\FORECAST\A_REPORTS\UNS%20MASTER%20DATA\UNS%20Gas%20(Accounting%20Restated%20Numbers)\UNSG%20Master%20Database.xlsm" TargetMode="External"/><Relationship Id="rId1" Type="http://schemas.openxmlformats.org/officeDocument/2006/relationships/externalLinkPath" Target="/FORECAST/A_REPORTS/UNS%20MASTER%20DATA/UNS%20Gas%20(Accounting%20Restated%20Numbers)/UNSG%20Master%20Database.xlsm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RATES/UNS%20Gas%20Rate%20Case%202023-24%20TY/Direct/Rate%20Design/Rev%20Proof/TY%202024%20UNSG%20Adjusted%20Sales%20and%20Revenues%20Sanitized.xlsx" TargetMode="External"/><Relationship Id="rId2" Type="http://schemas.openxmlformats.org/officeDocument/2006/relationships/externalLinkPath" Target="file:///G:\RATES\UNS%20Gas%20Rate%20Case%202023-24%20TY\Direct\Rate%20Design\Rev%20Proof\TY%202024%20UNSG%20Adjusted%20Sales%20and%20Revenues%20Sanitized.xlsx" TargetMode="External"/><Relationship Id="rId1" Type="http://schemas.openxmlformats.org/officeDocument/2006/relationships/externalLinkPath" Target="/RATES/UNS%20Gas%20Rate%20Case%202023-24%20TY/Direct/Rate%20Design/Rev%20Proof/TY%202024%20UNSG%20Adjusted%20Sales%20and%20Revenues%20Sanitized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RATES/UNS%20Gas%20Rate%20Case%202023-24%20TY/Direct/Rate%20Design/Rev%20Proof/Determinants%20and%20Adjustments.xlsx" TargetMode="External"/><Relationship Id="rId2" Type="http://schemas.openxmlformats.org/officeDocument/2006/relationships/externalLinkPath" Target="file:///G:\RATES\UNS%20Gas%20Rate%20Case%202023-24%20TY\Direct\Rate%20Design\Rev%20Proof\Determinants%20and%20Adjustments.xlsx" TargetMode="External"/><Relationship Id="rId1" Type="http://schemas.openxmlformats.org/officeDocument/2006/relationships/externalLinkPath" Target="/RATES/UNS%20Gas%20Rate%20Case%202023-24%20TY/Direct/Rate%20Design/Rev%20Proof/Determinants%20and%20Adjustments.xlsx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RATES/UNS%20Gas%20Rate%20Case%202023-24%20TY/Final/Revenue%20Requirement%20Model/UNSG%20Rev%20Req%20Model%20TY%20June-2024%20-%20Final.xlsm" TargetMode="External"/><Relationship Id="rId2" Type="http://schemas.openxmlformats.org/officeDocument/2006/relationships/externalLinkPath" Target="file:///G:\RATES\UNS%20Gas%20Rate%20Case%202023-24%20TY\Final\Revenue%20Requirement%20Model\UNSG%20Rev%20Req%20Model%20TY%20June-2024%20-%20Final.xlsm" TargetMode="External"/><Relationship Id="rId1" Type="http://schemas.openxmlformats.org/officeDocument/2006/relationships/externalLinkPath" Target="/RATES/UNS%20Gas%20Rate%20Case%202023-24%20TY/Final/Revenue%20Requirement%20Model/UNSG%20Rev%20Req%20Model%20TY%20June-2024%20-%20Final.xlsm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RATES/UNS%20Gas%20Rate%20Case%202023-24%20TY/Direct/Rate%20Design/Cost%20of%20Service%20Study/Supporting%20Files%2023-24/UNSG%20Proportional%20Responsibility%2023-24%20TY.xls" TargetMode="External"/><Relationship Id="rId1" Type="http://schemas.openxmlformats.org/officeDocument/2006/relationships/externalLinkPath" Target="/RATES/UNS%20Gas%20Rate%20Case%202023-24%20TY/Direct/Rate%20Design/Cost%20of%20Service%20Study/Supporting%20Files%2023-24/UNSG%20Proportional%20Responsibility%2023-24%20TY.xls" TargetMode="External"/></Relationships>
</file>

<file path=xl/externalLinks/_rels/externalLink8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RATES/UNS%20Gas%20Rate%20Case%202023-24%20TY/Direct/Rate%20Design/Cost%20of%20Service%20Study/Supporting%20Files%2023-24/2024%20Rate%20Case%20Service%20Line%20Cost%20Calculations-%20Final.xlsm" TargetMode="External"/><Relationship Id="rId2" Type="http://schemas.openxmlformats.org/officeDocument/2006/relationships/externalLinkPath" Target="file:///G:\RATES\UNS%20Gas%20Rate%20Case%202023-24%20TY\Direct\Rate%20Design\Cost%20of%20Service%20Study\Supporting%20Files%2023-24\2024%20Rate%20Case%20Service%20Line%20Cost%20Calculations-%20Final.xlsm" TargetMode="External"/><Relationship Id="rId1" Type="http://schemas.openxmlformats.org/officeDocument/2006/relationships/externalLinkPath" Target="/RATES/UNS%20Gas%20Rate%20Case%202023-24%20TY/Direct/Rate%20Design/Cost%20of%20Service%20Study/Supporting%20Files%2023-24/2024%20Rate%20Case%20Service%20Line%20Cost%20Calculations-%20Final.xlsm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RATES/UNS%20Gas%20Rate%20Case%202023-24%20TY/Direct/Rate%20Design/Cost%20of%20Service%20Study/Supporting%20Files%2023-24/UNSG%20SAs%20with%20Rates%20and%20Meters%20FINAL.xlsx" TargetMode="External"/><Relationship Id="rId1" Type="http://schemas.openxmlformats.org/officeDocument/2006/relationships/externalLinkPath" Target="/RATES/UNS%20Gas%20Rate%20Case%202023-24%20TY/Direct/Rate%20Design/Cost%20of%20Service%20Study/Supporting%20Files%2023-24/UNSG%20SAs%20with%20Rates%20and%20Meters%20FINAL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RATES/UNS%20Gas%20Rate%20Case%202023-24%20TY/Direct/Rate%20Design/Cost%20of%20Service%20Study/Supporting%20Files%2023-24/Misc%20Serv%20Revenue.xlsx" TargetMode="External"/><Relationship Id="rId1" Type="http://schemas.openxmlformats.org/officeDocument/2006/relationships/externalLinkPath" Target="/RATES/UNS%20Gas%20Rate%20Case%202023-24%20TY/Direct/Rate%20Design/Cost%20of%20Service%20Study/Supporting%20Files%2023-24/Misc%20Serv%20Revenue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RATES/UNS%20Gas%20Rate%20Case%202023-24%20TY/Direct/Rate%20Design/Cost%20of%20Service%20Study/Supporting%20Files%2023-24/Uncollectible%206-30-24.xlsx" TargetMode="External"/><Relationship Id="rId1" Type="http://schemas.openxmlformats.org/officeDocument/2006/relationships/externalLinkPath" Target="/RATES/UNS%20Gas%20Rate%20Case%202023-24%20TY/Direct/Rate%20Design/Cost%20of%20Service%20Study/Supporting%20Files%2023-24/Uncollectible%206-30-24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RATES/UNS%20Gas%20Rate%20Case%202023-24%20TY/Direct/Rate%20Design/Cost%20of%20Service%20Study/Supporting%20Files%2023-24/Customer%20Advances%20UNSG%2023-24%20TY.xls" TargetMode="External"/><Relationship Id="rId1" Type="http://schemas.openxmlformats.org/officeDocument/2006/relationships/externalLinkPath" Target="/RATES/UNS%20Gas%20Rate%20Case%202023-24%20TY/Direct/Rate%20Design/Cost%20of%20Service%20Study/Supporting%20Files%2023-24/Customer%20Advances%20UNSG%2023-24%20TY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RATES/UNS%20Gas%20Rate%20Case%202023-24%20TY/Direct/Rate%20Design/Cost%20of%20Service%20Study/Supporting%20Files%2023-24/Customer%20Deposit%20Activity%20Query.xlsx" TargetMode="External"/><Relationship Id="rId1" Type="http://schemas.openxmlformats.org/officeDocument/2006/relationships/externalLinkPath" Target="/RATES/UNS%20Gas%20Rate%20Case%202023-24%20TY/Direct/Rate%20Design/Cost%20of%20Service%20Study/Supporting%20Files%2023-24/Customer%20Deposit%20Activity%20Query.xlsx" TargetMode="External"/></Relationships>
</file>

<file path=xl/externalLinks/_rels/externalLink1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RATES/UNS%20Gas%20Rate%20Case%202023-24%20TY/Direct/Rate%20Design/Cost%20of%20Service%20Study/Supporting%20Files%2023-24/Labor%20Allocation%20by%20FERC%2006-30-2024.xlsx" TargetMode="External"/><Relationship Id="rId2" Type="http://schemas.openxmlformats.org/officeDocument/2006/relationships/externalLinkPath" Target="file:///G:\RATES\UNS%20Gas%20Rate%20Case%202023-24%20TY\Direct\Rate%20Design\Cost%20of%20Service%20Study\Supporting%20Files%2023-24\Labor%20Allocation%20by%20FERC%2006-30-2024.xlsx" TargetMode="External"/><Relationship Id="rId1" Type="http://schemas.openxmlformats.org/officeDocument/2006/relationships/externalLinkPath" Target="/RATES/UNS%20Gas%20Rate%20Case%202023-24%20TY/Direct/Rate%20Design/Cost%20of%20Service%20Study/Supporting%20Files%2023-24/Labor%20Allocation%20by%20FERC%2006-30-2024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RATES/UNS%20Gas%20Rate%20Case%202023-24%20TY/Direct/Rate%20Design/Cost%20of%20Service%20Study/Supporting%20Files%2023-24/Late%20Fees.xlsx" TargetMode="External"/><Relationship Id="rId1" Type="http://schemas.openxmlformats.org/officeDocument/2006/relationships/externalLinkPath" Target="/RATES/UNS%20Gas%20Rate%20Case%202023-24%20TY/Direct/Rate%20Design/Cost%20of%20Service%20Study/Supporting%20Files%2023-24/Late%20Fees.xlsx" TargetMode="External"/></Relationships>
</file>

<file path=xl/externalLinks/_rels/externalLink1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RATES/UNS%20Gas%20Rate%20Case%202023-24%20TY/Direct/Rate%20Design/Cost%20of%20Service%20Study/Minimum%20System/June_24_UNSG_Min_System_Study-FINAL.xlsx" TargetMode="External"/><Relationship Id="rId2" Type="http://schemas.openxmlformats.org/officeDocument/2006/relationships/externalLinkPath" Target="file:///G:\RATES\UNS%20Gas%20Rate%20Case%202023-24%20TY\Direct\Rate%20Design\Cost%20of%20Service%20Study\Minimum%20System\June_24_UNSG_Min_System_Study-FINAL.xlsx" TargetMode="External"/><Relationship Id="rId1" Type="http://schemas.openxmlformats.org/officeDocument/2006/relationships/externalLinkPath" Target="/RATES/UNS%20Gas%20Rate%20Case%202023-24%20TY/Direct/Rate%20Design/Cost%20of%20Service%20Study/Minimum%20System/June_24_UNSG_Min_System_Study-FINAL.xlsx" TargetMode="External"/></Relationships>
</file>

<file path=xl/externalLinks/_rels/externalLink17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RATES/UNS%20Gas%20Rate%20Case%202023-24%20TY/Direct/Rate%20Design/Rev%20Proof/UNSG%20Therms%20Percentiles.xlsx" TargetMode="External"/><Relationship Id="rId2" Type="http://schemas.openxmlformats.org/officeDocument/2006/relationships/externalLinkPath" Target="file:///G:\RATES\UNS%20Gas%20Rate%20Case%202023-24%20TY\Direct\Rate%20Design\Rev%20Proof\UNSG%20Therms%20Percentiles.xlsx" TargetMode="External"/><Relationship Id="rId1" Type="http://schemas.openxmlformats.org/officeDocument/2006/relationships/externalLinkPath" Target="/RATES/UNS%20Gas%20Rate%20Case%202023-24%20TY/Direct/Rate%20Design/Rev%20Proof/UNSG%20Therms%20Percentiles.xlsx" TargetMode="External"/></Relationships>
</file>

<file path=xl/externalLinks/_rels/externalLink18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RATES/UNS%20Gas%20Rate%20Case%202023-24%20TY/Direct/Rate%20Design/Testing/Billing%20Determinants%20-%20Proof/Seasonal%20Therm%20Percentiles.xlsx" TargetMode="External"/><Relationship Id="rId2" Type="http://schemas.openxmlformats.org/officeDocument/2006/relationships/externalLinkPath" Target="file:///G:\RATES\UNS%20Gas%20Rate%20Case%202023-24%20TY\Direct\Rate%20Design\Testing\Billing%20Determinants%20-%20Proof\Seasonal%20Therm%20Percentiles.xlsx" TargetMode="External"/><Relationship Id="rId1" Type="http://schemas.openxmlformats.org/officeDocument/2006/relationships/externalLinkPath" Target="/RATES/UNS%20Gas%20Rate%20Case%202023-24%20TY/Direct/Rate%20Design/Testing/Billing%20Determinants%20-%20Proof/Seasonal%20Therm%20Percentiles.xlsx" TargetMode="External"/></Relationships>
</file>

<file path=xl/externalLinks/_rels/externalLink1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RATES/UNS%20Gas%20Rate%20Case%202023-24%20TY/Direct/Rate%20Design/Rev%20Proof/Transport%20Billing%20by%20SA%20Sanitized.xlsx" TargetMode="External"/><Relationship Id="rId2" Type="http://schemas.openxmlformats.org/officeDocument/2006/relationships/externalLinkPath" Target="file:///G:\RATES\UNS%20Gas%20Rate%20Case%202023-24%20TY\Direct\Rate%20Design\Rev%20Proof\Transport%20Billing%20by%20SA%20Sanitized.xlsx" TargetMode="External"/><Relationship Id="rId1" Type="http://schemas.openxmlformats.org/officeDocument/2006/relationships/externalLinkPath" Target="/RATES/UNS%20Gas%20Rate%20Case%202023-24%20TY/Direct/Rate%20Design/Rev%20Proof/Transport%20Billing%20by%20SA%20Sanitiz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v-Gas Summary"/>
    </sheetNames>
    <sheetDataSet>
      <sheetData sheetId="0">
        <row r="11">
          <cell r="C11">
            <v>58153034.57</v>
          </cell>
        </row>
        <row r="14">
          <cell r="C14">
            <v>6779086.6299999999</v>
          </cell>
          <cell r="E14">
            <v>-824366.36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3-06"/>
      <sheetName val="ARAM"/>
      <sheetName val="Sheet1"/>
    </sheetNames>
    <sheetDataSet>
      <sheetData sheetId="0">
        <row r="10">
          <cell r="C10">
            <v>56939230</v>
          </cell>
          <cell r="F10">
            <v>2264574.7000000002</v>
          </cell>
          <cell r="G10">
            <v>339852.2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lagstaff Sales"/>
      <sheetName val="Kingman Sales"/>
      <sheetName val="Prescott Sales"/>
      <sheetName val="Verde Sales"/>
      <sheetName val="Nogales Sales"/>
      <sheetName val="Show Low Sales"/>
      <sheetName val="Total Sales"/>
      <sheetName val="Prescott Customers"/>
      <sheetName val="Flagstaff Customers"/>
      <sheetName val="Kingman Customers"/>
      <sheetName val="Verde Customers"/>
      <sheetName val="Show Low Customers"/>
      <sheetName val="Nogales Customers"/>
      <sheetName val="Total Customers"/>
      <sheetName val="Flagstaff UPC"/>
      <sheetName val="Kingman UPC"/>
      <sheetName val="Prescott UPC"/>
      <sheetName val="Verde UPC"/>
      <sheetName val="Nogales UPC"/>
      <sheetName val="Show Low UPC"/>
      <sheetName val="Flagstaff Revenue"/>
      <sheetName val="Kingman Revenue"/>
      <sheetName val="Prescott Revenue"/>
      <sheetName val="Verde Revenue"/>
      <sheetName val="Nogales Revenue"/>
      <sheetName val="Show Low Revenue"/>
      <sheetName val="Total Revenue"/>
      <sheetName val="Sales Check"/>
      <sheetName val="Customers Check"/>
      <sheetName val="Revenue Check"/>
      <sheetName val="Macro"/>
      <sheetName val="Sheet1"/>
      <sheetName val="UNSG Master Database"/>
    </sheetNames>
    <sheetDataSet>
      <sheetData sheetId="0"/>
      <sheetData sheetId="1"/>
      <sheetData sheetId="2"/>
      <sheetData sheetId="3"/>
      <sheetData sheetId="4"/>
      <sheetData sheetId="5"/>
      <sheetData sheetId="6">
        <row r="244">
          <cell r="AU244">
            <v>3487026</v>
          </cell>
        </row>
        <row r="245">
          <cell r="AU245">
            <v>3502778</v>
          </cell>
        </row>
        <row r="246">
          <cell r="AU246">
            <v>3946572</v>
          </cell>
        </row>
        <row r="247">
          <cell r="AU247">
            <v>6631891</v>
          </cell>
        </row>
        <row r="248">
          <cell r="AU248">
            <v>12909573</v>
          </cell>
        </row>
        <row r="249">
          <cell r="AU249">
            <v>19707115</v>
          </cell>
        </row>
        <row r="250">
          <cell r="AU250">
            <v>22868789</v>
          </cell>
        </row>
        <row r="251">
          <cell r="AU251">
            <v>19274284</v>
          </cell>
        </row>
        <row r="252">
          <cell r="AU252">
            <v>15848719</v>
          </cell>
        </row>
        <row r="253">
          <cell r="AU253">
            <v>10468267</v>
          </cell>
        </row>
        <row r="254">
          <cell r="AU254">
            <v>5650045</v>
          </cell>
        </row>
        <row r="255">
          <cell r="AU255">
            <v>3553580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Summary"/>
      <sheetName val="Residential"/>
      <sheetName val="Commercial"/>
      <sheetName val="Industrial"/>
      <sheetName val="Public Authority"/>
      <sheetName val="Transport"/>
      <sheetName val="Annual Billing Dets by Sub Acc"/>
      <sheetName val="5751"/>
      <sheetName val="5752"/>
      <sheetName val="5763_R"/>
      <sheetName val="5753"/>
      <sheetName val="5754"/>
      <sheetName val="5755"/>
      <sheetName val="5758"/>
      <sheetName val="5759"/>
      <sheetName val="5763_P"/>
      <sheetName val="5765"/>
      <sheetName val="5766"/>
      <sheetName val="5756"/>
      <sheetName val="Billed Annual Billing Det"/>
      <sheetName val="Adjusted Annual Billing Det"/>
      <sheetName val="Proposed Annual Billing Det"/>
      <sheetName val="Net Migration Summary"/>
      <sheetName val="Move to GGSVS"/>
      <sheetName val="Move to GILVS"/>
      <sheetName val="GPSVS"/>
      <sheetName val="GISVS"/>
      <sheetName val="GGLVS"/>
      <sheetName val="GILVS"/>
      <sheetName val="GPLVS"/>
      <sheetName val="GGSVS"/>
      <sheetName val="GGSVS Jan and July"/>
      <sheetName val="Therm Adjustment"/>
    </sheetNames>
    <sheetDataSet>
      <sheetData sheetId="0"/>
      <sheetData sheetId="1">
        <row r="212">
          <cell r="F212">
            <v>162655194.52705711</v>
          </cell>
          <cell r="H212">
            <v>63298.780277496451</v>
          </cell>
        </row>
        <row r="226">
          <cell r="G226">
            <v>67333728.742699996</v>
          </cell>
          <cell r="M226">
            <v>67665951.509218886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A2" t="str">
            <v>Lookup</v>
          </cell>
          <cell r="B2" t="str">
            <v>Sub Account</v>
          </cell>
          <cell r="C2" t="str">
            <v>Rate Code</v>
          </cell>
          <cell r="D2" t="str">
            <v>Total Bills with BSC</v>
          </cell>
          <cell r="E2" t="str">
            <v>Total Therms</v>
          </cell>
          <cell r="F2" t="str">
            <v>Basic Service Charge</v>
          </cell>
          <cell r="G2" t="str">
            <v>Delivery Charge</v>
          </cell>
          <cell r="H2" t="str">
            <v>PGA Charge</v>
          </cell>
          <cell r="I2" t="str">
            <v>Total Revenue</v>
          </cell>
          <cell r="J2" t="str">
            <v>Total CARES Bills</v>
          </cell>
          <cell r="K2" t="str">
            <v>Misc Revenue</v>
          </cell>
          <cell r="L2" t="str">
            <v>CARES Discount</v>
          </cell>
          <cell r="M2" t="str">
            <v>Total Non-Fuel Revenue</v>
          </cell>
          <cell r="N2" t="str">
            <v>Total Revenue</v>
          </cell>
        </row>
        <row r="3">
          <cell r="A3" t="str">
            <v>5753GGSVS</v>
          </cell>
          <cell r="B3" t="str">
            <v>5753</v>
          </cell>
          <cell r="C3" t="str">
            <v>GGSVS</v>
          </cell>
          <cell r="D3">
            <v>146178</v>
          </cell>
          <cell r="E3">
            <v>33936462</v>
          </cell>
          <cell r="F3">
            <v>2923560</v>
          </cell>
          <cell r="G3">
            <v>9627774.2693999987</v>
          </cell>
          <cell r="H3">
            <v>15537988.1898</v>
          </cell>
          <cell r="I3">
            <v>28089322.459200002</v>
          </cell>
          <cell r="K3"/>
          <cell r="L3">
            <v>0</v>
          </cell>
          <cell r="M3">
            <v>12551334.269400001</v>
          </cell>
          <cell r="N3" t="e">
            <v>#N/A</v>
          </cell>
        </row>
        <row r="4">
          <cell r="A4" t="str">
            <v>5754GGLVS</v>
          </cell>
          <cell r="B4" t="str">
            <v>5754</v>
          </cell>
          <cell r="C4" t="str">
            <v>GGLVS</v>
          </cell>
          <cell r="D4">
            <v>314</v>
          </cell>
          <cell r="E4">
            <v>1168672</v>
          </cell>
          <cell r="F4">
            <v>70650</v>
          </cell>
          <cell r="G4">
            <v>245888.5888</v>
          </cell>
          <cell r="H4">
            <v>534965.88170000003</v>
          </cell>
          <cell r="I4">
            <v>851504.47050000005</v>
          </cell>
          <cell r="K4"/>
          <cell r="L4">
            <v>0</v>
          </cell>
          <cell r="M4">
            <v>316538.58879999997</v>
          </cell>
          <cell r="N4" t="e">
            <v>#N/A</v>
          </cell>
        </row>
        <row r="5">
          <cell r="A5" t="str">
            <v>5763GPCNGSV</v>
          </cell>
          <cell r="B5" t="str">
            <v>5763</v>
          </cell>
          <cell r="C5" t="str">
            <v>GPCNGSV</v>
          </cell>
          <cell r="D5">
            <v>36</v>
          </cell>
          <cell r="E5">
            <v>0</v>
          </cell>
          <cell r="F5">
            <v>720</v>
          </cell>
          <cell r="G5">
            <v>0</v>
          </cell>
          <cell r="H5">
            <v>0</v>
          </cell>
          <cell r="I5">
            <v>720</v>
          </cell>
          <cell r="K5"/>
          <cell r="L5">
            <v>0</v>
          </cell>
          <cell r="M5">
            <v>720</v>
          </cell>
          <cell r="N5" t="e">
            <v>#REF!</v>
          </cell>
        </row>
        <row r="6">
          <cell r="A6" t="str">
            <v>5763GRCNG</v>
          </cell>
          <cell r="B6" t="str">
            <v>5763</v>
          </cell>
          <cell r="C6" t="str">
            <v>GRCNG</v>
          </cell>
          <cell r="D6">
            <v>24</v>
          </cell>
          <cell r="E6">
            <v>791</v>
          </cell>
          <cell r="F6">
            <v>240</v>
          </cell>
          <cell r="G6">
            <v>271.62939999999992</v>
          </cell>
          <cell r="H6">
            <v>362.39690000000002</v>
          </cell>
          <cell r="I6">
            <v>874.02630000000022</v>
          </cell>
          <cell r="K6"/>
          <cell r="L6">
            <v>0</v>
          </cell>
          <cell r="M6">
            <v>511.62939999999992</v>
          </cell>
          <cell r="N6" t="e">
            <v>#REF!</v>
          </cell>
        </row>
        <row r="7">
          <cell r="A7" t="str">
            <v>5758GISVS</v>
          </cell>
          <cell r="B7" t="str">
            <v>5758</v>
          </cell>
          <cell r="C7" t="str">
            <v>GISVS</v>
          </cell>
          <cell r="D7">
            <v>267</v>
          </cell>
          <cell r="E7">
            <v>883556</v>
          </cell>
          <cell r="F7">
            <v>5340</v>
          </cell>
          <cell r="G7">
            <v>270456.49159999995</v>
          </cell>
          <cell r="H7">
            <v>403535.78490000003</v>
          </cell>
          <cell r="I7">
            <v>679332.27649999992</v>
          </cell>
          <cell r="K7"/>
          <cell r="L7">
            <v>0</v>
          </cell>
          <cell r="M7">
            <v>275796.49159999995</v>
          </cell>
          <cell r="N7" t="e">
            <v>#N/A</v>
          </cell>
        </row>
        <row r="8">
          <cell r="A8" t="str">
            <v>5759GILVS</v>
          </cell>
          <cell r="B8" t="str">
            <v>5759</v>
          </cell>
          <cell r="C8" t="str">
            <v>GILVS</v>
          </cell>
          <cell r="D8">
            <v>86</v>
          </cell>
          <cell r="E8">
            <v>1699928</v>
          </cell>
          <cell r="F8">
            <v>19350</v>
          </cell>
          <cell r="G8">
            <v>212151.01439999996</v>
          </cell>
          <cell r="H8">
            <v>779416.05489999999</v>
          </cell>
          <cell r="I8">
            <v>1010917.0693</v>
          </cell>
          <cell r="K8"/>
          <cell r="L8">
            <v>0</v>
          </cell>
          <cell r="M8">
            <v>231501.01439999996</v>
          </cell>
          <cell r="N8" t="e">
            <v>#N/A</v>
          </cell>
        </row>
        <row r="9">
          <cell r="A9" t="str">
            <v>5755GGIRS</v>
          </cell>
          <cell r="B9" t="str">
            <v>5755</v>
          </cell>
          <cell r="C9" t="str">
            <v>GGIRS</v>
          </cell>
          <cell r="D9">
            <v>47</v>
          </cell>
          <cell r="E9">
            <v>7495</v>
          </cell>
          <cell r="F9">
            <v>940</v>
          </cell>
          <cell r="G9">
            <v>2647.2340000000004</v>
          </cell>
          <cell r="H9">
            <v>3341.7368999999999</v>
          </cell>
          <cell r="I9">
            <v>6928.9709000000003</v>
          </cell>
          <cell r="K9"/>
          <cell r="L9">
            <v>0</v>
          </cell>
          <cell r="M9">
            <v>3587.2340000000004</v>
          </cell>
          <cell r="N9" t="e">
            <v>#N/A</v>
          </cell>
        </row>
        <row r="10">
          <cell r="A10" t="str">
            <v>5765GPSVS</v>
          </cell>
          <cell r="B10" t="str">
            <v>5765</v>
          </cell>
          <cell r="C10" t="str">
            <v>GPSVS</v>
          </cell>
          <cell r="D10">
            <v>12355</v>
          </cell>
          <cell r="E10">
            <v>4729503</v>
          </cell>
          <cell r="F10">
            <v>247100</v>
          </cell>
          <cell r="G10">
            <v>1343651.8023000001</v>
          </cell>
          <cell r="H10">
            <v>2165047.9084000001</v>
          </cell>
          <cell r="I10">
            <v>3755799.7106999997</v>
          </cell>
          <cell r="K10"/>
          <cell r="L10">
            <v>0</v>
          </cell>
          <cell r="M10">
            <v>1590751.8023000001</v>
          </cell>
          <cell r="N10" t="e">
            <v>#N/A</v>
          </cell>
        </row>
        <row r="11">
          <cell r="A11" t="str">
            <v>5766GPLVS</v>
          </cell>
          <cell r="B11" t="str">
            <v>5766</v>
          </cell>
          <cell r="C11" t="str">
            <v>GPLVS</v>
          </cell>
          <cell r="D11">
            <v>83</v>
          </cell>
          <cell r="E11">
            <v>1036504</v>
          </cell>
          <cell r="F11">
            <v>18675</v>
          </cell>
          <cell r="G11">
            <v>158274.16080000001</v>
          </cell>
          <cell r="H11">
            <v>473086.82990000001</v>
          </cell>
          <cell r="I11">
            <v>650035.99069999997</v>
          </cell>
          <cell r="K11"/>
          <cell r="L11">
            <v>0</v>
          </cell>
          <cell r="M11">
            <v>176949.16080000001</v>
          </cell>
          <cell r="N11" t="e">
            <v>#N/A</v>
          </cell>
        </row>
        <row r="12">
          <cell r="A12" t="str">
            <v>5751GRRES</v>
          </cell>
          <cell r="B12" t="str">
            <v>5751</v>
          </cell>
          <cell r="C12" t="str">
            <v>GRRES</v>
          </cell>
          <cell r="D12">
            <v>1804456</v>
          </cell>
          <cell r="E12">
            <v>81711283</v>
          </cell>
          <cell r="F12">
            <v>18044560</v>
          </cell>
          <cell r="G12">
            <v>28059654.582199998</v>
          </cell>
          <cell r="H12">
            <v>37402139.036775991</v>
          </cell>
          <cell r="I12">
            <v>83506353.618975997</v>
          </cell>
          <cell r="J12"/>
          <cell r="K12"/>
          <cell r="L12">
            <v>0</v>
          </cell>
          <cell r="M12">
            <v>46104214.582199998</v>
          </cell>
          <cell r="N12" t="e">
            <v>#N/A</v>
          </cell>
        </row>
        <row r="13">
          <cell r="A13" t="str">
            <v>5752GRRESC</v>
          </cell>
          <cell r="B13" t="str">
            <v>5752</v>
          </cell>
          <cell r="C13" t="str">
            <v>GRRESC</v>
          </cell>
          <cell r="D13">
            <v>73604</v>
          </cell>
          <cell r="E13">
            <v>2710566</v>
          </cell>
          <cell r="F13">
            <v>736040</v>
          </cell>
          <cell r="G13">
            <v>930808.36439999996</v>
          </cell>
          <cell r="H13">
            <v>1241338.9443000001</v>
          </cell>
          <cell r="I13">
            <v>2396236.7086999998</v>
          </cell>
          <cell r="J13">
            <v>73604</v>
          </cell>
          <cell r="K13"/>
          <cell r="L13">
            <v>-511950.6</v>
          </cell>
          <cell r="M13">
            <v>1154897.7644000002</v>
          </cell>
          <cell r="N13" t="e">
            <v>#N/A</v>
          </cell>
        </row>
        <row r="14">
          <cell r="A14" t="str">
            <v>5756GTGLVS</v>
          </cell>
          <cell r="B14" t="str">
            <v>5756</v>
          </cell>
          <cell r="C14" t="str">
            <v>GTGLVS</v>
          </cell>
          <cell r="D14">
            <v>96</v>
          </cell>
          <cell r="E14">
            <v>1545731</v>
          </cell>
          <cell r="F14">
            <v>21600</v>
          </cell>
          <cell r="G14">
            <v>325221.80240000004</v>
          </cell>
          <cell r="H14">
            <v>0</v>
          </cell>
          <cell r="I14">
            <v>693643.60480000009</v>
          </cell>
          <cell r="J14"/>
          <cell r="K14"/>
          <cell r="L14">
            <v>0</v>
          </cell>
          <cell r="M14">
            <v>346821.80240000004</v>
          </cell>
          <cell r="N14" t="e">
            <v>#N/A</v>
          </cell>
        </row>
        <row r="15">
          <cell r="A15" t="str">
            <v>5756GTILVS</v>
          </cell>
          <cell r="B15" t="str">
            <v>5756</v>
          </cell>
          <cell r="C15" t="str">
            <v>GTILVS</v>
          </cell>
          <cell r="D15">
            <v>96</v>
          </cell>
          <cell r="E15">
            <v>14114075</v>
          </cell>
          <cell r="F15">
            <v>21600</v>
          </cell>
          <cell r="G15">
            <v>1761436.56</v>
          </cell>
          <cell r="H15">
            <v>0</v>
          </cell>
          <cell r="I15">
            <v>1783036.56</v>
          </cell>
          <cell r="J15">
            <v>0</v>
          </cell>
          <cell r="K15">
            <v>0</v>
          </cell>
          <cell r="L15">
            <v>0</v>
          </cell>
          <cell r="M15">
            <v>1783036.56</v>
          </cell>
          <cell r="N15" t="e">
            <v>#N/A</v>
          </cell>
        </row>
        <row r="16">
          <cell r="A16" t="str">
            <v>5756GTPLVS</v>
          </cell>
          <cell r="B16" t="str">
            <v>5756</v>
          </cell>
          <cell r="C16" t="str">
            <v>GTPLVS</v>
          </cell>
          <cell r="D16">
            <v>84</v>
          </cell>
          <cell r="E16">
            <v>4904946</v>
          </cell>
          <cell r="F16">
            <v>18900</v>
          </cell>
          <cell r="G16">
            <v>748985.25419999997</v>
          </cell>
          <cell r="H16">
            <v>0</v>
          </cell>
          <cell r="I16">
            <v>767885.25419999997</v>
          </cell>
          <cell r="J16">
            <v>0</v>
          </cell>
          <cell r="K16">
            <v>0</v>
          </cell>
          <cell r="L16">
            <v>0</v>
          </cell>
          <cell r="M16">
            <v>767885.25419999997</v>
          </cell>
          <cell r="N16" t="e">
            <v>#N/A</v>
          </cell>
        </row>
        <row r="17">
          <cell r="A17" t="str">
            <v>5756GTNILVS</v>
          </cell>
          <cell r="B17" t="str">
            <v>5756</v>
          </cell>
          <cell r="C17" t="str">
            <v>GTNILVS</v>
          </cell>
          <cell r="D17">
            <v>96</v>
          </cell>
          <cell r="E17">
            <v>13532527</v>
          </cell>
          <cell r="F17">
            <v>21600</v>
          </cell>
          <cell r="G17">
            <v>1688859.3695999999</v>
          </cell>
          <cell r="H17"/>
          <cell r="I17">
            <v>1710459.3695999999</v>
          </cell>
          <cell r="J17">
            <v>0</v>
          </cell>
          <cell r="K17">
            <v>0</v>
          </cell>
          <cell r="L17">
            <v>0</v>
          </cell>
          <cell r="M17">
            <v>1710459.3695999999</v>
          </cell>
        </row>
        <row r="18">
          <cell r="A18" t="str">
            <v>5756GTNGLVS</v>
          </cell>
          <cell r="B18" t="str">
            <v>5756</v>
          </cell>
          <cell r="C18" t="str">
            <v>GTNGLVS</v>
          </cell>
          <cell r="D18">
            <v>72</v>
          </cell>
          <cell r="E18">
            <v>1437848</v>
          </cell>
          <cell r="F18">
            <v>16200</v>
          </cell>
          <cell r="G18">
            <v>302523.21920000005</v>
          </cell>
          <cell r="H18">
            <v>0</v>
          </cell>
          <cell r="I18">
            <v>318723.21920000005</v>
          </cell>
          <cell r="J18">
            <v>0</v>
          </cell>
          <cell r="K18">
            <v>0</v>
          </cell>
          <cell r="L18">
            <v>0</v>
          </cell>
          <cell r="M18">
            <v>318723.21920000005</v>
          </cell>
        </row>
      </sheetData>
      <sheetData sheetId="21">
        <row r="2">
          <cell r="A2" t="str">
            <v>Lookup</v>
          </cell>
          <cell r="B2" t="str">
            <v>Sub Account</v>
          </cell>
          <cell r="C2" t="str">
            <v>Rate Code</v>
          </cell>
          <cell r="D2" t="str">
            <v>Adjusted Total Bills with BSC</v>
          </cell>
          <cell r="E2" t="str">
            <v>Adjusted Total Therms</v>
          </cell>
          <cell r="F2" t="str">
            <v>Adjusted Summer Therms</v>
          </cell>
          <cell r="G2" t="str">
            <v>Adjusted Winter Therms 0 to 100</v>
          </cell>
          <cell r="H2" t="str">
            <v>Adjusted Winter Therms above 100</v>
          </cell>
          <cell r="I2" t="str">
            <v>Adjusted Basic Service Charge</v>
          </cell>
          <cell r="J2" t="str">
            <v>Adjusted Delivery Charge</v>
          </cell>
          <cell r="K2" t="str">
            <v>Adjusted PGA Charge</v>
          </cell>
          <cell r="L2" t="str">
            <v>Adjusted Total Revenue</v>
          </cell>
        </row>
        <row r="3">
          <cell r="A3" t="str">
            <v>5753GGSVS</v>
          </cell>
          <cell r="B3" t="str">
            <v>5753</v>
          </cell>
          <cell r="C3" t="str">
            <v>GGSVS</v>
          </cell>
          <cell r="D3">
            <v>146536.54071046272</v>
          </cell>
          <cell r="E3">
            <v>33757920.187754832</v>
          </cell>
          <cell r="F3"/>
          <cell r="G3"/>
          <cell r="H3"/>
          <cell r="I3">
            <v>2930730.8142092549</v>
          </cell>
          <cell r="J3">
            <v>9577121.9572660439</v>
          </cell>
          <cell r="K3">
            <v>15486716.794663321</v>
          </cell>
          <cell r="L3">
            <v>27994569.566138614</v>
          </cell>
        </row>
        <row r="4">
          <cell r="A4" t="str">
            <v>5754GGLVS</v>
          </cell>
          <cell r="B4" t="str">
            <v>5754</v>
          </cell>
          <cell r="C4" t="str">
            <v>GGLVS</v>
          </cell>
          <cell r="D4">
            <v>319.42592592592592</v>
          </cell>
          <cell r="E4">
            <v>1149625.046884174</v>
          </cell>
          <cell r="I4">
            <v>71870.833333333343</v>
          </cell>
          <cell r="J4">
            <v>241881.10986443015</v>
          </cell>
          <cell r="K4">
            <v>528482.05484890274</v>
          </cell>
          <cell r="L4">
            <v>842233.99804666627</v>
          </cell>
        </row>
        <row r="5">
          <cell r="A5" t="str">
            <v>5763GPCNGSV</v>
          </cell>
          <cell r="B5" t="str">
            <v>5763</v>
          </cell>
          <cell r="C5" t="str">
            <v>GPCNGSV</v>
          </cell>
          <cell r="D5">
            <v>36</v>
          </cell>
          <cell r="E5">
            <v>0</v>
          </cell>
          <cell r="F5"/>
          <cell r="G5"/>
          <cell r="H5"/>
          <cell r="I5">
            <v>720</v>
          </cell>
          <cell r="J5">
            <v>0</v>
          </cell>
          <cell r="K5">
            <v>0</v>
          </cell>
          <cell r="L5">
            <v>720</v>
          </cell>
        </row>
        <row r="6">
          <cell r="A6" t="str">
            <v>5763GRCNG</v>
          </cell>
          <cell r="B6" t="str">
            <v>5763</v>
          </cell>
          <cell r="C6" t="str">
            <v>GRCNG</v>
          </cell>
          <cell r="D6">
            <v>24</v>
          </cell>
          <cell r="E6">
            <v>777.65685028069288</v>
          </cell>
          <cell r="F6"/>
          <cell r="G6"/>
          <cell r="H6"/>
          <cell r="I6">
            <v>240</v>
          </cell>
          <cell r="J6">
            <v>267.04736238638998</v>
          </cell>
          <cell r="K6">
            <v>356.62651281247071</v>
          </cell>
          <cell r="L6">
            <v>863.67387519886086</v>
          </cell>
        </row>
        <row r="7">
          <cell r="A7" t="str">
            <v>5758GISVS</v>
          </cell>
          <cell r="B7" t="str">
            <v>5758</v>
          </cell>
          <cell r="C7" t="str">
            <v>GISVS</v>
          </cell>
          <cell r="D7">
            <v>277.10433201058197</v>
          </cell>
          <cell r="E7">
            <v>914226.08786027285</v>
          </cell>
          <cell r="F7"/>
          <cell r="G7"/>
          <cell r="H7"/>
          <cell r="I7">
            <v>5542.0866402116399</v>
          </cell>
          <cell r="J7">
            <v>279844.60549402953</v>
          </cell>
          <cell r="K7">
            <v>417713.36797668168</v>
          </cell>
          <cell r="L7">
            <v>703100.0601109229</v>
          </cell>
        </row>
        <row r="8">
          <cell r="A8" t="str">
            <v>5759GILVS</v>
          </cell>
          <cell r="B8" t="str">
            <v>5759</v>
          </cell>
          <cell r="C8" t="str">
            <v>GILVS</v>
          </cell>
          <cell r="D8">
            <v>87.083333333333329</v>
          </cell>
          <cell r="E8">
            <v>1695093.4627493734</v>
          </cell>
          <cell r="F8"/>
          <cell r="G8"/>
          <cell r="H8"/>
          <cell r="I8">
            <v>19593.75</v>
          </cell>
          <cell r="J8">
            <v>211547.6641511218</v>
          </cell>
          <cell r="K8">
            <v>776938.72868310998</v>
          </cell>
          <cell r="L8">
            <v>1008080.1428342315</v>
          </cell>
        </row>
        <row r="9">
          <cell r="A9" t="str">
            <v>5755GGIRS</v>
          </cell>
          <cell r="B9" t="str">
            <v>5755</v>
          </cell>
          <cell r="C9" t="str">
            <v>GGIRS</v>
          </cell>
          <cell r="D9">
            <v>47</v>
          </cell>
          <cell r="E9">
            <v>6405.3024178991363</v>
          </cell>
          <cell r="F9"/>
          <cell r="G9"/>
          <cell r="H9"/>
          <cell r="I9">
            <v>940</v>
          </cell>
          <cell r="J9">
            <v>2262.3528140019748</v>
          </cell>
          <cell r="K9">
            <v>2865.0303516820727</v>
          </cell>
          <cell r="L9">
            <v>6067.3831656840466</v>
          </cell>
        </row>
        <row r="10">
          <cell r="A10" t="str">
            <v>5765GPSVS</v>
          </cell>
          <cell r="B10" t="str">
            <v>5765</v>
          </cell>
          <cell r="C10" t="str">
            <v>GPSVS</v>
          </cell>
          <cell r="D10">
            <v>12321.763072238684</v>
          </cell>
          <cell r="E10">
            <v>4738352.0913855983</v>
          </cell>
          <cell r="F10"/>
          <cell r="G10"/>
          <cell r="H10"/>
          <cell r="I10">
            <v>246435.2614447737</v>
          </cell>
          <cell r="J10">
            <v>1346165.8291626484</v>
          </cell>
          <cell r="K10">
            <v>2171864.1647204147</v>
          </cell>
          <cell r="L10">
            <v>3764465.2553278371</v>
          </cell>
        </row>
        <row r="11">
          <cell r="A11" t="str">
            <v>5766GPLVS</v>
          </cell>
          <cell r="B11" t="str">
            <v>5766</v>
          </cell>
          <cell r="C11" t="str">
            <v>GPLVS</v>
          </cell>
          <cell r="D11">
            <v>83</v>
          </cell>
          <cell r="E11">
            <v>1013261.7770737136</v>
          </cell>
          <cell r="F11"/>
          <cell r="G11"/>
          <cell r="H11"/>
          <cell r="I11">
            <v>18675</v>
          </cell>
          <cell r="J11">
            <v>154725.07335915606</v>
          </cell>
          <cell r="K11">
            <v>463277.70534037403</v>
          </cell>
          <cell r="L11">
            <v>636677.77869953017</v>
          </cell>
        </row>
        <row r="12">
          <cell r="A12" t="str">
            <v>5751GRRES</v>
          </cell>
          <cell r="B12" t="str">
            <v>5751</v>
          </cell>
          <cell r="C12" t="str">
            <v>GRRES</v>
          </cell>
          <cell r="D12">
            <v>1814143.5973801531</v>
          </cell>
          <cell r="E12">
            <v>81350019.188227594</v>
          </cell>
          <cell r="F12"/>
          <cell r="G12"/>
          <cell r="H12"/>
          <cell r="I12">
            <v>18141435.973801531</v>
          </cell>
          <cell r="J12">
            <v>27935596.589237355</v>
          </cell>
          <cell r="K12">
            <v>37289307.43548058</v>
          </cell>
          <cell r="L12">
            <v>83366339.99851945</v>
          </cell>
        </row>
        <row r="13">
          <cell r="A13" t="str">
            <v>5752GRRESC</v>
          </cell>
          <cell r="B13" t="str">
            <v>5752</v>
          </cell>
          <cell r="C13" t="str">
            <v>GRRESC</v>
          </cell>
          <cell r="D13">
            <v>69685.695402055382</v>
          </cell>
          <cell r="E13">
            <v>2494386.7258533677</v>
          </cell>
          <cell r="F13">
            <v>499913.64238646987</v>
          </cell>
          <cell r="G13">
            <v>1790014.5291352712</v>
          </cell>
          <cell r="H13">
            <v>204458.55433162738</v>
          </cell>
          <cell r="I13">
            <v>696856.95402055373</v>
          </cell>
          <cell r="J13">
            <v>856572.40165804652</v>
          </cell>
          <cell r="K13">
            <v>1143735.0122684021</v>
          </cell>
          <cell r="L13">
            <v>2219533.9309073151</v>
          </cell>
        </row>
        <row r="14">
          <cell r="A14" t="str">
            <v>5756GTGLVS</v>
          </cell>
          <cell r="B14" t="str">
            <v>5756</v>
          </cell>
          <cell r="C14" t="str">
            <v>GTGLVS</v>
          </cell>
          <cell r="D14">
            <v>96</v>
          </cell>
          <cell r="E14">
            <v>1545731</v>
          </cell>
          <cell r="F14"/>
          <cell r="G14"/>
          <cell r="H14"/>
          <cell r="I14">
            <v>21600</v>
          </cell>
          <cell r="J14">
            <v>325221.80240000004</v>
          </cell>
          <cell r="K14">
            <v>0</v>
          </cell>
          <cell r="L14">
            <v>346821.80240000004</v>
          </cell>
        </row>
        <row r="15">
          <cell r="A15" t="str">
            <v>5756GTILVS</v>
          </cell>
          <cell r="B15" t="str">
            <v>5756</v>
          </cell>
          <cell r="C15" t="str">
            <v>GTILVS</v>
          </cell>
          <cell r="D15">
            <v>96</v>
          </cell>
          <cell r="E15">
            <v>14114075</v>
          </cell>
          <cell r="F15"/>
          <cell r="G15"/>
          <cell r="H15"/>
          <cell r="I15">
            <v>21600</v>
          </cell>
          <cell r="J15">
            <v>1761436.56</v>
          </cell>
          <cell r="K15">
            <v>0</v>
          </cell>
          <cell r="L15">
            <v>1783036.56</v>
          </cell>
        </row>
        <row r="16">
          <cell r="A16" t="str">
            <v>5756GTPLVS</v>
          </cell>
          <cell r="B16" t="str">
            <v>5756</v>
          </cell>
          <cell r="C16" t="str">
            <v>GTPLVS</v>
          </cell>
          <cell r="D16">
            <v>84</v>
          </cell>
          <cell r="E16">
            <v>4904946</v>
          </cell>
          <cell r="F16"/>
          <cell r="G16"/>
          <cell r="H16"/>
          <cell r="I16">
            <v>18900</v>
          </cell>
          <cell r="J16">
            <v>748985.25419999997</v>
          </cell>
          <cell r="K16">
            <v>0</v>
          </cell>
          <cell r="L16">
            <v>1783036.56</v>
          </cell>
        </row>
        <row r="17">
          <cell r="A17" t="str">
            <v>5756GTNILVS</v>
          </cell>
          <cell r="B17" t="str">
            <v>5756</v>
          </cell>
          <cell r="C17" t="str">
            <v>GTNILVS</v>
          </cell>
          <cell r="D17">
            <v>96</v>
          </cell>
          <cell r="E17">
            <v>13532527</v>
          </cell>
          <cell r="F17">
            <v>0</v>
          </cell>
          <cell r="G17">
            <v>0</v>
          </cell>
          <cell r="H17"/>
          <cell r="I17">
            <v>21600</v>
          </cell>
          <cell r="J17">
            <v>1688859.3695999999</v>
          </cell>
          <cell r="K17">
            <v>0</v>
          </cell>
          <cell r="L17">
            <v>1710459.3695999999</v>
          </cell>
        </row>
        <row r="18">
          <cell r="A18" t="str">
            <v>5756GTNGLVS</v>
          </cell>
          <cell r="B18" t="str">
            <v>5756</v>
          </cell>
          <cell r="C18" t="str">
            <v>GTNGLVS</v>
          </cell>
          <cell r="D18">
            <v>72</v>
          </cell>
          <cell r="E18">
            <v>1437848</v>
          </cell>
          <cell r="F18">
            <v>0</v>
          </cell>
          <cell r="G18">
            <v>0</v>
          </cell>
          <cell r="H18">
            <v>0</v>
          </cell>
          <cell r="I18">
            <v>16200</v>
          </cell>
          <cell r="J18">
            <v>302523.21920000005</v>
          </cell>
          <cell r="K18">
            <v>0</v>
          </cell>
          <cell r="L18">
            <v>318723.21920000005</v>
          </cell>
        </row>
      </sheetData>
      <sheetData sheetId="22">
        <row r="2">
          <cell r="A2" t="str">
            <v>Lookup</v>
          </cell>
          <cell r="B2" t="str">
            <v>Sub Account</v>
          </cell>
          <cell r="C2" t="str">
            <v>Rate Code</v>
          </cell>
          <cell r="D2" t="str">
            <v>Proposed Total Bills with BSC</v>
          </cell>
          <cell r="E2" t="str">
            <v>Proposed Total Therms</v>
          </cell>
          <cell r="F2" t="str">
            <v>Adjusted Summer Therms</v>
          </cell>
          <cell r="G2" t="str">
            <v>Adjusted Winter Therms 0 to 100</v>
          </cell>
          <cell r="H2" t="str">
            <v>Adjusted Winter Therms above 100</v>
          </cell>
          <cell r="I2" t="str">
            <v>Adjusted Basic Service Charge</v>
          </cell>
          <cell r="J2" t="str">
            <v>Adjusted Delivery Charge</v>
          </cell>
          <cell r="K2" t="str">
            <v>Adjusted PGA Charge</v>
          </cell>
          <cell r="L2" t="str">
            <v>Adjusted Total Revenue</v>
          </cell>
          <cell r="M2" t="str">
            <v>Total CARES Bills</v>
          </cell>
          <cell r="N2" t="str">
            <v>Misc Revenue</v>
          </cell>
        </row>
        <row r="3">
          <cell r="A3" t="str">
            <v>5753GGSVS</v>
          </cell>
          <cell r="B3" t="str">
            <v>5753</v>
          </cell>
          <cell r="C3" t="str">
            <v>GGSVS</v>
          </cell>
          <cell r="D3">
            <v>159201.40811471199</v>
          </cell>
          <cell r="E3">
            <v>36221648.273520097</v>
          </cell>
          <cell r="F3"/>
          <cell r="G3"/>
          <cell r="H3"/>
          <cell r="I3">
            <v>3184368.1622942402</v>
          </cell>
          <cell r="J3">
            <v>11205394.744736724</v>
          </cell>
          <cell r="K3">
            <v>18079159.357712101</v>
          </cell>
          <cell r="L3">
            <v>32468922.264743056</v>
          </cell>
          <cell r="N3"/>
        </row>
        <row r="4">
          <cell r="A4" t="str">
            <v>5759GILVS</v>
          </cell>
          <cell r="B4" t="str">
            <v>5759</v>
          </cell>
          <cell r="C4" t="str">
            <v>GILVS</v>
          </cell>
          <cell r="D4">
            <v>506.50925925925924</v>
          </cell>
          <cell r="E4">
            <v>7053235.6826057564</v>
          </cell>
          <cell r="F4"/>
          <cell r="G4"/>
          <cell r="H4"/>
          <cell r="I4">
            <v>110139.58333333334</v>
          </cell>
          <cell r="J4">
            <v>608153.84737470804</v>
          </cell>
          <cell r="K4">
            <v>1768698.4888723867</v>
          </cell>
          <cell r="L4">
            <v>2486991.9195804279</v>
          </cell>
          <cell r="N4"/>
        </row>
        <row r="5">
          <cell r="A5" t="str">
            <v>5751GRRES</v>
          </cell>
          <cell r="B5" t="str">
            <v>5751</v>
          </cell>
          <cell r="C5" t="str">
            <v>GRRES</v>
          </cell>
          <cell r="D5">
            <v>1814167.5973801531</v>
          </cell>
          <cell r="E5">
            <v>81350796.845077872</v>
          </cell>
          <cell r="F5"/>
          <cell r="G5"/>
          <cell r="H5"/>
          <cell r="I5">
            <v>18141675.973801531</v>
          </cell>
          <cell r="J5">
            <v>27935863.636599742</v>
          </cell>
          <cell r="K5">
            <v>37289664.06199339</v>
          </cell>
          <cell r="L5">
            <v>83367203.672394648</v>
          </cell>
          <cell r="M5"/>
          <cell r="N5"/>
        </row>
        <row r="6">
          <cell r="A6" t="str">
            <v>5752GRRESC</v>
          </cell>
          <cell r="B6" t="str">
            <v>5752</v>
          </cell>
          <cell r="C6" t="str">
            <v>GRRESC</v>
          </cell>
          <cell r="D6">
            <v>69685.695402055382</v>
          </cell>
          <cell r="E6">
            <v>2494386.7258533677</v>
          </cell>
          <cell r="F6">
            <v>499913.64238646987</v>
          </cell>
          <cell r="G6">
            <v>1790014.5291352712</v>
          </cell>
          <cell r="H6">
            <v>204458.55433162738</v>
          </cell>
          <cell r="I6">
            <v>696856.95402055373</v>
          </cell>
          <cell r="J6">
            <v>856572.40165804652</v>
          </cell>
          <cell r="K6">
            <v>1143735.0122684021</v>
          </cell>
          <cell r="L6">
            <v>2219533.9309073151</v>
          </cell>
          <cell r="M6">
            <v>69685.695402055382</v>
          </cell>
          <cell r="N6"/>
        </row>
        <row r="7">
          <cell r="A7" t="str">
            <v>5756GTILVS</v>
          </cell>
          <cell r="B7" t="str">
            <v>5756</v>
          </cell>
          <cell r="C7" t="str">
            <v>GTILVS</v>
          </cell>
          <cell r="D7">
            <v>276</v>
          </cell>
          <cell r="E7">
            <v>20564752</v>
          </cell>
          <cell r="F7"/>
          <cell r="G7"/>
          <cell r="H7"/>
          <cell r="I7">
            <v>62100</v>
          </cell>
          <cell r="J7">
            <v>2835643.6165999998</v>
          </cell>
          <cell r="K7">
            <v>0</v>
          </cell>
          <cell r="L7">
            <v>3912894.9224</v>
          </cell>
          <cell r="M7"/>
          <cell r="N7"/>
        </row>
        <row r="8">
          <cell r="A8" t="str">
            <v>5756GTNILVS</v>
          </cell>
          <cell r="B8" t="str">
            <v>5756</v>
          </cell>
          <cell r="C8" t="str">
            <v>GTNILVS</v>
          </cell>
          <cell r="D8">
            <v>168</v>
          </cell>
          <cell r="E8">
            <v>14970375</v>
          </cell>
          <cell r="F8">
            <v>0</v>
          </cell>
          <cell r="G8">
            <v>0</v>
          </cell>
          <cell r="H8"/>
          <cell r="I8">
            <v>37800</v>
          </cell>
          <cell r="J8">
            <v>1991382.5888</v>
          </cell>
          <cell r="K8">
            <v>0</v>
          </cell>
          <cell r="L8">
            <v>2029182.5888</v>
          </cell>
          <cell r="M8">
            <v>0</v>
          </cell>
          <cell r="N8">
            <v>0</v>
          </cell>
        </row>
        <row r="9">
          <cell r="E9">
            <v>0</v>
          </cell>
          <cell r="F9"/>
          <cell r="G9"/>
          <cell r="H9"/>
          <cell r="I9"/>
          <cell r="J9"/>
        </row>
        <row r="10">
          <cell r="I10"/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Y Billing Determinants"/>
    </sheetNames>
    <sheetDataSet>
      <sheetData sheetId="0">
        <row r="2">
          <cell r="K2">
            <v>-131833.82294041404</v>
          </cell>
        </row>
        <row r="3">
          <cell r="K3">
            <v>-5830.7847341239358</v>
          </cell>
        </row>
        <row r="4">
          <cell r="K4">
            <v>-3.3923254621514225</v>
          </cell>
        </row>
        <row r="5">
          <cell r="K5">
            <v>-62080.115069060339</v>
          </cell>
        </row>
        <row r="6">
          <cell r="K6">
            <v>-5569.8849309397347</v>
          </cell>
        </row>
        <row r="7">
          <cell r="K7">
            <v>0</v>
          </cell>
        </row>
        <row r="8">
          <cell r="K8">
            <v>2763.1627880949927</v>
          </cell>
        </row>
        <row r="9">
          <cell r="K9">
            <v>-2692.1627880949932</v>
          </cell>
        </row>
        <row r="10">
          <cell r="K10">
            <v>0</v>
          </cell>
        </row>
        <row r="11">
          <cell r="K11">
            <v>-160.11694688169683</v>
          </cell>
        </row>
        <row r="12">
          <cell r="K12">
            <v>-5396.8830531183012</v>
          </cell>
        </row>
        <row r="13">
          <cell r="K13">
            <v>21007.910569247964</v>
          </cell>
        </row>
        <row r="14">
          <cell r="K14">
            <v>1795.111747476845</v>
          </cell>
        </row>
        <row r="15">
          <cell r="K15">
            <v>1.9776832751961975</v>
          </cell>
        </row>
        <row r="16">
          <cell r="K16">
            <v>-1470.8567476728024</v>
          </cell>
        </row>
        <row r="17">
          <cell r="K17">
            <v>1084.4005449775798</v>
          </cell>
        </row>
        <row r="18">
          <cell r="K18">
            <v>9.4562026952187566</v>
          </cell>
        </row>
        <row r="19">
          <cell r="K19">
            <v>2780.027451573329</v>
          </cell>
        </row>
        <row r="20">
          <cell r="K20">
            <v>10882.972548426673</v>
          </cell>
        </row>
        <row r="21">
          <cell r="K21">
            <v>0</v>
          </cell>
        </row>
        <row r="22">
          <cell r="K22">
            <v>-8926.5810114594751</v>
          </cell>
        </row>
        <row r="23">
          <cell r="K23">
            <v>-908.41898854052522</v>
          </cell>
        </row>
        <row r="24">
          <cell r="K24">
            <v>220528.69099339642</v>
          </cell>
        </row>
        <row r="25">
          <cell r="K25">
            <v>6834.0243956774384</v>
          </cell>
        </row>
        <row r="26">
          <cell r="K26">
            <v>8.284610926609508</v>
          </cell>
        </row>
        <row r="27">
          <cell r="K27">
            <v>18414.832145180844</v>
          </cell>
        </row>
        <row r="28">
          <cell r="K28">
            <v>-538.83214518082684</v>
          </cell>
        </row>
        <row r="29">
          <cell r="K29">
            <v>0</v>
          </cell>
        </row>
        <row r="30">
          <cell r="K30">
            <v>-2589.9774365700146</v>
          </cell>
        </row>
        <row r="31">
          <cell r="K31">
            <v>-19288.022563429986</v>
          </cell>
        </row>
        <row r="32">
          <cell r="K32">
            <v>0</v>
          </cell>
        </row>
        <row r="33">
          <cell r="K33">
            <v>8872.3278619207613</v>
          </cell>
        </row>
        <row r="34">
          <cell r="K34">
            <v>3032.6721380792374</v>
          </cell>
        </row>
        <row r="35">
          <cell r="K35">
            <v>1059903.9860372271</v>
          </cell>
        </row>
        <row r="36">
          <cell r="K36">
            <v>35024.454234196797</v>
          </cell>
        </row>
        <row r="37">
          <cell r="K37">
            <v>22.559728577097417</v>
          </cell>
        </row>
        <row r="38">
          <cell r="K38">
            <v>317822.41312790493</v>
          </cell>
        </row>
        <row r="39">
          <cell r="K39">
            <v>17448.017021022741</v>
          </cell>
        </row>
        <row r="40">
          <cell r="K40">
            <v>0.56985107155830017</v>
          </cell>
        </row>
        <row r="41">
          <cell r="K41">
            <v>6122.5454236363457</v>
          </cell>
        </row>
        <row r="42">
          <cell r="K42">
            <v>22485.454576363652</v>
          </cell>
        </row>
        <row r="43">
          <cell r="K43">
            <v>0</v>
          </cell>
        </row>
        <row r="44">
          <cell r="K44">
            <v>30685.822604742512</v>
          </cell>
        </row>
        <row r="45">
          <cell r="K45">
            <v>12728.177395257466</v>
          </cell>
        </row>
        <row r="46">
          <cell r="K46">
            <v>2853575.0952947163</v>
          </cell>
        </row>
        <row r="47">
          <cell r="K47">
            <v>100073.31316552604</v>
          </cell>
        </row>
        <row r="48">
          <cell r="K48">
            <v>26.591539762266677</v>
          </cell>
        </row>
        <row r="49">
          <cell r="K49">
            <v>636695.20908165316</v>
          </cell>
        </row>
        <row r="50">
          <cell r="K50">
            <v>22796.701872619451</v>
          </cell>
        </row>
        <row r="51">
          <cell r="K51">
            <v>264.08904572760395</v>
          </cell>
        </row>
        <row r="52">
          <cell r="K52">
            <v>18083.50027886076</v>
          </cell>
        </row>
        <row r="53">
          <cell r="K53">
            <v>17223.499721139244</v>
          </cell>
        </row>
        <row r="54">
          <cell r="K54">
            <v>0</v>
          </cell>
        </row>
        <row r="55">
          <cell r="K55">
            <v>109903.66405533935</v>
          </cell>
        </row>
        <row r="56">
          <cell r="K56">
            <v>26958.335944660674</v>
          </cell>
        </row>
        <row r="57">
          <cell r="K57">
            <v>2753191.6888461546</v>
          </cell>
        </row>
        <row r="58">
          <cell r="K58">
            <v>97314.536541330774</v>
          </cell>
        </row>
        <row r="59">
          <cell r="K59">
            <v>25.774612509416357</v>
          </cell>
        </row>
        <row r="60">
          <cell r="K60">
            <v>870248.24234780821</v>
          </cell>
        </row>
        <row r="61">
          <cell r="K61">
            <v>19724.285753249238</v>
          </cell>
        </row>
        <row r="62">
          <cell r="K62">
            <v>24.471898942068012</v>
          </cell>
        </row>
        <row r="63">
          <cell r="K63">
            <v>-6051.3889918044615</v>
          </cell>
        </row>
        <row r="64">
          <cell r="K64">
            <v>-7625.6110081955394</v>
          </cell>
        </row>
        <row r="65">
          <cell r="K65">
            <v>0</v>
          </cell>
        </row>
        <row r="66">
          <cell r="K66">
            <v>179733.55320907891</v>
          </cell>
        </row>
        <row r="67">
          <cell r="K67">
            <v>33345.446790921225</v>
          </cell>
        </row>
        <row r="68">
          <cell r="K68">
            <v>-46343.291657330818</v>
          </cell>
        </row>
        <row r="69">
          <cell r="K69">
            <v>2092.4042512737019</v>
          </cell>
        </row>
        <row r="70">
          <cell r="K70">
            <v>0.88740605707792275</v>
          </cell>
        </row>
        <row r="71">
          <cell r="K71">
            <v>76118.522564170024</v>
          </cell>
        </row>
        <row r="72">
          <cell r="K72">
            <v>-456.50655242013408</v>
          </cell>
        </row>
        <row r="73">
          <cell r="K73">
            <v>5.9839882500061448</v>
          </cell>
        </row>
        <row r="74">
          <cell r="K74">
            <v>4293.7360102391285</v>
          </cell>
        </row>
        <row r="75">
          <cell r="K75">
            <v>11051.263989760871</v>
          </cell>
        </row>
        <row r="76">
          <cell r="K76">
            <v>0</v>
          </cell>
        </row>
        <row r="77">
          <cell r="K77">
            <v>68886.369021316932</v>
          </cell>
        </row>
        <row r="78">
          <cell r="K78">
            <v>9092.6309786830025</v>
          </cell>
        </row>
        <row r="79">
          <cell r="K79">
            <v>-1325010.0087982824</v>
          </cell>
        </row>
        <row r="80">
          <cell r="K80">
            <v>-48910.377880267522</v>
          </cell>
        </row>
        <row r="81">
          <cell r="K81">
            <v>-7.6133214492001553</v>
          </cell>
        </row>
        <row r="82">
          <cell r="K82">
            <v>521460.901281061</v>
          </cell>
        </row>
        <row r="83">
          <cell r="K83">
            <v>68450.967332058935</v>
          </cell>
        </row>
        <row r="84">
          <cell r="K84">
            <v>-5.8686131209654002</v>
          </cell>
        </row>
        <row r="85">
          <cell r="K85">
            <v>-275.9478574712449</v>
          </cell>
        </row>
        <row r="86">
          <cell r="K86">
            <v>-19897.052142528755</v>
          </cell>
        </row>
        <row r="87">
          <cell r="K87">
            <v>0</v>
          </cell>
        </row>
        <row r="88">
          <cell r="K88">
            <v>-21347.308284443232</v>
          </cell>
        </row>
        <row r="89">
          <cell r="K89">
            <v>-7451.691715556748</v>
          </cell>
        </row>
        <row r="90">
          <cell r="K90">
            <v>-531457.9749519272</v>
          </cell>
        </row>
        <row r="91">
          <cell r="K91">
            <v>-19902.695155342928</v>
          </cell>
        </row>
        <row r="92">
          <cell r="K92">
            <v>-4.3298927300469332</v>
          </cell>
        </row>
        <row r="93">
          <cell r="K93">
            <v>-1033518.3408248704</v>
          </cell>
        </row>
        <row r="94">
          <cell r="K94">
            <v>-72493.761037382807</v>
          </cell>
        </row>
        <row r="95">
          <cell r="K95">
            <v>-2.8981377459587909</v>
          </cell>
        </row>
        <row r="96">
          <cell r="K96">
            <v>-2388.7908395565337</v>
          </cell>
        </row>
        <row r="97">
          <cell r="K97">
            <v>567.79083955653277</v>
          </cell>
        </row>
        <row r="98">
          <cell r="K98">
            <v>0</v>
          </cell>
        </row>
        <row r="99">
          <cell r="K99">
            <v>-55527.057680541926</v>
          </cell>
        </row>
        <row r="100">
          <cell r="K100">
            <v>-7997.9423194580613</v>
          </cell>
        </row>
        <row r="101">
          <cell r="K101">
            <v>-2810894.1766339689</v>
          </cell>
        </row>
        <row r="102">
          <cell r="K102">
            <v>-92006.935655163077</v>
          </cell>
        </row>
        <row r="103">
          <cell r="K103">
            <v>-15.887710868341678</v>
          </cell>
        </row>
        <row r="104">
          <cell r="K104">
            <v>-549177.13176225789</v>
          </cell>
        </row>
        <row r="105">
          <cell r="K105">
            <v>-13047.373272319935</v>
          </cell>
        </row>
        <row r="106">
          <cell r="K106">
            <v>-494.49496542270879</v>
          </cell>
        </row>
        <row r="107">
          <cell r="K107">
            <v>-7960.6532999876017</v>
          </cell>
        </row>
        <row r="108">
          <cell r="K108">
            <v>-25243.3467000124</v>
          </cell>
        </row>
        <row r="109">
          <cell r="K109">
            <v>0</v>
          </cell>
        </row>
        <row r="110">
          <cell r="K110">
            <v>-103831.92247813531</v>
          </cell>
        </row>
        <row r="111">
          <cell r="K111">
            <v>-19940.077521864732</v>
          </cell>
        </row>
        <row r="112">
          <cell r="K112">
            <v>-1537808.3030113115</v>
          </cell>
        </row>
        <row r="113">
          <cell r="K113">
            <v>-49030.678380286925</v>
          </cell>
        </row>
        <row r="114">
          <cell r="K114">
            <v>-13.018608402808933</v>
          </cell>
        </row>
        <row r="115">
          <cell r="K115">
            <v>-499443.17666262866</v>
          </cell>
        </row>
        <row r="116">
          <cell r="K116">
            <v>-19454.795628853994</v>
          </cell>
        </row>
        <row r="117">
          <cell r="K117">
            <v>-541.02770851822117</v>
          </cell>
        </row>
        <row r="118">
          <cell r="K118">
            <v>-13776.196389920542</v>
          </cell>
        </row>
        <row r="119">
          <cell r="K119">
            <v>-8619.8036100794561</v>
          </cell>
        </row>
        <row r="120">
          <cell r="K120">
            <v>0</v>
          </cell>
        </row>
        <row r="121">
          <cell r="K121">
            <v>-134882.36671140845</v>
          </cell>
        </row>
        <row r="122">
          <cell r="K122">
            <v>-51689.633288591416</v>
          </cell>
        </row>
        <row r="123">
          <cell r="K123">
            <v>-592992.3058758144</v>
          </cell>
        </row>
        <row r="124">
          <cell r="K124">
            <v>-19580.942038015477</v>
          </cell>
        </row>
        <row r="125">
          <cell r="K125">
            <v>-4.7520861701180657</v>
          </cell>
        </row>
        <row r="126">
          <cell r="K126">
            <v>-282895.19244459562</v>
          </cell>
        </row>
        <row r="127">
          <cell r="K127">
            <v>-17134.828411424736</v>
          </cell>
        </row>
        <row r="128">
          <cell r="K128">
            <v>-349.97914397946488</v>
          </cell>
        </row>
        <row r="129">
          <cell r="K129">
            <v>3532.1478920305426</v>
          </cell>
        </row>
        <row r="130">
          <cell r="K130">
            <v>8745.8521079694601</v>
          </cell>
        </row>
        <row r="131">
          <cell r="K131">
            <v>0</v>
          </cell>
        </row>
        <row r="132">
          <cell r="K132">
            <v>-30078.160713241738</v>
          </cell>
        </row>
        <row r="133">
          <cell r="K133">
            <v>-15014.839286758257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ver"/>
      <sheetName val="Rate Base"/>
      <sheetName val="Rate Base (RCN)"/>
      <sheetName val="Fair Value"/>
      <sheetName val="Rev Exp"/>
      <sheetName val="Rev-Gas Summary"/>
      <sheetName val="REVEXP-UNADJ-FERC IS"/>
      <sheetName val="REVEXP-UNADJ-Depreciation"/>
      <sheetName val="Income Tax Lead"/>
      <sheetName val="Inc Tax Support"/>
      <sheetName val="Customer Deposits"/>
      <sheetName val="RCN Data"/>
      <sheetName val="RB-UNADJ-Plant"/>
      <sheetName val="RB-UNADJ-FERC BS"/>
      <sheetName val="RB-Reg Asset-Liab"/>
      <sheetName val="Cust Adv RCN"/>
      <sheetName val="A1"/>
      <sheetName val="A2"/>
      <sheetName val="A3"/>
      <sheetName val="A4"/>
      <sheetName val="A5"/>
      <sheetName val="B1"/>
      <sheetName val="B2 P1"/>
      <sheetName val="B2 P2"/>
      <sheetName val="B3 P1"/>
      <sheetName val="B3 P2"/>
      <sheetName val="B4 P1-P2"/>
      <sheetName val="B5 P1-P2"/>
      <sheetName val="B5 P3"/>
      <sheetName val="Lead Lag Days"/>
      <sheetName val="Lead Lag Reclass"/>
      <sheetName val="C1"/>
      <sheetName val="C2 P1-P3"/>
      <sheetName val="C3"/>
      <sheetName val="D1 P1"/>
      <sheetName val="D1 P2"/>
      <sheetName val="D2 P1"/>
      <sheetName val="D2 P2"/>
      <sheetName val="D3"/>
      <sheetName val="D4"/>
      <sheetName val="E1"/>
      <sheetName val="E2"/>
      <sheetName val="E3"/>
      <sheetName val="E4"/>
      <sheetName val="E5 P1"/>
      <sheetName val="E5 P2"/>
      <sheetName val="E6"/>
      <sheetName val="E7"/>
      <sheetName val="E8"/>
      <sheetName val="E9"/>
      <sheetName val="F1"/>
      <sheetName val="F2"/>
      <sheetName val="F3"/>
      <sheetName val="F4"/>
    </sheetNames>
    <sheetDataSet>
      <sheetData sheetId="0">
        <row r="14">
          <cell r="G14">
            <v>1316611.2100000002</v>
          </cell>
        </row>
        <row r="15">
          <cell r="G15">
            <v>68985711.940000013</v>
          </cell>
        </row>
        <row r="26">
          <cell r="G26">
            <v>291295381.68268651</v>
          </cell>
        </row>
        <row r="31">
          <cell r="G31">
            <v>22215729.670000002</v>
          </cell>
        </row>
        <row r="32">
          <cell r="G32">
            <v>22215729.670000002</v>
          </cell>
        </row>
        <row r="39">
          <cell r="G39">
            <v>78721719.292924717</v>
          </cell>
        </row>
        <row r="46">
          <cell r="G46">
            <v>7.6265300000000008E-2</v>
          </cell>
        </row>
      </sheetData>
      <sheetData sheetId="1">
        <row r="7">
          <cell r="E7" t="str">
            <v>Rate Base - Original Cost</v>
          </cell>
          <cell r="F7" t="str">
            <v>Unadjusted</v>
          </cell>
          <cell r="G7" t="str">
            <v>Total
Adjustments</v>
          </cell>
          <cell r="H7" t="str">
            <v>Adjusted</v>
          </cell>
        </row>
        <row r="9">
          <cell r="E9" t="str">
            <v>Plant in Service</v>
          </cell>
        </row>
        <row r="10">
          <cell r="E10" t="str">
            <v>Intangible Plant</v>
          </cell>
        </row>
        <row r="11">
          <cell r="D11">
            <v>302</v>
          </cell>
          <cell r="E11" t="str">
            <v>Franchises and Consents</v>
          </cell>
          <cell r="F11">
            <v>370542.09</v>
          </cell>
          <cell r="G11">
            <v>-20652</v>
          </cell>
          <cell r="H11">
            <v>349890.09</v>
          </cell>
        </row>
        <row r="12">
          <cell r="D12">
            <v>303</v>
          </cell>
          <cell r="E12" t="str">
            <v>Misc. Intangible Plant</v>
          </cell>
          <cell r="F12">
            <v>85701.340000000011</v>
          </cell>
          <cell r="G12">
            <v>1361035</v>
          </cell>
          <cell r="H12">
            <v>1446736.34</v>
          </cell>
        </row>
        <row r="13">
          <cell r="E13" t="str">
            <v>Total Intangible Plant</v>
          </cell>
          <cell r="F13">
            <v>456243.43000000005</v>
          </cell>
          <cell r="G13">
            <v>1340383</v>
          </cell>
          <cell r="H13">
            <v>1796626.4300000002</v>
          </cell>
        </row>
        <row r="15">
          <cell r="E15" t="str">
            <v>Transmission Plant</v>
          </cell>
        </row>
        <row r="16">
          <cell r="D16">
            <v>365</v>
          </cell>
          <cell r="E16" t="str">
            <v>Land and Land Rights</v>
          </cell>
          <cell r="F16">
            <v>102605.64000000001</v>
          </cell>
          <cell r="G16">
            <v>-14473.42</v>
          </cell>
          <cell r="H16">
            <v>88132.220000000016</v>
          </cell>
        </row>
        <row r="17">
          <cell r="D17">
            <v>366</v>
          </cell>
          <cell r="E17" t="str">
            <v>Structures &amp; Improvements</v>
          </cell>
          <cell r="F17">
            <v>21626.02</v>
          </cell>
          <cell r="G17">
            <v>-927</v>
          </cell>
          <cell r="H17">
            <v>20699.02</v>
          </cell>
        </row>
        <row r="18">
          <cell r="D18">
            <v>367</v>
          </cell>
          <cell r="E18" t="str">
            <v>Mains</v>
          </cell>
          <cell r="F18">
            <v>22186184.389999997</v>
          </cell>
          <cell r="G18">
            <v>-4372069.9000000004</v>
          </cell>
          <cell r="H18">
            <v>17814114.489999995</v>
          </cell>
        </row>
        <row r="19">
          <cell r="D19">
            <v>369</v>
          </cell>
          <cell r="E19" t="str">
            <v>Measuring and Regulating Station Equipment</v>
          </cell>
          <cell r="F19">
            <v>3460585.6700000004</v>
          </cell>
          <cell r="G19">
            <v>-2591944.15</v>
          </cell>
          <cell r="H19">
            <v>868641.52000000048</v>
          </cell>
        </row>
        <row r="20">
          <cell r="D20">
            <v>371</v>
          </cell>
          <cell r="E20" t="str">
            <v>Other Equipment</v>
          </cell>
          <cell r="F20">
            <v>183581.23</v>
          </cell>
          <cell r="G20">
            <v>-183581.23</v>
          </cell>
          <cell r="H20">
            <v>0</v>
          </cell>
        </row>
        <row r="21">
          <cell r="E21" t="str">
            <v>Total Transmission Plant</v>
          </cell>
          <cell r="F21">
            <v>25954582.949999999</v>
          </cell>
          <cell r="G21">
            <v>-7162995.7000000011</v>
          </cell>
          <cell r="H21">
            <v>18791587.249999993</v>
          </cell>
        </row>
        <row r="23">
          <cell r="E23" t="str">
            <v>Distribution Plant</v>
          </cell>
        </row>
        <row r="24">
          <cell r="D24">
            <v>374</v>
          </cell>
          <cell r="E24" t="str">
            <v>Land and Land Rights</v>
          </cell>
          <cell r="F24">
            <v>452880.97000000009</v>
          </cell>
          <cell r="G24">
            <v>-4356</v>
          </cell>
          <cell r="H24">
            <v>448524.97000000009</v>
          </cell>
        </row>
        <row r="25">
          <cell r="D25">
            <v>375</v>
          </cell>
          <cell r="E25" t="str">
            <v>Structures &amp; Improvements</v>
          </cell>
          <cell r="F25">
            <v>163164.05000000002</v>
          </cell>
          <cell r="G25">
            <v>18803</v>
          </cell>
          <cell r="H25">
            <v>181967.05000000002</v>
          </cell>
        </row>
        <row r="26">
          <cell r="D26">
            <v>376</v>
          </cell>
          <cell r="E26" t="str">
            <v>Mains</v>
          </cell>
          <cell r="F26">
            <v>259465815.25</v>
          </cell>
          <cell r="G26">
            <v>-16789057.573144499</v>
          </cell>
          <cell r="H26">
            <v>242676757.6768555</v>
          </cell>
        </row>
        <row r="27">
          <cell r="D27">
            <v>378</v>
          </cell>
          <cell r="E27" t="str">
            <v>Measuring and Regulating Station Equipment-General</v>
          </cell>
          <cell r="F27">
            <v>5463158.4500000002</v>
          </cell>
          <cell r="G27">
            <v>-273307.15000000002</v>
          </cell>
          <cell r="H27">
            <v>5189851.3</v>
          </cell>
        </row>
        <row r="28">
          <cell r="D28">
            <v>379</v>
          </cell>
          <cell r="E28" t="str">
            <v>Measuring and Regulating Station Equipment-City</v>
          </cell>
          <cell r="F28">
            <v>5891961.3899999997</v>
          </cell>
          <cell r="G28">
            <v>-1407796.4814042002</v>
          </cell>
          <cell r="H28">
            <v>4484164.9085957995</v>
          </cell>
        </row>
        <row r="29">
          <cell r="D29">
            <v>380</v>
          </cell>
          <cell r="E29" t="str">
            <v>Services</v>
          </cell>
          <cell r="F29">
            <v>178729769.45000002</v>
          </cell>
          <cell r="G29">
            <v>1113794.8599999999</v>
          </cell>
          <cell r="H29">
            <v>179843564.31000003</v>
          </cell>
        </row>
        <row r="30">
          <cell r="D30">
            <v>381</v>
          </cell>
          <cell r="E30" t="str">
            <v>Meters</v>
          </cell>
          <cell r="F30">
            <v>41939892.090000004</v>
          </cell>
          <cell r="G30">
            <v>1020937.06</v>
          </cell>
          <cell r="H30">
            <v>42960829.150000006</v>
          </cell>
        </row>
        <row r="31">
          <cell r="D31">
            <v>382</v>
          </cell>
          <cell r="E31" t="str">
            <v>Meter Installations</v>
          </cell>
          <cell r="F31">
            <v>15004792.869999999</v>
          </cell>
          <cell r="G31">
            <v>731206.64</v>
          </cell>
          <cell r="H31">
            <v>15735999.51</v>
          </cell>
        </row>
        <row r="32">
          <cell r="D32">
            <v>383</v>
          </cell>
          <cell r="E32" t="str">
            <v>House Regulators</v>
          </cell>
          <cell r="F32">
            <v>4981900.8</v>
          </cell>
          <cell r="G32">
            <v>275475.33</v>
          </cell>
          <cell r="H32">
            <v>5257376.13</v>
          </cell>
        </row>
        <row r="33">
          <cell r="D33">
            <v>384</v>
          </cell>
          <cell r="E33" t="str">
            <v>House Regulatory Installations</v>
          </cell>
          <cell r="F33">
            <v>4325808.3899999997</v>
          </cell>
          <cell r="G33">
            <v>198175</v>
          </cell>
          <cell r="H33">
            <v>4523983.3899999997</v>
          </cell>
        </row>
        <row r="34">
          <cell r="D34">
            <v>385</v>
          </cell>
          <cell r="E34" t="str">
            <v>Industrial Measuring Regulating Station Equipment</v>
          </cell>
          <cell r="F34">
            <v>2947401.92</v>
          </cell>
          <cell r="G34">
            <v>-210420.37</v>
          </cell>
          <cell r="H34">
            <v>2736981.55</v>
          </cell>
        </row>
        <row r="35">
          <cell r="D35">
            <v>387</v>
          </cell>
          <cell r="E35" t="str">
            <v>Other Equipment</v>
          </cell>
          <cell r="F35">
            <v>2351689.92</v>
          </cell>
          <cell r="G35">
            <v>-304375</v>
          </cell>
          <cell r="H35">
            <v>2047314.92</v>
          </cell>
        </row>
        <row r="36">
          <cell r="E36" t="str">
            <v>Total Distribution Plant</v>
          </cell>
          <cell r="F36">
            <v>521718235.55000013</v>
          </cell>
          <cell r="G36">
            <v>-15630920.684548697</v>
          </cell>
          <cell r="H36">
            <v>506087314.86545134</v>
          </cell>
        </row>
        <row r="38">
          <cell r="E38" t="str">
            <v>General Plant</v>
          </cell>
        </row>
        <row r="39">
          <cell r="D39">
            <v>389</v>
          </cell>
          <cell r="E39" t="str">
            <v>Land &amp; Land Rights</v>
          </cell>
          <cell r="F39">
            <v>1514321.3800000001</v>
          </cell>
          <cell r="G39">
            <v>-133238.22</v>
          </cell>
          <cell r="H39">
            <v>1381083.1600000001</v>
          </cell>
        </row>
        <row r="40">
          <cell r="D40">
            <v>390</v>
          </cell>
          <cell r="E40" t="str">
            <v>Structures &amp; Improvements</v>
          </cell>
          <cell r="F40">
            <v>23885149.149999999</v>
          </cell>
          <cell r="G40">
            <v>618596</v>
          </cell>
          <cell r="H40">
            <v>24503745.149999999</v>
          </cell>
        </row>
        <row r="41">
          <cell r="D41">
            <v>391</v>
          </cell>
          <cell r="E41" t="str">
            <v>Office Furniture and Equipment</v>
          </cell>
          <cell r="F41">
            <v>5042969.9799999995</v>
          </cell>
          <cell r="G41">
            <v>769776</v>
          </cell>
          <cell r="H41">
            <v>5812745.9799999995</v>
          </cell>
        </row>
        <row r="42">
          <cell r="D42">
            <v>392</v>
          </cell>
          <cell r="E42" t="str">
            <v>Transportation Equipment</v>
          </cell>
          <cell r="F42">
            <v>14566588.300000001</v>
          </cell>
          <cell r="G42">
            <v>3219866</v>
          </cell>
          <cell r="H42">
            <v>17786454.300000001</v>
          </cell>
        </row>
        <row r="43">
          <cell r="D43">
            <v>393</v>
          </cell>
          <cell r="E43" t="str">
            <v>Stores Equipment</v>
          </cell>
          <cell r="F43">
            <v>359295.2</v>
          </cell>
          <cell r="G43">
            <v>-26148.49</v>
          </cell>
          <cell r="H43">
            <v>333146.71000000002</v>
          </cell>
        </row>
        <row r="44">
          <cell r="D44">
            <v>394</v>
          </cell>
          <cell r="E44" t="str">
            <v>Tools, Shop and Garage Equipment</v>
          </cell>
          <cell r="F44">
            <v>6995012.5599999996</v>
          </cell>
          <cell r="G44">
            <v>180352.72999999998</v>
          </cell>
          <cell r="H44">
            <v>7175365.2899999991</v>
          </cell>
        </row>
        <row r="45">
          <cell r="D45">
            <v>395</v>
          </cell>
          <cell r="E45" t="str">
            <v>Laboratory Equipment</v>
          </cell>
          <cell r="F45">
            <v>90479.96</v>
          </cell>
          <cell r="G45">
            <v>0</v>
          </cell>
          <cell r="H45">
            <v>90479.96</v>
          </cell>
        </row>
        <row r="46">
          <cell r="D46">
            <v>396</v>
          </cell>
          <cell r="E46" t="str">
            <v>Power Operated Equipment</v>
          </cell>
          <cell r="F46">
            <v>3048520.8200000003</v>
          </cell>
          <cell r="G46">
            <v>1020992.8</v>
          </cell>
          <cell r="H46">
            <v>4069513.62</v>
          </cell>
        </row>
        <row r="47">
          <cell r="D47">
            <v>397</v>
          </cell>
          <cell r="E47" t="str">
            <v>Communication Equipment</v>
          </cell>
          <cell r="F47">
            <v>4214677.47</v>
          </cell>
          <cell r="G47">
            <v>95203</v>
          </cell>
          <cell r="H47">
            <v>4309880.47</v>
          </cell>
        </row>
        <row r="48">
          <cell r="D48">
            <v>398</v>
          </cell>
          <cell r="E48" t="str">
            <v>Miscellaneous Equipment</v>
          </cell>
          <cell r="F48">
            <v>537158.2300000001</v>
          </cell>
          <cell r="G48">
            <v>-122285.81</v>
          </cell>
          <cell r="H48">
            <v>414872.4200000001</v>
          </cell>
        </row>
        <row r="49">
          <cell r="E49" t="str">
            <v>Total General Plant</v>
          </cell>
          <cell r="F49">
            <v>60254173.050000004</v>
          </cell>
          <cell r="G49">
            <v>5623114.0099999998</v>
          </cell>
          <cell r="H49">
            <v>65877287.060000002</v>
          </cell>
        </row>
        <row r="51">
          <cell r="E51" t="str">
            <v>Plant in Service - All</v>
          </cell>
        </row>
        <row r="52">
          <cell r="E52" t="str">
            <v>Intangible Plant</v>
          </cell>
          <cell r="F52">
            <v>456243.43000000005</v>
          </cell>
          <cell r="G52">
            <v>1340383</v>
          </cell>
          <cell r="H52">
            <v>1796626.4300000002</v>
          </cell>
        </row>
        <row r="53">
          <cell r="E53" t="str">
            <v>Transmission Plant</v>
          </cell>
          <cell r="F53">
            <v>25954582.949999999</v>
          </cell>
          <cell r="G53">
            <v>-7162995.7000000011</v>
          </cell>
          <cell r="H53">
            <v>18791587.249999993</v>
          </cell>
        </row>
        <row r="54">
          <cell r="E54" t="str">
            <v>Distribution Plant</v>
          </cell>
          <cell r="F54">
            <v>521718235.55000013</v>
          </cell>
          <cell r="G54">
            <v>-15630920.684548697</v>
          </cell>
          <cell r="H54">
            <v>506087314.86545134</v>
          </cell>
        </row>
        <row r="55">
          <cell r="E55" t="str">
            <v>General Plant</v>
          </cell>
          <cell r="F55">
            <v>60254173.050000004</v>
          </cell>
          <cell r="G55">
            <v>5623114.0099999998</v>
          </cell>
          <cell r="H55">
            <v>65877287.060000002</v>
          </cell>
        </row>
        <row r="56">
          <cell r="E56" t="str">
            <v>Total Plant in Service - All</v>
          </cell>
          <cell r="F56">
            <v>608383234.98000014</v>
          </cell>
          <cell r="G56">
            <v>-15830419.374548698</v>
          </cell>
          <cell r="H56">
            <v>592552815.60545135</v>
          </cell>
        </row>
        <row r="58">
          <cell r="E58" t="str">
            <v>Less: Accumulated Depreciation</v>
          </cell>
        </row>
        <row r="59">
          <cell r="E59" t="str">
            <v>Intangible Plant Accumulated Depreciation</v>
          </cell>
        </row>
        <row r="60">
          <cell r="D60">
            <v>302</v>
          </cell>
          <cell r="E60" t="str">
            <v>Franchises &amp; Consents</v>
          </cell>
          <cell r="F60">
            <v>105353.3</v>
          </cell>
          <cell r="G60">
            <v>-24701.453275075841</v>
          </cell>
          <cell r="H60">
            <v>80651.846724924166</v>
          </cell>
        </row>
        <row r="61">
          <cell r="D61">
            <v>303</v>
          </cell>
          <cell r="E61" t="str">
            <v xml:space="preserve">Miscellaneous Intangible Plant </v>
          </cell>
          <cell r="F61">
            <v>25662.99</v>
          </cell>
          <cell r="G61">
            <v>272207</v>
          </cell>
          <cell r="H61">
            <v>297869.99</v>
          </cell>
        </row>
        <row r="62">
          <cell r="G62">
            <v>0</v>
          </cell>
          <cell r="H62">
            <v>0</v>
          </cell>
        </row>
        <row r="63">
          <cell r="E63" t="str">
            <v>Total Intangible Plant Accumulated Depreciation</v>
          </cell>
          <cell r="F63">
            <v>131016.29000000001</v>
          </cell>
          <cell r="G63">
            <v>247505.54672492415</v>
          </cell>
          <cell r="H63">
            <v>378521.83672492416</v>
          </cell>
        </row>
        <row r="65">
          <cell r="E65" t="str">
            <v xml:space="preserve">Transmission Plant Accumulated Depreciation                </v>
          </cell>
        </row>
        <row r="66">
          <cell r="D66">
            <v>365</v>
          </cell>
          <cell r="E66" t="str">
            <v>Land and Land Rights</v>
          </cell>
          <cell r="F66">
            <v>70348.5</v>
          </cell>
          <cell r="G66">
            <v>-23922.467421815301</v>
          </cell>
          <cell r="H66">
            <v>46426.032578184699</v>
          </cell>
        </row>
        <row r="67">
          <cell r="D67">
            <v>366</v>
          </cell>
          <cell r="E67" t="str">
            <v>Structures &amp; Improvements</v>
          </cell>
          <cell r="F67">
            <v>10067.08</v>
          </cell>
          <cell r="G67">
            <v>-1971.6805333033201</v>
          </cell>
          <cell r="H67">
            <v>8095.3994666966801</v>
          </cell>
        </row>
        <row r="68">
          <cell r="D68">
            <v>367</v>
          </cell>
          <cell r="E68" t="str">
            <v>Mains</v>
          </cell>
          <cell r="F68">
            <v>12600753.33</v>
          </cell>
          <cell r="G68">
            <v>-3758183.8297664998</v>
          </cell>
          <cell r="H68">
            <v>8842569.5002335012</v>
          </cell>
        </row>
        <row r="69">
          <cell r="D69">
            <v>369</v>
          </cell>
          <cell r="E69" t="str">
            <v>Measuring and Regulating Station Equipment</v>
          </cell>
          <cell r="F69">
            <v>2173130.7000000002</v>
          </cell>
          <cell r="G69">
            <v>-1389725.1647615379</v>
          </cell>
          <cell r="H69">
            <v>783405.53523846227</v>
          </cell>
        </row>
        <row r="70">
          <cell r="D70">
            <v>371</v>
          </cell>
          <cell r="E70" t="str">
            <v>Other Equipment</v>
          </cell>
          <cell r="F70">
            <v>177972.80000000002</v>
          </cell>
          <cell r="G70">
            <v>-168721.2137468571</v>
          </cell>
          <cell r="H70">
            <v>9251.5862531429157</v>
          </cell>
        </row>
        <row r="71">
          <cell r="G71">
            <v>0</v>
          </cell>
          <cell r="H71">
            <v>0</v>
          </cell>
        </row>
        <row r="72">
          <cell r="E72" t="str">
            <v>Total Transmission Plant Accumulated Depreciation</v>
          </cell>
          <cell r="F72">
            <v>15032272.41</v>
          </cell>
          <cell r="G72">
            <v>-5342524.3562300131</v>
          </cell>
          <cell r="H72">
            <v>9689748.0537699871</v>
          </cell>
        </row>
        <row r="74">
          <cell r="E74" t="str">
            <v xml:space="preserve">Distribution Plant Accumulated Depreciation                  </v>
          </cell>
        </row>
        <row r="75">
          <cell r="D75">
            <v>374.1</v>
          </cell>
          <cell r="E75" t="str">
            <v>Land and Land Rights</v>
          </cell>
          <cell r="F75">
            <v>-55240.160000000003</v>
          </cell>
          <cell r="G75">
            <v>-37096.805428911197</v>
          </cell>
          <cell r="H75">
            <v>-92336.965428911208</v>
          </cell>
        </row>
        <row r="76">
          <cell r="D76">
            <v>375.1</v>
          </cell>
          <cell r="E76" t="str">
            <v>Structures &amp; Improvements</v>
          </cell>
          <cell r="F76">
            <v>23984.210000000003</v>
          </cell>
          <cell r="G76">
            <v>-1385.87659563492</v>
          </cell>
          <cell r="H76">
            <v>22598.333404365083</v>
          </cell>
        </row>
        <row r="77">
          <cell r="D77">
            <v>376.1</v>
          </cell>
          <cell r="E77" t="str">
            <v>Mains</v>
          </cell>
          <cell r="F77">
            <v>129969173.11</v>
          </cell>
          <cell r="G77">
            <v>-28183536.090206578</v>
          </cell>
          <cell r="H77">
            <v>101785637.01979342</v>
          </cell>
        </row>
        <row r="78">
          <cell r="D78">
            <v>378</v>
          </cell>
          <cell r="E78" t="str">
            <v>Measuring and Regulating Station Equipment-General</v>
          </cell>
          <cell r="F78">
            <v>2688149.48</v>
          </cell>
          <cell r="G78">
            <v>-403978.31932047603</v>
          </cell>
          <cell r="H78">
            <v>2284171.1606795238</v>
          </cell>
        </row>
        <row r="79">
          <cell r="D79">
            <v>379</v>
          </cell>
          <cell r="E79" t="str">
            <v>Measuring and Regulating Station Equipment-City</v>
          </cell>
          <cell r="F79">
            <v>2231031.83</v>
          </cell>
          <cell r="G79">
            <v>-729893.65426303283</v>
          </cell>
          <cell r="H79">
            <v>1501138.1757369672</v>
          </cell>
        </row>
        <row r="80">
          <cell r="D80">
            <v>380</v>
          </cell>
          <cell r="E80" t="str">
            <v>Services</v>
          </cell>
          <cell r="F80">
            <v>80140287.689999998</v>
          </cell>
          <cell r="G80">
            <v>-5944158.3936962802</v>
          </cell>
          <cell r="H80">
            <v>74196129.296303719</v>
          </cell>
        </row>
        <row r="81">
          <cell r="D81">
            <v>381</v>
          </cell>
          <cell r="E81" t="str">
            <v>Meters</v>
          </cell>
          <cell r="F81">
            <v>9067765.3300000001</v>
          </cell>
          <cell r="G81">
            <v>-1111975.570439674</v>
          </cell>
          <cell r="H81">
            <v>7955789.7595603261</v>
          </cell>
        </row>
        <row r="82">
          <cell r="D82">
            <v>382</v>
          </cell>
          <cell r="E82" t="str">
            <v>Meter Installations</v>
          </cell>
          <cell r="F82">
            <v>2648967.31</v>
          </cell>
          <cell r="G82">
            <v>-446299.04756805598</v>
          </cell>
          <cell r="H82">
            <v>2202668.2624319443</v>
          </cell>
        </row>
        <row r="83">
          <cell r="D83">
            <v>383</v>
          </cell>
          <cell r="E83" t="str">
            <v>House Regulators</v>
          </cell>
          <cell r="F83">
            <v>2797175.42</v>
          </cell>
          <cell r="G83">
            <v>-36961.166251646006</v>
          </cell>
          <cell r="H83">
            <v>2760214.253748354</v>
          </cell>
        </row>
        <row r="84">
          <cell r="D84">
            <v>384</v>
          </cell>
          <cell r="E84" t="str">
            <v>House Regulator Installations</v>
          </cell>
          <cell r="F84">
            <v>1639085.8699999999</v>
          </cell>
          <cell r="G84">
            <v>-36775.144486798497</v>
          </cell>
          <cell r="H84">
            <v>1602310.7255132014</v>
          </cell>
        </row>
        <row r="85">
          <cell r="D85">
            <v>385</v>
          </cell>
          <cell r="E85" t="str">
            <v>Industrial Measuring Regulating Station Equipment</v>
          </cell>
          <cell r="F85">
            <v>1288853.68</v>
          </cell>
          <cell r="G85">
            <v>-202815.86162614921</v>
          </cell>
          <cell r="H85">
            <v>1086037.8183738508</v>
          </cell>
        </row>
        <row r="86">
          <cell r="D86">
            <v>387</v>
          </cell>
          <cell r="E86" t="str">
            <v>Other Equipment</v>
          </cell>
          <cell r="F86">
            <v>1764290.25</v>
          </cell>
          <cell r="G86">
            <v>-320882.67035628879</v>
          </cell>
          <cell r="H86">
            <v>1443407.5796437112</v>
          </cell>
        </row>
        <row r="87">
          <cell r="G87">
            <v>0</v>
          </cell>
          <cell r="H87">
            <v>0</v>
          </cell>
        </row>
        <row r="88">
          <cell r="E88" t="str">
            <v>Total Distribution Plant Accumulated Depreciation</v>
          </cell>
          <cell r="F88">
            <v>234203524.02000001</v>
          </cell>
          <cell r="G88">
            <v>-37455758.600239523</v>
          </cell>
          <cell r="H88">
            <v>196747765.41976047</v>
          </cell>
        </row>
        <row r="90">
          <cell r="E90" t="str">
            <v xml:space="preserve">General Plant Accumulated Depreciation                       </v>
          </cell>
        </row>
        <row r="91">
          <cell r="D91">
            <v>389</v>
          </cell>
          <cell r="E91" t="str">
            <v>Land &amp; Land Rights</v>
          </cell>
          <cell r="F91">
            <v>171463.78000000003</v>
          </cell>
          <cell r="G91">
            <v>-117655.4437388199</v>
          </cell>
          <cell r="H91">
            <v>53808.336261180128</v>
          </cell>
        </row>
        <row r="92">
          <cell r="D92">
            <v>390</v>
          </cell>
          <cell r="E92" t="str">
            <v>Structures &amp; Improvements</v>
          </cell>
          <cell r="F92">
            <v>5160859.16</v>
          </cell>
          <cell r="G92">
            <v>-142521.92951845151</v>
          </cell>
          <cell r="H92">
            <v>5018337.2304815482</v>
          </cell>
        </row>
        <row r="93">
          <cell r="D93">
            <v>391</v>
          </cell>
          <cell r="E93" t="str">
            <v>Office Furniture &amp; Equipment</v>
          </cell>
          <cell r="F93">
            <v>2528366.9000000004</v>
          </cell>
          <cell r="G93">
            <v>146255</v>
          </cell>
          <cell r="H93">
            <v>2674621.9000000004</v>
          </cell>
        </row>
        <row r="94">
          <cell r="D94">
            <v>392</v>
          </cell>
          <cell r="E94" t="str">
            <v>Transportation Equipment</v>
          </cell>
          <cell r="F94">
            <v>9295824.8599999994</v>
          </cell>
          <cell r="G94">
            <v>231161</v>
          </cell>
          <cell r="H94">
            <v>9526985.8599999994</v>
          </cell>
        </row>
        <row r="95">
          <cell r="D95">
            <v>393</v>
          </cell>
          <cell r="E95" t="str">
            <v>Stores Equipment</v>
          </cell>
          <cell r="F95">
            <v>188535.62000000002</v>
          </cell>
          <cell r="G95">
            <v>-24438.202116970053</v>
          </cell>
          <cell r="H95">
            <v>164097.41788302996</v>
          </cell>
        </row>
        <row r="96">
          <cell r="D96">
            <v>394</v>
          </cell>
          <cell r="E96" t="str">
            <v>Tools, Shop and Garage Equipment</v>
          </cell>
          <cell r="F96">
            <v>2930471.17</v>
          </cell>
          <cell r="G96">
            <v>-384465.04682255368</v>
          </cell>
          <cell r="H96">
            <v>2546006.1231774464</v>
          </cell>
        </row>
        <row r="97">
          <cell r="D97">
            <v>395</v>
          </cell>
          <cell r="E97" t="str">
            <v>Laboratory Equipment</v>
          </cell>
          <cell r="F97">
            <v>53093.94000000001</v>
          </cell>
          <cell r="G97">
            <v>0</v>
          </cell>
          <cell r="H97">
            <v>53093.94000000001</v>
          </cell>
        </row>
        <row r="98">
          <cell r="D98">
            <v>396</v>
          </cell>
          <cell r="E98" t="str">
            <v>Power Operated Equipment</v>
          </cell>
          <cell r="F98">
            <v>1811091.8499999999</v>
          </cell>
          <cell r="G98">
            <v>53626.8</v>
          </cell>
          <cell r="H98">
            <v>1864718.65</v>
          </cell>
        </row>
        <row r="99">
          <cell r="D99">
            <v>397</v>
          </cell>
          <cell r="E99" t="str">
            <v>Communication Equipment</v>
          </cell>
          <cell r="F99">
            <v>1502363.8800000001</v>
          </cell>
          <cell r="G99">
            <v>6350</v>
          </cell>
          <cell r="H99">
            <v>1508713.8800000001</v>
          </cell>
        </row>
        <row r="100">
          <cell r="D100">
            <v>398</v>
          </cell>
          <cell r="E100" t="str">
            <v>Miscellaneous Equipment</v>
          </cell>
          <cell r="F100">
            <v>295990.46000000002</v>
          </cell>
          <cell r="G100">
            <v>-10263.50457934957</v>
          </cell>
          <cell r="H100">
            <v>285726.95542065043</v>
          </cell>
        </row>
        <row r="101">
          <cell r="G101">
            <v>0</v>
          </cell>
          <cell r="H101">
            <v>0</v>
          </cell>
        </row>
        <row r="102">
          <cell r="E102" t="str">
            <v>Total General Plant Accumulated Depreciation</v>
          </cell>
          <cell r="F102">
            <v>23938061.620000005</v>
          </cell>
          <cell r="G102">
            <v>-241951.32677614476</v>
          </cell>
          <cell r="H102">
            <v>23696110.293223854</v>
          </cell>
        </row>
        <row r="104">
          <cell r="E104" t="str">
            <v>Accumulated Depreciation &amp; Amortization - All</v>
          </cell>
        </row>
        <row r="105">
          <cell r="D105">
            <v>115</v>
          </cell>
          <cell r="E105" t="str">
            <v>Intangible Plant Accum. Depreciation &amp; Amortization</v>
          </cell>
          <cell r="F105">
            <v>131016.29000000001</v>
          </cell>
          <cell r="G105">
            <v>247505.54672492415</v>
          </cell>
          <cell r="H105">
            <v>378521.83672492416</v>
          </cell>
        </row>
        <row r="106">
          <cell r="D106">
            <v>115</v>
          </cell>
          <cell r="E106" t="str">
            <v>Transmission Plant Accum. Depreciation &amp; Amortization</v>
          </cell>
          <cell r="F106">
            <v>15032272.41</v>
          </cell>
          <cell r="G106">
            <v>-5342524.3562300131</v>
          </cell>
          <cell r="H106">
            <v>9689748.0537699871</v>
          </cell>
        </row>
        <row r="107">
          <cell r="D107">
            <v>115</v>
          </cell>
          <cell r="E107" t="str">
            <v>Distribution Plant Accum. Depreciation &amp; Amortization</v>
          </cell>
          <cell r="F107">
            <v>234203524.02000001</v>
          </cell>
          <cell r="G107">
            <v>-37455758.600239523</v>
          </cell>
          <cell r="H107">
            <v>196747765.41976047</v>
          </cell>
        </row>
        <row r="108">
          <cell r="D108">
            <v>115</v>
          </cell>
          <cell r="E108" t="str">
            <v>General Plant Accum. Depreciation &amp; Amortization</v>
          </cell>
          <cell r="F108">
            <v>23938061.620000005</v>
          </cell>
          <cell r="G108">
            <v>-241951.32677614476</v>
          </cell>
          <cell r="H108">
            <v>23696110.293223854</v>
          </cell>
        </row>
        <row r="109">
          <cell r="E109" t="str">
            <v>Total Accum. Depreciation &amp; Amortization - All</v>
          </cell>
          <cell r="F109">
            <v>273304874.34000003</v>
          </cell>
          <cell r="G109">
            <v>-42792728.73652076</v>
          </cell>
          <cell r="H109">
            <v>230512145.60347924</v>
          </cell>
        </row>
        <row r="111">
          <cell r="E111" t="str">
            <v>Net Plant in Service - All</v>
          </cell>
        </row>
        <row r="112">
          <cell r="E112" t="str">
            <v>Intangible Plant</v>
          </cell>
          <cell r="F112">
            <v>325227.14</v>
          </cell>
          <cell r="G112">
            <v>1092877.4532750759</v>
          </cell>
          <cell r="H112">
            <v>1418104.593275076</v>
          </cell>
        </row>
        <row r="113">
          <cell r="E113" t="str">
            <v>Transmission Plant</v>
          </cell>
          <cell r="F113">
            <v>10922310.539999999</v>
          </cell>
          <cell r="G113">
            <v>-1820471.343769988</v>
          </cell>
          <cell r="H113">
            <v>9101839.1962300055</v>
          </cell>
        </row>
        <row r="114">
          <cell r="E114" t="str">
            <v>Distribution Plant</v>
          </cell>
          <cell r="F114">
            <v>287514711.53000009</v>
          </cell>
          <cell r="G114">
            <v>21824837.915690824</v>
          </cell>
          <cell r="H114">
            <v>309339549.44569087</v>
          </cell>
        </row>
        <row r="115">
          <cell r="E115" t="str">
            <v>General Plant</v>
          </cell>
          <cell r="F115">
            <v>36316111.43</v>
          </cell>
          <cell r="G115">
            <v>5865065.3367761448</v>
          </cell>
          <cell r="H115">
            <v>42181176.766776145</v>
          </cell>
        </row>
        <row r="116">
          <cell r="E116" t="str">
            <v>Total Net Plant in Service - All</v>
          </cell>
          <cell r="F116">
            <v>335078360.6400001</v>
          </cell>
          <cell r="G116">
            <v>26962309.361972056</v>
          </cell>
          <cell r="H116">
            <v>362040670.00197208</v>
          </cell>
        </row>
        <row r="118">
          <cell r="E118" t="str">
            <v>Working Capital</v>
          </cell>
        </row>
        <row r="119">
          <cell r="D119" t="str">
            <v>N/A</v>
          </cell>
          <cell r="E119" t="str">
            <v>Cash Working Capital</v>
          </cell>
          <cell r="F119">
            <v>0</v>
          </cell>
          <cell r="G119">
            <v>-5304562.0382017521</v>
          </cell>
          <cell r="H119">
            <v>-5304562.0382017521</v>
          </cell>
        </row>
        <row r="120">
          <cell r="D120" t="str">
            <v>154/163</v>
          </cell>
          <cell r="E120" t="str">
            <v>Materials &amp; Supplies</v>
          </cell>
          <cell r="F120">
            <v>2757590.7800000003</v>
          </cell>
          <cell r="G120">
            <v>-164808</v>
          </cell>
          <cell r="H120">
            <v>2592782.7800000003</v>
          </cell>
        </row>
        <row r="121">
          <cell r="D121">
            <v>165</v>
          </cell>
          <cell r="E121" t="str">
            <v>Prepayments</v>
          </cell>
          <cell r="F121">
            <v>188413.13</v>
          </cell>
          <cell r="G121">
            <v>296611</v>
          </cell>
          <cell r="H121">
            <v>485024.13</v>
          </cell>
        </row>
        <row r="122">
          <cell r="E122" t="str">
            <v>Total Working Capital</v>
          </cell>
          <cell r="F122">
            <v>2946003.91</v>
          </cell>
          <cell r="G122">
            <v>-5172759.0382017521</v>
          </cell>
          <cell r="H122">
            <v>-2226755.128201752</v>
          </cell>
        </row>
        <row r="124">
          <cell r="E124" t="str">
            <v>Less: Customer Contributions</v>
          </cell>
        </row>
        <row r="125">
          <cell r="D125">
            <v>252</v>
          </cell>
          <cell r="E125" t="str">
            <v>Customer Advances for Construction</v>
          </cell>
          <cell r="F125">
            <v>-5445150</v>
          </cell>
          <cell r="G125">
            <v>0</v>
          </cell>
          <cell r="H125">
            <v>-5445150</v>
          </cell>
        </row>
        <row r="126">
          <cell r="D126">
            <v>235</v>
          </cell>
          <cell r="E126" t="str">
            <v>Customer Deposits</v>
          </cell>
          <cell r="F126">
            <v>-1598822.74</v>
          </cell>
          <cell r="G126">
            <v>0</v>
          </cell>
          <cell r="H126">
            <v>-1598822.74</v>
          </cell>
        </row>
        <row r="127">
          <cell r="E127" t="str">
            <v>Total Contributions</v>
          </cell>
          <cell r="F127">
            <v>-7043972.7400000002</v>
          </cell>
          <cell r="G127">
            <v>0</v>
          </cell>
          <cell r="H127">
            <v>-7043972.7400000002</v>
          </cell>
        </row>
        <row r="129">
          <cell r="E129" t="str">
            <v>SUBTOTAL RATE BASE</v>
          </cell>
          <cell r="F129">
            <v>330980391.81000012</v>
          </cell>
          <cell r="G129">
            <v>21789550.323770303</v>
          </cell>
          <cell r="H129">
            <v>352769942.13377035</v>
          </cell>
        </row>
        <row r="131">
          <cell r="E131" t="str">
            <v>Other Rate Base</v>
          </cell>
        </row>
        <row r="132">
          <cell r="E132" t="str">
            <v xml:space="preserve">Prepaid Pension </v>
          </cell>
          <cell r="F132">
            <v>0</v>
          </cell>
          <cell r="G132">
            <v>0</v>
          </cell>
          <cell r="H132">
            <v>0</v>
          </cell>
        </row>
        <row r="133">
          <cell r="D133">
            <v>182.3</v>
          </cell>
          <cell r="E133" t="str">
            <v>Regulatory Assets</v>
          </cell>
          <cell r="F133">
            <v>1094518.56</v>
          </cell>
          <cell r="G133">
            <v>0</v>
          </cell>
          <cell r="H133">
            <v>1094518.56</v>
          </cell>
        </row>
        <row r="134">
          <cell r="D134">
            <v>254</v>
          </cell>
          <cell r="E134" t="str">
            <v>Regulatory Liabilities</v>
          </cell>
          <cell r="F134">
            <v>-24912739.370000001</v>
          </cell>
          <cell r="G134">
            <v>-11195</v>
          </cell>
          <cell r="H134">
            <v>-24923934.370000001</v>
          </cell>
        </row>
        <row r="135">
          <cell r="E135" t="str">
            <v>Total Other Rate Base</v>
          </cell>
          <cell r="F135">
            <v>-23818220.810000002</v>
          </cell>
          <cell r="G135">
            <v>-11195</v>
          </cell>
          <cell r="H135">
            <v>-23829415.810000002</v>
          </cell>
        </row>
        <row r="137">
          <cell r="E137" t="str">
            <v>Less: Accumulated Deferred Taxes (ADIT)</v>
          </cell>
        </row>
        <row r="138">
          <cell r="D138">
            <v>190</v>
          </cell>
          <cell r="E138" t="str">
            <v>ADIT</v>
          </cell>
          <cell r="F138">
            <v>13744137.569999998</v>
          </cell>
          <cell r="G138">
            <v>-962865</v>
          </cell>
          <cell r="H138">
            <v>12781272.569999998</v>
          </cell>
        </row>
        <row r="139">
          <cell r="D139">
            <v>282</v>
          </cell>
          <cell r="E139" t="str">
            <v>ADIT - Other Property</v>
          </cell>
          <cell r="F139">
            <v>-49396187.520000003</v>
          </cell>
          <cell r="G139">
            <v>-758049.22108383104</v>
          </cell>
          <cell r="H139">
            <v>-50154236.741083831</v>
          </cell>
        </row>
        <row r="140">
          <cell r="D140">
            <v>283</v>
          </cell>
          <cell r="E140" t="str">
            <v>ADIT - Other</v>
          </cell>
          <cell r="F140">
            <v>-1246221.47</v>
          </cell>
          <cell r="G140">
            <v>974041</v>
          </cell>
          <cell r="H140">
            <v>-272180.46999999997</v>
          </cell>
        </row>
        <row r="141">
          <cell r="E141" t="str">
            <v>Total Accumulated Deferred Taxes (ADIT)</v>
          </cell>
          <cell r="F141">
            <v>-36898271.420000002</v>
          </cell>
          <cell r="G141">
            <v>-746873.22108383104</v>
          </cell>
          <cell r="H141">
            <v>-37645144.641083829</v>
          </cell>
        </row>
        <row r="143">
          <cell r="E143" t="str">
            <v>TOTAL RATE BASE</v>
          </cell>
          <cell r="F143">
            <v>270263899.5800001</v>
          </cell>
          <cell r="G143">
            <v>21031482.102686472</v>
          </cell>
          <cell r="H143">
            <v>291295381.68268651</v>
          </cell>
        </row>
        <row r="145">
          <cell r="F145" t="str">
            <v>Rate Base Excl. Cash WC</v>
          </cell>
          <cell r="H145">
            <v>296599943.72088826</v>
          </cell>
        </row>
      </sheetData>
      <sheetData sheetId="2" refreshError="1"/>
      <sheetData sheetId="3" refreshError="1"/>
      <sheetData sheetId="4">
        <row r="11">
          <cell r="F11">
            <v>483</v>
          </cell>
          <cell r="G11" t="str">
            <v>Sales for Resale</v>
          </cell>
          <cell r="J11">
            <v>-5.9999999997671694E-2</v>
          </cell>
        </row>
        <row r="12">
          <cell r="F12">
            <v>489</v>
          </cell>
          <cell r="G12" t="str">
            <v>Transportation of Gas</v>
          </cell>
          <cell r="J12">
            <v>4926144.55</v>
          </cell>
        </row>
        <row r="13">
          <cell r="G13" t="str">
            <v>Total Retail Revenue</v>
          </cell>
          <cell r="J13">
            <v>67669100.730000019</v>
          </cell>
        </row>
        <row r="15">
          <cell r="G15" t="str">
            <v>Other Operating Revenue</v>
          </cell>
        </row>
        <row r="16">
          <cell r="F16">
            <v>487</v>
          </cell>
          <cell r="G16" t="str">
            <v>Forfeited Discounts (Late Fees)</v>
          </cell>
          <cell r="J16">
            <v>489636.00000000006</v>
          </cell>
        </row>
        <row r="17">
          <cell r="F17">
            <v>488</v>
          </cell>
          <cell r="G17" t="str">
            <v>Miscellaneous Service Revenues</v>
          </cell>
          <cell r="J17">
            <v>805199.31</v>
          </cell>
        </row>
        <row r="18">
          <cell r="F18">
            <v>495</v>
          </cell>
          <cell r="G18" t="str">
            <v xml:space="preserve">Other Gas Revenues  </v>
          </cell>
          <cell r="J18">
            <v>21775.90000000014</v>
          </cell>
        </row>
        <row r="19">
          <cell r="G19" t="str">
            <v xml:space="preserve">Total Other Operating Revenue  </v>
          </cell>
          <cell r="J19">
            <v>1316611.2100000002</v>
          </cell>
        </row>
        <row r="21">
          <cell r="G21" t="str">
            <v>Total Operating Revenue</v>
          </cell>
          <cell r="J21">
            <v>68985711.940000013</v>
          </cell>
        </row>
        <row r="23">
          <cell r="G23" t="str">
            <v>Purchased Gas Expense</v>
          </cell>
        </row>
        <row r="24">
          <cell r="G24" t="str">
            <v xml:space="preserve">Purchased Gas </v>
          </cell>
          <cell r="J24">
            <v>0</v>
          </cell>
        </row>
        <row r="25">
          <cell r="F25">
            <v>805</v>
          </cell>
          <cell r="G25" t="str">
            <v xml:space="preserve">Purchased Gas Expense </v>
          </cell>
          <cell r="J25">
            <v>-5.9999965131282806E-2</v>
          </cell>
        </row>
        <row r="26">
          <cell r="F26">
            <v>807</v>
          </cell>
          <cell r="G26" t="str">
            <v>Purchased Gas Cost Expenses</v>
          </cell>
          <cell r="J26">
            <v>231994.91</v>
          </cell>
        </row>
        <row r="27">
          <cell r="G27" t="str">
            <v>Total Purchased Gas Expense</v>
          </cell>
          <cell r="J27">
            <v>231994.85000003487</v>
          </cell>
        </row>
        <row r="29">
          <cell r="G29" t="str">
            <v>Transmission Expense</v>
          </cell>
        </row>
        <row r="30">
          <cell r="F30">
            <v>856</v>
          </cell>
          <cell r="G30" t="str">
            <v>Mains Expense</v>
          </cell>
          <cell r="J30">
            <v>14207.4</v>
          </cell>
        </row>
        <row r="31">
          <cell r="F31">
            <v>857</v>
          </cell>
          <cell r="G31" t="str">
            <v>Measuring and Regulating Station</v>
          </cell>
          <cell r="J31">
            <v>0</v>
          </cell>
        </row>
        <row r="32">
          <cell r="F32">
            <v>864</v>
          </cell>
          <cell r="G32" t="str">
            <v>Maintenance of Compressor Station Equipment</v>
          </cell>
          <cell r="J32">
            <v>0</v>
          </cell>
        </row>
        <row r="33">
          <cell r="F33">
            <v>870</v>
          </cell>
          <cell r="G33" t="str">
            <v>Operation Supervision and Engineering</v>
          </cell>
          <cell r="J33">
            <v>197328.9940148133</v>
          </cell>
        </row>
        <row r="34">
          <cell r="G34" t="str">
            <v>Total Transmission Expense</v>
          </cell>
          <cell r="J34">
            <v>211536.3940148133</v>
          </cell>
        </row>
        <row r="36">
          <cell r="G36" t="str">
            <v>Distribution Expense</v>
          </cell>
        </row>
        <row r="37">
          <cell r="F37">
            <v>871</v>
          </cell>
          <cell r="G37" t="str">
            <v>Distribution Load Dispatching</v>
          </cell>
          <cell r="J37">
            <v>0</v>
          </cell>
        </row>
        <row r="38">
          <cell r="F38">
            <v>874</v>
          </cell>
          <cell r="G38" t="str">
            <v>Mains and Services</v>
          </cell>
          <cell r="J38">
            <v>2262554.1196882832</v>
          </cell>
        </row>
        <row r="39">
          <cell r="F39">
            <v>875</v>
          </cell>
          <cell r="G39" t="str">
            <v>Measuring and Regulating Station - General</v>
          </cell>
          <cell r="J39">
            <v>418051.26895592135</v>
          </cell>
        </row>
        <row r="40">
          <cell r="F40">
            <v>876</v>
          </cell>
          <cell r="G40" t="str">
            <v>Measuring and Regulating Station - Industrial</v>
          </cell>
          <cell r="J40">
            <v>124688.6584112718</v>
          </cell>
        </row>
        <row r="41">
          <cell r="F41">
            <v>877</v>
          </cell>
          <cell r="G41" t="str">
            <v>Measuring and Regulating Station - City Gate Check Stations</v>
          </cell>
          <cell r="J41">
            <v>77236.156370506971</v>
          </cell>
        </row>
        <row r="42">
          <cell r="F42">
            <v>878</v>
          </cell>
          <cell r="G42" t="str">
            <v>Meter and House Regulator</v>
          </cell>
          <cell r="J42">
            <v>1473872.5477931551</v>
          </cell>
        </row>
        <row r="43">
          <cell r="F43">
            <v>879</v>
          </cell>
          <cell r="G43" t="str">
            <v>Customer Installations</v>
          </cell>
          <cell r="J43">
            <v>1370408.0245042411</v>
          </cell>
        </row>
        <row r="44">
          <cell r="F44">
            <v>880</v>
          </cell>
          <cell r="G44" t="str">
            <v>Other Expenses</v>
          </cell>
          <cell r="J44">
            <v>2326551.7266483973</v>
          </cell>
        </row>
        <row r="45">
          <cell r="F45">
            <v>881</v>
          </cell>
          <cell r="G45" t="str">
            <v>Rents</v>
          </cell>
          <cell r="J45">
            <v>21291.199999999997</v>
          </cell>
        </row>
        <row r="46">
          <cell r="F46">
            <v>885</v>
          </cell>
          <cell r="G46" t="str">
            <v>Maintenance Supervision &amp; Engineering</v>
          </cell>
          <cell r="J46">
            <v>205178.19359469271</v>
          </cell>
        </row>
        <row r="47">
          <cell r="F47">
            <v>887</v>
          </cell>
          <cell r="G47" t="str">
            <v>Maintenance of Mains</v>
          </cell>
          <cell r="J47">
            <v>586975.12093035947</v>
          </cell>
        </row>
        <row r="48">
          <cell r="F48">
            <v>889</v>
          </cell>
          <cell r="G48" t="str">
            <v>Maint. of Measuring &amp; Regulating Station Equipment - General</v>
          </cell>
          <cell r="J48">
            <v>7399.7605250777333</v>
          </cell>
        </row>
        <row r="49">
          <cell r="F49">
            <v>892</v>
          </cell>
          <cell r="G49" t="str">
            <v>Maintenance of Services</v>
          </cell>
          <cell r="J49">
            <v>312004.64396970731</v>
          </cell>
        </row>
        <row r="50">
          <cell r="F50">
            <v>893</v>
          </cell>
          <cell r="G50" t="str">
            <v>Maintenance of Meters and House Regulators</v>
          </cell>
          <cell r="J50">
            <v>297423.48644793988</v>
          </cell>
        </row>
        <row r="51">
          <cell r="F51">
            <v>894</v>
          </cell>
          <cell r="G51" t="str">
            <v>Maintenance of Other Equipment</v>
          </cell>
          <cell r="J51">
            <v>85273.885087578543</v>
          </cell>
        </row>
        <row r="52">
          <cell r="G52" t="str">
            <v xml:space="preserve">Total Distribution Expense </v>
          </cell>
          <cell r="J52">
            <v>9568908.7929271311</v>
          </cell>
        </row>
        <row r="54">
          <cell r="G54" t="str">
            <v>Customer Account Expense</v>
          </cell>
        </row>
        <row r="55">
          <cell r="F55">
            <v>901</v>
          </cell>
          <cell r="G55" t="str">
            <v>Supervision</v>
          </cell>
          <cell r="J55">
            <v>90341.519021516928</v>
          </cell>
        </row>
        <row r="56">
          <cell r="F56">
            <v>902</v>
          </cell>
          <cell r="G56" t="str">
            <v>Meter Reading</v>
          </cell>
          <cell r="J56">
            <v>108946.5715256031</v>
          </cell>
        </row>
        <row r="57">
          <cell r="F57">
            <v>903</v>
          </cell>
          <cell r="G57" t="str">
            <v xml:space="preserve">Customer Records and Collection </v>
          </cell>
          <cell r="J57">
            <v>5775076.0166293187</v>
          </cell>
        </row>
        <row r="58">
          <cell r="F58">
            <v>904</v>
          </cell>
          <cell r="G58" t="str">
            <v>Uncollectible Accounts</v>
          </cell>
          <cell r="J58">
            <v>281117.24</v>
          </cell>
        </row>
        <row r="59">
          <cell r="F59">
            <v>905</v>
          </cell>
          <cell r="G59" t="str">
            <v xml:space="preserve">Miscellaneous Customer Accounts </v>
          </cell>
          <cell r="J59">
            <v>0</v>
          </cell>
        </row>
        <row r="60">
          <cell r="F60">
            <v>907</v>
          </cell>
          <cell r="G60" t="str">
            <v>Supervision - Customer Service</v>
          </cell>
          <cell r="J60">
            <v>54000</v>
          </cell>
        </row>
        <row r="61">
          <cell r="F61">
            <v>908</v>
          </cell>
          <cell r="G61" t="str">
            <v>Customer Assistance</v>
          </cell>
          <cell r="J61">
            <v>114105.85492473361</v>
          </cell>
        </row>
        <row r="62">
          <cell r="F62">
            <v>909</v>
          </cell>
          <cell r="G62" t="str">
            <v>Informational and Instructional Advertising</v>
          </cell>
          <cell r="J62">
            <v>371903.09</v>
          </cell>
        </row>
        <row r="63">
          <cell r="F63">
            <v>910</v>
          </cell>
          <cell r="G63" t="str">
            <v>Miscellaneous Customer Service and Informational</v>
          </cell>
          <cell r="J63">
            <v>25.880000000000003</v>
          </cell>
        </row>
        <row r="64">
          <cell r="G64" t="str">
            <v>Other</v>
          </cell>
          <cell r="J64">
            <v>0</v>
          </cell>
        </row>
        <row r="65">
          <cell r="G65" t="str">
            <v xml:space="preserve">Total Customer Accounts Expense </v>
          </cell>
          <cell r="J65">
            <v>6795516.1721011726</v>
          </cell>
        </row>
        <row r="67">
          <cell r="G67" t="str">
            <v>Administrative and General Expense</v>
          </cell>
        </row>
        <row r="68">
          <cell r="F68">
            <v>920</v>
          </cell>
          <cell r="G68" t="str">
            <v>Administrative and General Salaries</v>
          </cell>
          <cell r="J68">
            <v>5190692.07</v>
          </cell>
        </row>
        <row r="69">
          <cell r="F69">
            <v>921</v>
          </cell>
          <cell r="G69" t="str">
            <v>Office Supplies and Expenses</v>
          </cell>
          <cell r="J69">
            <v>2114640.4566869335</v>
          </cell>
        </row>
        <row r="70">
          <cell r="F70">
            <v>922</v>
          </cell>
          <cell r="G70" t="str">
            <v>Administrative Expenses Transferred - Credit</v>
          </cell>
          <cell r="J70">
            <v>-1950845.02</v>
          </cell>
        </row>
        <row r="71">
          <cell r="F71">
            <v>923</v>
          </cell>
          <cell r="G71" t="str">
            <v xml:space="preserve">Outside Services Employed    </v>
          </cell>
          <cell r="J71">
            <v>1372947.72</v>
          </cell>
        </row>
        <row r="72">
          <cell r="F72">
            <v>924</v>
          </cell>
          <cell r="G72" t="str">
            <v>Property Insurance</v>
          </cell>
          <cell r="J72">
            <v>30721.460000000003</v>
          </cell>
        </row>
        <row r="73">
          <cell r="F73">
            <v>925</v>
          </cell>
          <cell r="G73" t="str">
            <v>Injuries and Damages</v>
          </cell>
          <cell r="J73">
            <v>2007319.2159669497</v>
          </cell>
        </row>
        <row r="74">
          <cell r="F74">
            <v>926</v>
          </cell>
          <cell r="G74" t="str">
            <v>Employee Pension and Benefits</v>
          </cell>
          <cell r="J74">
            <v>2640755.5700000003</v>
          </cell>
        </row>
        <row r="75">
          <cell r="F75">
            <v>928</v>
          </cell>
          <cell r="G75" t="str">
            <v>Regulatory Commission Expenses</v>
          </cell>
          <cell r="J75">
            <v>250000</v>
          </cell>
        </row>
        <row r="76">
          <cell r="F76">
            <v>930.1</v>
          </cell>
          <cell r="G76" t="str">
            <v>General Advertising Expenses</v>
          </cell>
          <cell r="J76">
            <v>13058.158963496959</v>
          </cell>
        </row>
        <row r="77">
          <cell r="F77">
            <v>930.2</v>
          </cell>
          <cell r="G77" t="str">
            <v>Miscellaneous General Expenses</v>
          </cell>
          <cell r="J77">
            <v>286652.95</v>
          </cell>
        </row>
        <row r="78">
          <cell r="F78">
            <v>931</v>
          </cell>
          <cell r="G78" t="str">
            <v>Rents</v>
          </cell>
          <cell r="J78">
            <v>198635.85000000003</v>
          </cell>
        </row>
        <row r="79">
          <cell r="F79">
            <v>932</v>
          </cell>
          <cell r="G79" t="str">
            <v>Maintenance of General Plant</v>
          </cell>
          <cell r="J79">
            <v>285.90941458918593</v>
          </cell>
        </row>
        <row r="80">
          <cell r="G80" t="str">
            <v>Other</v>
          </cell>
          <cell r="J80">
            <v>0</v>
          </cell>
        </row>
        <row r="81">
          <cell r="G81" t="str">
            <v>Total Administrative &amp; General Expense</v>
          </cell>
          <cell r="J81">
            <v>12154864.341031969</v>
          </cell>
        </row>
        <row r="83">
          <cell r="G83" t="str">
            <v>Total Operation and Maintenance Expense</v>
          </cell>
          <cell r="J83">
            <v>28962820.550075121</v>
          </cell>
        </row>
        <row r="85">
          <cell r="G85" t="str">
            <v>Depreciation and Amortization</v>
          </cell>
        </row>
        <row r="86">
          <cell r="G86" t="str">
            <v>Intangible Plant Depreciation Expense</v>
          </cell>
        </row>
        <row r="87">
          <cell r="F87">
            <v>302</v>
          </cell>
          <cell r="G87" t="str">
            <v>Franchises and Consents</v>
          </cell>
          <cell r="J87">
            <v>13995.400000000001</v>
          </cell>
        </row>
        <row r="88">
          <cell r="F88">
            <v>303</v>
          </cell>
          <cell r="G88" t="str">
            <v>Miscellaneous Intangible Plant</v>
          </cell>
          <cell r="J88">
            <v>295305.65337800002</v>
          </cell>
        </row>
        <row r="89">
          <cell r="G89" t="str">
            <v>Allocated Common Systems Costs (Mass Alloc)</v>
          </cell>
          <cell r="J89">
            <v>3063435.45</v>
          </cell>
        </row>
        <row r="90">
          <cell r="G90" t="str">
            <v>Total Intangible Plant Depreciation Expense</v>
          </cell>
          <cell r="J90">
            <v>3372736.5033780001</v>
          </cell>
        </row>
        <row r="92">
          <cell r="G92" t="str">
            <v xml:space="preserve">Transmission Plant Depreciation Expense                     </v>
          </cell>
        </row>
        <row r="93">
          <cell r="F93">
            <v>365</v>
          </cell>
          <cell r="G93" t="str">
            <v>Land and Land Rights</v>
          </cell>
          <cell r="J93">
            <v>968.71999999999991</v>
          </cell>
        </row>
        <row r="94">
          <cell r="F94">
            <v>366</v>
          </cell>
          <cell r="G94" t="str">
            <v>Structures &amp; Improvements</v>
          </cell>
          <cell r="J94">
            <v>261.12</v>
          </cell>
        </row>
        <row r="95">
          <cell r="F95">
            <v>367</v>
          </cell>
          <cell r="G95" t="str">
            <v xml:space="preserve">Mains </v>
          </cell>
          <cell r="J95">
            <v>220894.52000000002</v>
          </cell>
        </row>
        <row r="96">
          <cell r="F96">
            <v>369</v>
          </cell>
          <cell r="G96" t="str">
            <v>Measuring and Regulating Station Equipment</v>
          </cell>
          <cell r="J96">
            <v>10337.120000000003</v>
          </cell>
        </row>
        <row r="97">
          <cell r="F97">
            <v>371</v>
          </cell>
          <cell r="G97" t="str">
            <v>Other Equipment</v>
          </cell>
          <cell r="J97">
            <v>0.15999999999985448</v>
          </cell>
        </row>
        <row r="98">
          <cell r="G98" t="str">
            <v>Total Transmission Depreciation</v>
          </cell>
          <cell r="J98">
            <v>232461.64</v>
          </cell>
        </row>
        <row r="100">
          <cell r="G100" t="str">
            <v>Distribution Plant Depreciation Expense</v>
          </cell>
        </row>
        <row r="101">
          <cell r="F101">
            <v>374</v>
          </cell>
          <cell r="G101" t="str">
            <v>Land and Land Rights</v>
          </cell>
          <cell r="J101">
            <v>6380.1344680000002</v>
          </cell>
        </row>
        <row r="102">
          <cell r="F102">
            <v>375</v>
          </cell>
          <cell r="G102" t="str">
            <v>Structures &amp; Improvements</v>
          </cell>
          <cell r="J102">
            <v>4313.3799999999992</v>
          </cell>
        </row>
        <row r="103">
          <cell r="F103">
            <v>376</v>
          </cell>
          <cell r="G103" t="str">
            <v>Mains</v>
          </cell>
          <cell r="J103">
            <v>5091481.1477239998</v>
          </cell>
        </row>
        <row r="104">
          <cell r="F104">
            <v>378</v>
          </cell>
          <cell r="G104" t="str">
            <v>Meas. and Reg. Station Equipment - General</v>
          </cell>
          <cell r="J104">
            <v>128392.031</v>
          </cell>
        </row>
        <row r="105">
          <cell r="F105">
            <v>379</v>
          </cell>
          <cell r="G105" t="str">
            <v>Meas. and Reg. Station Equipment - City Gate Check Station</v>
          </cell>
          <cell r="J105">
            <v>94042.937700000009</v>
          </cell>
        </row>
        <row r="106">
          <cell r="F106">
            <v>380</v>
          </cell>
          <cell r="G106" t="str">
            <v>Services</v>
          </cell>
          <cell r="J106">
            <v>4118144.0926400004</v>
          </cell>
        </row>
        <row r="107">
          <cell r="F107">
            <v>381</v>
          </cell>
          <cell r="G107" t="str">
            <v>Meters</v>
          </cell>
          <cell r="J107">
            <v>1485299.35565</v>
          </cell>
        </row>
        <row r="108">
          <cell r="F108">
            <v>382</v>
          </cell>
          <cell r="G108" t="str">
            <v>Meter Installations</v>
          </cell>
          <cell r="J108">
            <v>548158.28496000008</v>
          </cell>
        </row>
        <row r="109">
          <cell r="F109">
            <v>383</v>
          </cell>
          <cell r="G109" t="str">
            <v>House Regulators</v>
          </cell>
          <cell r="J109">
            <v>117239.24</v>
          </cell>
        </row>
        <row r="110">
          <cell r="F110">
            <v>384</v>
          </cell>
          <cell r="G110" t="str">
            <v>House Regulatory Installations</v>
          </cell>
          <cell r="J110">
            <v>114003.93000000001</v>
          </cell>
        </row>
        <row r="111">
          <cell r="F111">
            <v>385</v>
          </cell>
          <cell r="G111" t="str">
            <v>Industrial Meas. &amp; Reg. Station Equipment</v>
          </cell>
          <cell r="J111">
            <v>56889.460166000004</v>
          </cell>
        </row>
        <row r="112">
          <cell r="F112">
            <v>387</v>
          </cell>
          <cell r="G112" t="str">
            <v>Other Equipment</v>
          </cell>
          <cell r="J112">
            <v>39512.97</v>
          </cell>
        </row>
        <row r="113">
          <cell r="G113" t="str">
            <v>Total All Distribution Depreciation Expense</v>
          </cell>
          <cell r="J113">
            <v>11803856.964308001</v>
          </cell>
        </row>
        <row r="115">
          <cell r="G115" t="str">
            <v>General Plant Depreciation Expense</v>
          </cell>
        </row>
        <row r="116">
          <cell r="F116">
            <v>389</v>
          </cell>
          <cell r="G116" t="str">
            <v>Land and Rights</v>
          </cell>
          <cell r="J116">
            <v>-4.0000000000873115E-2</v>
          </cell>
        </row>
        <row r="117">
          <cell r="F117">
            <v>390</v>
          </cell>
          <cell r="G117" t="str">
            <v>Structures &amp; Improvements</v>
          </cell>
          <cell r="J117">
            <v>688046.30491900002</v>
          </cell>
        </row>
        <row r="118">
          <cell r="F118">
            <v>391</v>
          </cell>
          <cell r="G118" t="str">
            <v>Office Furniture and Equipment</v>
          </cell>
          <cell r="J118">
            <v>712141.31397000013</v>
          </cell>
        </row>
        <row r="119">
          <cell r="F119">
            <v>392</v>
          </cell>
          <cell r="G119" t="str">
            <v>Transportation Equipment</v>
          </cell>
          <cell r="J119">
            <v>-42245.220203999997</v>
          </cell>
        </row>
        <row r="120">
          <cell r="F120">
            <v>393</v>
          </cell>
          <cell r="G120" t="str">
            <v>Stores Equipment</v>
          </cell>
          <cell r="J120">
            <v>9527.8799999999992</v>
          </cell>
        </row>
        <row r="121">
          <cell r="F121">
            <v>394</v>
          </cell>
          <cell r="G121" t="str">
            <v>Tools, Shop and Garage Equipment</v>
          </cell>
          <cell r="J121">
            <v>284676.16680000001</v>
          </cell>
        </row>
        <row r="122">
          <cell r="F122">
            <v>395</v>
          </cell>
          <cell r="G122" t="str">
            <v>Laboratory Equipment</v>
          </cell>
          <cell r="J122">
            <v>3681.3048720000006</v>
          </cell>
        </row>
        <row r="123">
          <cell r="F123">
            <v>396</v>
          </cell>
          <cell r="G123" t="str">
            <v>Power Operated Equipment</v>
          </cell>
          <cell r="J123">
            <v>94167.121489000012</v>
          </cell>
        </row>
        <row r="124">
          <cell r="F124">
            <v>397</v>
          </cell>
          <cell r="G124" t="str">
            <v>Communication Equipment</v>
          </cell>
          <cell r="J124">
            <v>279337.67963700002</v>
          </cell>
        </row>
        <row r="125">
          <cell r="F125">
            <v>398</v>
          </cell>
          <cell r="G125" t="str">
            <v>Miscellaneous Equipment</v>
          </cell>
          <cell r="J125">
            <v>6674.743199999999</v>
          </cell>
        </row>
        <row r="126">
          <cell r="G126" t="str">
            <v>Total General Plant Depreciation Expense</v>
          </cell>
          <cell r="J126">
            <v>2036007.254683</v>
          </cell>
        </row>
        <row r="128">
          <cell r="G128" t="str">
            <v>Depreciation and Amortization - All</v>
          </cell>
        </row>
        <row r="129">
          <cell r="F129" t="str">
            <v>403/404/406/407</v>
          </cell>
          <cell r="G129" t="str">
            <v>Intangible Plant</v>
          </cell>
          <cell r="J129">
            <v>3372736.5033780001</v>
          </cell>
        </row>
        <row r="130">
          <cell r="F130" t="str">
            <v>403/404/406</v>
          </cell>
          <cell r="G130" t="str">
            <v>Transmission Plant</v>
          </cell>
          <cell r="J130">
            <v>232461.64</v>
          </cell>
        </row>
        <row r="131">
          <cell r="F131" t="str">
            <v>403/404/406</v>
          </cell>
          <cell r="G131" t="str">
            <v>Distribution Plant</v>
          </cell>
          <cell r="J131">
            <v>11803856.964308001</v>
          </cell>
        </row>
        <row r="132">
          <cell r="F132" t="str">
            <v>403/404/406</v>
          </cell>
          <cell r="G132" t="str">
            <v>General Plant</v>
          </cell>
          <cell r="J132">
            <v>2036007.254683</v>
          </cell>
        </row>
        <row r="133">
          <cell r="G133" t="str">
            <v>Total Depreciation and Amortization - All</v>
          </cell>
          <cell r="J133">
            <v>17445062.362369001</v>
          </cell>
        </row>
        <row r="135">
          <cell r="G135" t="str">
            <v>Taxes Other Than Income Taxes</v>
          </cell>
        </row>
        <row r="136">
          <cell r="F136">
            <v>408</v>
          </cell>
          <cell r="G136" t="str">
            <v>Property Tax</v>
          </cell>
          <cell r="J136">
            <v>4971210.869877005</v>
          </cell>
        </row>
        <row r="137">
          <cell r="F137">
            <v>408</v>
          </cell>
          <cell r="G137" t="str">
            <v>Other (Including Payroll Taxes)</v>
          </cell>
          <cell r="J137">
            <v>881569.91580000019</v>
          </cell>
        </row>
        <row r="138">
          <cell r="G138" t="str">
            <v>Total Taxes Other Than Income Taxes</v>
          </cell>
          <cell r="J138">
            <v>5852780.7856770055</v>
          </cell>
        </row>
        <row r="140">
          <cell r="G140" t="str">
            <v>Interest on Customer Deposits</v>
          </cell>
        </row>
        <row r="141">
          <cell r="F141">
            <v>431</v>
          </cell>
          <cell r="G141" t="str">
            <v xml:space="preserve">Customer Deposit Interest Expense </v>
          </cell>
          <cell r="J141">
            <v>53976.84</v>
          </cell>
        </row>
        <row r="142">
          <cell r="G142" t="str">
            <v>Total Interest on Customer Deposits</v>
          </cell>
          <cell r="J142">
            <v>53976.84</v>
          </cell>
        </row>
        <row r="144">
          <cell r="G144" t="str">
            <v>Income Taxes</v>
          </cell>
        </row>
        <row r="145">
          <cell r="F145">
            <v>409</v>
          </cell>
          <cell r="G145" t="str">
            <v>Current Income Tax - State &amp; Federal</v>
          </cell>
          <cell r="J145">
            <v>1368864.2109483429</v>
          </cell>
        </row>
        <row r="146">
          <cell r="F146">
            <v>410.1</v>
          </cell>
          <cell r="G146" t="str">
            <v xml:space="preserve">Deferred IT - Federal &amp; State (debits) </v>
          </cell>
          <cell r="J146">
            <v>2527569.497407476</v>
          </cell>
        </row>
        <row r="147">
          <cell r="F147">
            <v>411</v>
          </cell>
          <cell r="G147" t="str">
            <v>Deferred IT - Federal &amp; State (credits)</v>
          </cell>
          <cell r="J147">
            <v>-2143670.7200000002</v>
          </cell>
        </row>
        <row r="148">
          <cell r="G148" t="str">
            <v>Total Income Taxes</v>
          </cell>
          <cell r="J148">
            <v>1752762.9883558187</v>
          </cell>
        </row>
        <row r="150">
          <cell r="G150" t="str">
            <v>Total Taxes</v>
          </cell>
          <cell r="J150">
            <v>7605543.7740328237</v>
          </cell>
        </row>
        <row r="152">
          <cell r="G152" t="str">
            <v>Total Operating Expense - Excluding Income Taxes</v>
          </cell>
          <cell r="J152">
            <v>52314640.538121134</v>
          </cell>
        </row>
        <row r="154">
          <cell r="G154" t="str">
            <v>Total Operating Expense - Including Taxes</v>
          </cell>
          <cell r="J154">
            <v>54067403.526476949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6">
          <cell r="G56">
            <v>11122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7">
          <cell r="J17">
            <v>0.24867559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R"/>
    </sheetNames>
    <sheetDataSet>
      <sheetData sheetId="0">
        <row r="98">
          <cell r="C98">
            <v>0.54791528140993784</v>
          </cell>
        </row>
        <row r="99">
          <cell r="C99">
            <v>0.23559513812689983</v>
          </cell>
        </row>
        <row r="100">
          <cell r="C100">
            <v>0.21648958046316222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location Factor"/>
      <sheetName val="Test Year Data"/>
      <sheetName val="New Services Test Year"/>
      <sheetName val="Price Comparison"/>
      <sheetName val="Material List"/>
      <sheetName val="2010 Material List"/>
      <sheetName val="Tables 1"/>
      <sheetName val="Tables"/>
      <sheetName val="Sheet1"/>
    </sheetNames>
    <sheetDataSet>
      <sheetData sheetId="0">
        <row r="34">
          <cell r="E34">
            <v>237320166.91454643</v>
          </cell>
        </row>
        <row r="35">
          <cell r="E35">
            <v>20008238.998515166</v>
          </cell>
        </row>
        <row r="36">
          <cell r="E36">
            <v>229352.94693850589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eter&amp;Cust Allocations"/>
      <sheetName val="Updated tab for COSS 1"/>
      <sheetName val="Updated tab for COSS"/>
      <sheetName val="Class input"/>
      <sheetName val="Sheet6"/>
      <sheetName val="Meter Cost"/>
      <sheetName val="Data"/>
      <sheetName val="SQL Statement"/>
      <sheetName val="OH - Burdens"/>
    </sheetNames>
    <sheetDataSet>
      <sheetData sheetId="0">
        <row r="7">
          <cell r="D7">
            <v>14665988.618378606</v>
          </cell>
          <cell r="E7">
            <v>1239531.4275232607</v>
          </cell>
          <cell r="F7">
            <v>7267.4640981345947</v>
          </cell>
        </row>
        <row r="13">
          <cell r="D13">
            <v>4101112.717884331</v>
          </cell>
          <cell r="E13">
            <v>346615.44024810271</v>
          </cell>
          <cell r="F13">
            <v>2032.2318675658851</v>
          </cell>
        </row>
        <row r="16">
          <cell r="D16">
            <v>0</v>
          </cell>
          <cell r="E16">
            <v>0</v>
          </cell>
          <cell r="F16">
            <v>2864862.55</v>
          </cell>
        </row>
        <row r="23">
          <cell r="D23">
            <v>100410.38862623923</v>
          </cell>
          <cell r="E23">
            <v>8486.4263562893393</v>
          </cell>
          <cell r="F23">
            <v>49.75654307453096</v>
          </cell>
        </row>
        <row r="25">
          <cell r="D25">
            <v>5322587.2008239264</v>
          </cell>
          <cell r="E25">
            <v>449851.30445871735</v>
          </cell>
          <cell r="F25">
            <v>2637.5113466749058</v>
          </cell>
        </row>
      </sheetData>
      <sheetData sheetId="1">
        <row r="83">
          <cell r="J83">
            <v>25771665.56000001</v>
          </cell>
          <cell r="L83">
            <v>7949087.8000000007</v>
          </cell>
        </row>
        <row r="200">
          <cell r="J200">
            <v>6617454.9199999962</v>
          </cell>
          <cell r="L200">
            <v>1227218.0099999998</v>
          </cell>
        </row>
        <row r="242">
          <cell r="J242">
            <v>240346.28000000017</v>
          </cell>
          <cell r="L242">
            <v>58275.360000000015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</sheetNames>
    <sheetDataSet>
      <sheetData sheetId="0">
        <row r="12">
          <cell r="C12">
            <v>-764893.05016548978</v>
          </cell>
        </row>
        <row r="13">
          <cell r="C13">
            <v>-40145.424402921788</v>
          </cell>
        </row>
        <row r="14">
          <cell r="C14">
            <v>-160.83543158856128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Uncollectibles WP"/>
    </sheetNames>
    <sheetDataSet>
      <sheetData sheetId="0">
        <row r="10">
          <cell r="D10">
            <v>197882.18794862847</v>
          </cell>
        </row>
        <row r="11">
          <cell r="D11">
            <v>59782.066792156147</v>
          </cell>
        </row>
        <row r="12">
          <cell r="D12">
            <v>23452.985259215435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ustomer Advances"/>
      <sheetName val="Macro1"/>
    </sheetNames>
    <sheetDataSet>
      <sheetData sheetId="0">
        <row r="10">
          <cell r="D10">
            <v>-4736398.2975034434</v>
          </cell>
        </row>
        <row r="11">
          <cell r="D11">
            <v>-788910.9448975228</v>
          </cell>
        </row>
        <row r="12">
          <cell r="D12">
            <v>-403571.7575990333</v>
          </cell>
        </row>
      </sheetData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ustomer Deposits"/>
      <sheetName val="OBIEE"/>
    </sheetNames>
    <sheetDataSet>
      <sheetData sheetId="0">
        <row r="8">
          <cell r="E8">
            <v>39792.714796735308</v>
          </cell>
        </row>
        <row r="11">
          <cell r="E11">
            <v>-1638615.7147967352</v>
          </cell>
        </row>
        <row r="15">
          <cell r="E15">
            <v>0</v>
          </cell>
        </row>
      </sheetData>
      <sheetData sheetId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st of Service"/>
      <sheetName val="Pivot"/>
      <sheetName val="Extract"/>
    </sheetNames>
    <sheetDataSet>
      <sheetData sheetId="0">
        <row r="2">
          <cell r="F2">
            <v>0</v>
          </cell>
          <cell r="G2">
            <v>0.13204858802446523</v>
          </cell>
          <cell r="H2">
            <v>5.4056806487935843E-2</v>
          </cell>
          <cell r="I2">
            <v>1.7261439320676822E-3</v>
          </cell>
          <cell r="J2">
            <v>3.1023619495691101E-3</v>
          </cell>
          <cell r="K2">
            <v>0</v>
          </cell>
          <cell r="L2">
            <v>0.33856143797830568</v>
          </cell>
          <cell r="M2">
            <v>0.40802607369733213</v>
          </cell>
          <cell r="N2">
            <v>6.2478587930324445E-2</v>
          </cell>
          <cell r="O2">
            <v>0</v>
          </cell>
          <cell r="P2">
            <v>0</v>
          </cell>
          <cell r="Q2">
            <v>0</v>
          </cell>
        </row>
        <row r="3">
          <cell r="F3">
            <v>0</v>
          </cell>
          <cell r="G3">
            <v>21933.531723411448</v>
          </cell>
          <cell r="H3">
            <v>8978.9425067520042</v>
          </cell>
          <cell r="I3">
            <v>286.71592221922214</v>
          </cell>
          <cell r="L3">
            <v>56235.724677685641</v>
          </cell>
          <cell r="M3">
            <v>67773.93810346043</v>
          </cell>
          <cell r="N3">
            <v>10377.817066471222</v>
          </cell>
          <cell r="O3">
            <v>0</v>
          </cell>
          <cell r="P3">
            <v>0</v>
          </cell>
          <cell r="Q3">
            <v>0</v>
          </cell>
        </row>
        <row r="5">
          <cell r="F5">
            <v>0</v>
          </cell>
          <cell r="G5">
            <v>0.1320485880244652</v>
          </cell>
          <cell r="H5">
            <v>5.4056806487935836E-2</v>
          </cell>
          <cell r="I5">
            <v>1.7261439320676818E-3</v>
          </cell>
          <cell r="J5">
            <v>3.1023619495691092E-3</v>
          </cell>
          <cell r="K5">
            <v>0</v>
          </cell>
          <cell r="L5">
            <v>0.33856143797830557</v>
          </cell>
          <cell r="M5">
            <v>0.40802607369733207</v>
          </cell>
          <cell r="N5">
            <v>6.2478587930324431E-2</v>
          </cell>
          <cell r="O5">
            <v>0</v>
          </cell>
          <cell r="P5">
            <v>0</v>
          </cell>
          <cell r="Q5">
            <v>0</v>
          </cell>
        </row>
        <row r="6">
          <cell r="F6">
            <v>0</v>
          </cell>
          <cell r="G6">
            <v>0.13245952541597369</v>
          </cell>
          <cell r="H6">
            <v>5.4225032164436936E-2</v>
          </cell>
          <cell r="I6">
            <v>1.7315157205542099E-3</v>
          </cell>
          <cell r="J6">
            <v>0</v>
          </cell>
          <cell r="K6">
            <v>0</v>
          </cell>
          <cell r="L6">
            <v>0.33961504677692744</v>
          </cell>
          <cell r="M6">
            <v>0.4092958575920419</v>
          </cell>
          <cell r="N6">
            <v>6.267302233006572E-2</v>
          </cell>
          <cell r="O6">
            <v>0</v>
          </cell>
          <cell r="P6">
            <v>0</v>
          </cell>
          <cell r="Q6">
            <v>0</v>
          </cell>
        </row>
        <row r="12">
          <cell r="F12">
            <v>0</v>
          </cell>
          <cell r="G12">
            <v>931865.8147746023</v>
          </cell>
          <cell r="H12">
            <v>381478.44498466264</v>
          </cell>
          <cell r="I12">
            <v>12181.383729574345</v>
          </cell>
          <cell r="J12">
            <v>21893.343117953802</v>
          </cell>
          <cell r="K12">
            <v>0</v>
          </cell>
          <cell r="L12">
            <v>2389225.3220796413</v>
          </cell>
          <cell r="M12">
            <v>2879436.6929906155</v>
          </cell>
          <cell r="N12">
            <v>440910.8883229515</v>
          </cell>
          <cell r="O12">
            <v>0</v>
          </cell>
          <cell r="P12">
            <v>0</v>
          </cell>
          <cell r="Q12">
            <v>0</v>
          </cell>
        </row>
        <row r="19">
          <cell r="D19">
            <v>18680.39</v>
          </cell>
        </row>
        <row r="50">
          <cell r="D50">
            <v>6002664.0899999989</v>
          </cell>
        </row>
        <row r="69">
          <cell r="D69">
            <v>1035647.4100000001</v>
          </cell>
        </row>
        <row r="87">
          <cell r="D87">
            <v>3890134.5799999996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</sheetNames>
    <sheetDataSet>
      <sheetData sheetId="0">
        <row r="13">
          <cell r="D13">
            <v>346759.44971957838</v>
          </cell>
        </row>
        <row r="14">
          <cell r="D14">
            <v>79075.109579946322</v>
          </cell>
        </row>
        <row r="15">
          <cell r="D15">
            <v>63801.440700475301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HWIndex"/>
      <sheetName val="376 Original and Escalated Cost"/>
      <sheetName val="Original and Escalated"/>
      <sheetName val="2024 Projects"/>
    </sheetNames>
    <sheetDataSet>
      <sheetData sheetId="0">
        <row r="9">
          <cell r="J9">
            <v>0.51513750178951734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ercentiles_All_Bills"/>
      <sheetName val="UNSG Therms Percentiles"/>
    </sheetNames>
    <definedNames>
      <definedName name="Percentiles_All_Bills" refersTo="='Percentiles_All_Bills'!$A$1:$O$11"/>
    </definedNames>
    <sheetDataSet>
      <sheetData sheetId="0">
        <row r="1">
          <cell r="A1" t="str">
            <v>gl_sub_account</v>
          </cell>
          <cell r="B1" t="str">
            <v>_TYPE_</v>
          </cell>
          <cell r="C1" t="str">
            <v>_FREQ_</v>
          </cell>
          <cell r="D1" t="str">
            <v>Therms_MIN</v>
          </cell>
          <cell r="E1" t="str">
            <v>Therms_P1</v>
          </cell>
          <cell r="F1" t="str">
            <v>Therms_P5</v>
          </cell>
          <cell r="G1" t="str">
            <v>Therms_P10</v>
          </cell>
          <cell r="H1" t="str">
            <v>Therms_P25</v>
          </cell>
          <cell r="I1" t="str">
            <v>Therms_P50</v>
          </cell>
          <cell r="J1" t="str">
            <v>Therms_P75</v>
          </cell>
          <cell r="K1" t="str">
            <v>Therms_P90</v>
          </cell>
          <cell r="L1" t="str">
            <v>Therms_P95</v>
          </cell>
          <cell r="M1" t="str">
            <v>Therms_P99</v>
          </cell>
          <cell r="N1" t="str">
            <v>Therms_MAX</v>
          </cell>
          <cell r="O1" t="str">
            <v>Therms_MEAN</v>
          </cell>
        </row>
        <row r="2">
          <cell r="A2" t="str">
            <v>5751</v>
          </cell>
          <cell r="B2">
            <v>0</v>
          </cell>
          <cell r="C2">
            <v>1809936</v>
          </cell>
          <cell r="D2">
            <v>-1729</v>
          </cell>
          <cell r="E2">
            <v>0</v>
          </cell>
          <cell r="F2">
            <v>2</v>
          </cell>
          <cell r="G2">
            <v>4</v>
          </cell>
          <cell r="H2">
            <v>10</v>
          </cell>
          <cell r="I2">
            <v>25</v>
          </cell>
          <cell r="J2">
            <v>66</v>
          </cell>
          <cell r="K2">
            <v>112</v>
          </cell>
          <cell r="L2">
            <v>144</v>
          </cell>
          <cell r="M2">
            <v>227</v>
          </cell>
          <cell r="N2">
            <v>5244</v>
          </cell>
          <cell r="O2">
            <v>45.145951569558264</v>
          </cell>
        </row>
        <row r="3">
          <cell r="A3" t="str">
            <v>5752</v>
          </cell>
          <cell r="B3">
            <v>0</v>
          </cell>
          <cell r="C3">
            <v>73803</v>
          </cell>
          <cell r="D3">
            <v>-531</v>
          </cell>
          <cell r="E3">
            <v>0</v>
          </cell>
          <cell r="F3">
            <v>3</v>
          </cell>
          <cell r="G3">
            <v>5</v>
          </cell>
          <cell r="H3">
            <v>9</v>
          </cell>
          <cell r="I3">
            <v>21</v>
          </cell>
          <cell r="J3">
            <v>53</v>
          </cell>
          <cell r="K3">
            <v>91</v>
          </cell>
          <cell r="L3">
            <v>116</v>
          </cell>
          <cell r="M3">
            <v>175</v>
          </cell>
          <cell r="N3">
            <v>531</v>
          </cell>
          <cell r="O3">
            <v>36.727043616113164</v>
          </cell>
        </row>
        <row r="4">
          <cell r="A4" t="str">
            <v>5753</v>
          </cell>
          <cell r="B4">
            <v>0</v>
          </cell>
          <cell r="C4">
            <v>147353</v>
          </cell>
          <cell r="D4">
            <v>-176953</v>
          </cell>
          <cell r="E4">
            <v>0</v>
          </cell>
          <cell r="F4">
            <v>0</v>
          </cell>
          <cell r="G4">
            <v>0</v>
          </cell>
          <cell r="H4">
            <v>3</v>
          </cell>
          <cell r="I4">
            <v>39</v>
          </cell>
          <cell r="J4">
            <v>186</v>
          </cell>
          <cell r="K4">
            <v>564</v>
          </cell>
          <cell r="L4">
            <v>981</v>
          </cell>
          <cell r="M4">
            <v>2735</v>
          </cell>
          <cell r="N4">
            <v>176953</v>
          </cell>
          <cell r="O4">
            <v>230.3072350070918</v>
          </cell>
        </row>
        <row r="5">
          <cell r="A5" t="str">
            <v>5754</v>
          </cell>
          <cell r="B5">
            <v>0</v>
          </cell>
          <cell r="C5">
            <v>326</v>
          </cell>
          <cell r="D5">
            <v>-191509</v>
          </cell>
          <cell r="E5">
            <v>-1134</v>
          </cell>
          <cell r="F5">
            <v>0</v>
          </cell>
          <cell r="G5">
            <v>0</v>
          </cell>
          <cell r="H5">
            <v>108</v>
          </cell>
          <cell r="I5">
            <v>735</v>
          </cell>
          <cell r="J5">
            <v>2803</v>
          </cell>
          <cell r="K5">
            <v>17669</v>
          </cell>
          <cell r="L5">
            <v>22537</v>
          </cell>
          <cell r="M5">
            <v>30369</v>
          </cell>
          <cell r="N5">
            <v>191509</v>
          </cell>
          <cell r="O5">
            <v>3584.8834355828221</v>
          </cell>
        </row>
        <row r="6">
          <cell r="A6" t="str">
            <v>5755</v>
          </cell>
          <cell r="B6">
            <v>0</v>
          </cell>
          <cell r="C6">
            <v>47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33</v>
          </cell>
          <cell r="K6">
            <v>396</v>
          </cell>
          <cell r="L6">
            <v>1732</v>
          </cell>
          <cell r="M6">
            <v>2001</v>
          </cell>
          <cell r="N6">
            <v>2001</v>
          </cell>
          <cell r="O6">
            <v>159.46808510638297</v>
          </cell>
        </row>
        <row r="7">
          <cell r="A7" t="str">
            <v>5758</v>
          </cell>
          <cell r="B7">
            <v>0</v>
          </cell>
          <cell r="C7">
            <v>269</v>
          </cell>
          <cell r="D7">
            <v>-5487</v>
          </cell>
          <cell r="E7">
            <v>0</v>
          </cell>
          <cell r="F7">
            <v>0</v>
          </cell>
          <cell r="G7">
            <v>1</v>
          </cell>
          <cell r="H7">
            <v>77</v>
          </cell>
          <cell r="I7">
            <v>656</v>
          </cell>
          <cell r="J7">
            <v>4700</v>
          </cell>
          <cell r="K7">
            <v>9407</v>
          </cell>
          <cell r="L7">
            <v>12518</v>
          </cell>
          <cell r="M7">
            <v>24159</v>
          </cell>
          <cell r="N7">
            <v>25872</v>
          </cell>
          <cell r="O7">
            <v>3284.5947955390334</v>
          </cell>
        </row>
        <row r="8">
          <cell r="A8" t="str">
            <v>5759</v>
          </cell>
          <cell r="B8">
            <v>0</v>
          </cell>
          <cell r="C8">
            <v>86</v>
          </cell>
          <cell r="D8">
            <v>0</v>
          </cell>
          <cell r="E8">
            <v>0</v>
          </cell>
          <cell r="F8">
            <v>274</v>
          </cell>
          <cell r="G8">
            <v>324</v>
          </cell>
          <cell r="H8">
            <v>4250</v>
          </cell>
          <cell r="I8">
            <v>13945</v>
          </cell>
          <cell r="J8">
            <v>25042</v>
          </cell>
          <cell r="K8">
            <v>48307</v>
          </cell>
          <cell r="L8">
            <v>66067</v>
          </cell>
          <cell r="M8">
            <v>85624</v>
          </cell>
          <cell r="N8">
            <v>85624</v>
          </cell>
          <cell r="O8">
            <v>19766.60465116279</v>
          </cell>
        </row>
        <row r="9">
          <cell r="A9" t="str">
            <v>5763</v>
          </cell>
          <cell r="B9">
            <v>0</v>
          </cell>
          <cell r="C9">
            <v>60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23</v>
          </cell>
          <cell r="K9">
            <v>35.5</v>
          </cell>
          <cell r="L9">
            <v>63.5</v>
          </cell>
          <cell r="M9">
            <v>129</v>
          </cell>
          <cell r="N9">
            <v>129</v>
          </cell>
          <cell r="O9">
            <v>13.183333333333334</v>
          </cell>
        </row>
        <row r="10">
          <cell r="A10" t="str">
            <v>5765</v>
          </cell>
          <cell r="B10">
            <v>0</v>
          </cell>
          <cell r="C10">
            <v>12453</v>
          </cell>
          <cell r="D10">
            <v>-24948</v>
          </cell>
          <cell r="E10">
            <v>0</v>
          </cell>
          <cell r="F10">
            <v>0</v>
          </cell>
          <cell r="G10">
            <v>0</v>
          </cell>
          <cell r="H10">
            <v>5</v>
          </cell>
          <cell r="I10">
            <v>61</v>
          </cell>
          <cell r="J10">
            <v>307</v>
          </cell>
          <cell r="K10">
            <v>1005</v>
          </cell>
          <cell r="L10">
            <v>1860</v>
          </cell>
          <cell r="M10">
            <v>4692</v>
          </cell>
          <cell r="N10">
            <v>24948</v>
          </cell>
          <cell r="O10">
            <v>379.78824379667549</v>
          </cell>
        </row>
        <row r="11">
          <cell r="A11" t="str">
            <v>5766</v>
          </cell>
          <cell r="B11">
            <v>0</v>
          </cell>
          <cell r="C11">
            <v>83</v>
          </cell>
          <cell r="D11">
            <v>9</v>
          </cell>
          <cell r="E11">
            <v>9</v>
          </cell>
          <cell r="F11">
            <v>193</v>
          </cell>
          <cell r="G11">
            <v>1054</v>
          </cell>
          <cell r="H11">
            <v>3142</v>
          </cell>
          <cell r="I11">
            <v>9612</v>
          </cell>
          <cell r="J11">
            <v>18257</v>
          </cell>
          <cell r="K11">
            <v>27872</v>
          </cell>
          <cell r="L11">
            <v>33906</v>
          </cell>
          <cell r="M11">
            <v>47881</v>
          </cell>
          <cell r="N11">
            <v>47881</v>
          </cell>
          <cell r="O11">
            <v>12488</v>
          </cell>
        </row>
      </sheetData>
      <sheetData sheetId="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ercentiles_All_Bills Jan"/>
      <sheetName val="Percentiles_All_Bills July"/>
    </sheetNames>
    <sheetDataSet>
      <sheetData sheetId="0">
        <row r="2">
          <cell r="I2">
            <v>93</v>
          </cell>
          <cell r="J2">
            <v>133</v>
          </cell>
          <cell r="K2">
            <v>180</v>
          </cell>
          <cell r="L2">
            <v>219</v>
          </cell>
          <cell r="O2">
            <v>100.96323066428796</v>
          </cell>
        </row>
        <row r="3">
          <cell r="I3">
            <v>78</v>
          </cell>
          <cell r="J3">
            <v>113</v>
          </cell>
          <cell r="K3">
            <v>149</v>
          </cell>
          <cell r="L3">
            <v>178</v>
          </cell>
          <cell r="O3">
            <v>84.064252336448604</v>
          </cell>
        </row>
        <row r="4">
          <cell r="I4">
            <v>156</v>
          </cell>
          <cell r="J4">
            <v>400</v>
          </cell>
          <cell r="K4">
            <v>926</v>
          </cell>
          <cell r="L4">
            <v>1539</v>
          </cell>
          <cell r="O4">
            <v>429.1030678798615</v>
          </cell>
        </row>
        <row r="5">
          <cell r="I5">
            <v>1149.5</v>
          </cell>
          <cell r="J5">
            <v>5518</v>
          </cell>
          <cell r="K5">
            <v>22970</v>
          </cell>
          <cell r="L5">
            <v>36136</v>
          </cell>
          <cell r="O5">
            <v>4559.5357142857147</v>
          </cell>
        </row>
        <row r="7">
          <cell r="I7">
            <v>2834.5</v>
          </cell>
          <cell r="J7">
            <v>5629</v>
          </cell>
          <cell r="K7">
            <v>11188.5</v>
          </cell>
          <cell r="L7">
            <v>18946</v>
          </cell>
          <cell r="O7">
            <v>4448.9666666666662</v>
          </cell>
        </row>
        <row r="8">
          <cell r="I8">
            <v>14669</v>
          </cell>
          <cell r="J8">
            <v>48307</v>
          </cell>
          <cell r="K8">
            <v>75837</v>
          </cell>
          <cell r="L8">
            <v>75837</v>
          </cell>
          <cell r="O8">
            <v>24958.285714285714</v>
          </cell>
        </row>
        <row r="9">
          <cell r="I9">
            <v>0</v>
          </cell>
          <cell r="J9">
            <v>8</v>
          </cell>
          <cell r="K9">
            <v>129</v>
          </cell>
          <cell r="L9">
            <v>129</v>
          </cell>
        </row>
        <row r="11">
          <cell r="I11">
            <v>22431</v>
          </cell>
          <cell r="J11">
            <v>43228</v>
          </cell>
          <cell r="K11">
            <v>47881</v>
          </cell>
          <cell r="L11">
            <v>47881</v>
          </cell>
          <cell r="O11">
            <v>24060.142857142859</v>
          </cell>
        </row>
      </sheetData>
      <sheetData sheetId="1">
        <row r="2">
          <cell r="I2">
            <v>11</v>
          </cell>
          <cell r="J2">
            <v>18</v>
          </cell>
          <cell r="K2">
            <v>28</v>
          </cell>
          <cell r="L2">
            <v>35</v>
          </cell>
          <cell r="O2">
            <v>13.825403488152455</v>
          </cell>
        </row>
        <row r="3">
          <cell r="I3">
            <v>10</v>
          </cell>
          <cell r="J3">
            <v>16</v>
          </cell>
          <cell r="K3">
            <v>23</v>
          </cell>
          <cell r="L3">
            <v>28</v>
          </cell>
          <cell r="O3">
            <v>11.738065128042997</v>
          </cell>
        </row>
        <row r="4">
          <cell r="I4">
            <v>3</v>
          </cell>
          <cell r="J4">
            <v>30</v>
          </cell>
          <cell r="K4">
            <v>318</v>
          </cell>
          <cell r="L4">
            <v>635</v>
          </cell>
          <cell r="O4">
            <v>109.95283178360101</v>
          </cell>
        </row>
        <row r="5">
          <cell r="I5">
            <v>506</v>
          </cell>
          <cell r="J5">
            <v>2174</v>
          </cell>
          <cell r="K5">
            <v>17669</v>
          </cell>
          <cell r="L5">
            <v>18782</v>
          </cell>
          <cell r="O5">
            <v>3020.2692307692309</v>
          </cell>
        </row>
        <row r="7">
          <cell r="I7">
            <v>58</v>
          </cell>
          <cell r="J7">
            <v>1376</v>
          </cell>
          <cell r="K7">
            <v>7196</v>
          </cell>
          <cell r="L7">
            <v>7302</v>
          </cell>
          <cell r="O7">
            <v>1534.2857142857142</v>
          </cell>
        </row>
        <row r="8">
          <cell r="I8">
            <v>11348</v>
          </cell>
          <cell r="J8">
            <v>30647</v>
          </cell>
          <cell r="K8">
            <v>42140</v>
          </cell>
          <cell r="L8">
            <v>42140</v>
          </cell>
          <cell r="O8">
            <v>16668.428571428572</v>
          </cell>
        </row>
        <row r="9">
          <cell r="I9">
            <v>0</v>
          </cell>
          <cell r="J9">
            <v>15</v>
          </cell>
          <cell r="K9">
            <v>19</v>
          </cell>
          <cell r="L9">
            <v>19</v>
          </cell>
        </row>
        <row r="11">
          <cell r="I11">
            <v>3668</v>
          </cell>
          <cell r="J11">
            <v>10641</v>
          </cell>
          <cell r="K11">
            <v>10823</v>
          </cell>
          <cell r="L11">
            <v>10823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herm PVT"/>
      <sheetName val="Revenue PVT"/>
      <sheetName val="Revenue By Service Agreement"/>
      <sheetName val="Sheet2"/>
      <sheetName val="Billing by Service Agreement 1."/>
      <sheetName val="Check"/>
      <sheetName val="Billing by Service Agreement 1"/>
      <sheetName val="Therms by Service Agreement"/>
      <sheetName val="Billing by Service Agreement OG"/>
      <sheetName val="Tax Adjustment Credit Check"/>
    </sheetNames>
    <sheetDataSet>
      <sheetData sheetId="0"/>
      <sheetData sheetId="1"/>
      <sheetData sheetId="2"/>
      <sheetData sheetId="3"/>
      <sheetData sheetId="4"/>
      <sheetData sheetId="5"/>
      <sheetData sheetId="6">
        <row r="30">
          <cell r="D30">
            <v>27201.5</v>
          </cell>
          <cell r="E30">
            <v>58016.75</v>
          </cell>
          <cell r="F30">
            <v>264801.19999999995</v>
          </cell>
          <cell r="G30">
            <v>306161.09999999998</v>
          </cell>
          <cell r="H30">
            <v>91195.958333333328</v>
          </cell>
        </row>
        <row r="31">
          <cell r="D31">
            <v>49398.5</v>
          </cell>
          <cell r="E31">
            <v>97158.25</v>
          </cell>
          <cell r="F31">
            <v>302124.7</v>
          </cell>
          <cell r="G31">
            <v>451456.89999999967</v>
          </cell>
          <cell r="H31">
            <v>120886.58333333333</v>
          </cell>
        </row>
      </sheetData>
      <sheetData sheetId="7"/>
      <sheetData sheetId="8"/>
      <sheetData sheetId="9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R16" dT="2024-10-08T18:37:03.61" personId="{00000000-0000-0000-0000-000000000000}" id="{340A48D7-D136-4D4D-94F7-05CAA396ED93}">
    <text>Manual link includes $3 discount to BSC</text>
  </threadedComment>
  <threadedComment ref="U16" dT="2024-10-08T18:38:14.38" personId="{00000000-0000-0000-0000-000000000000}" id="{B6AED949-B922-4E14-8E7A-62C0E9F7C6B9}">
    <text>Removed CARES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Y25" dT="2024-01-16T05:15:03.04" personId="{00000000-0000-0000-0000-000000000000}" id="{4AD0D94C-B8AE-40EF-B9F0-3A2FB217F27F}">
    <text>Different formula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D7969EA6-A09E-406B-927F-8D0CB4410700}">
    <text>Attributable to multiple BSC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E3302846-2447-4413-AD48-843005A9C211}">
    <text>Attributable to multiple BSC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2B5F730B-7F22-45F9-A912-2AAEA70D1D30}">
    <text>Attributable to multiple BSC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E8D49B16-57C1-411C-AFA8-3CD5E3011A3C}">
    <text>Attributable to multiple BSC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C3788321-CEE9-40A8-8ED6-A2FAE0691374}">
    <text>Attributable to multiple BSC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7E1C2566-C1CB-4416-BCD5-C205A06EA75D}">
    <text>Attributable to multiple BSC</text>
  </threadedComment>
</ThreadedComments>
</file>

<file path=xl/threadedComments/threadedComment9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43A2F6FF-1D84-44E0-A077-5F9037F103CC}">
    <text>Attributable to multiple BSC</text>
  </threadedComment>
</ThreadedComments>
</file>

<file path=xl/threadedComments/threadedComment10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7989BACC-8145-40B2-9404-01D5FFEFFC9F}">
    <text>Attributable to multiple BSC</text>
  </threadedComment>
</ThreadedComments>
</file>

<file path=xl/threadedComments/threadedComment11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24F0889C-F018-4F50-A655-E70D8F77A013}">
    <text>Attributable to multiple BSC</text>
  </threadedComment>
</ThreadedComments>
</file>

<file path=xl/threadedComments/threadedComment12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74F3266B-A582-4A5E-A2B7-E8F9627604CE}">
    <text>Attributable to multiple BSC</text>
  </threadedComment>
</ThreadedComments>
</file>

<file path=xl/threadedComments/threadedComment13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5D341AE4-CC31-41CF-9371-F4B228980F8C}">
    <text>Attributable to multiple BSC</text>
  </threadedComment>
</ThreadedComments>
</file>

<file path=xl/threadedComments/threadedComment14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CD4B78D9-5507-4A72-837B-A9D63FDB4729}">
    <text>Attributable to multiple BSC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3.bin"/><Relationship Id="rId4" Type="http://schemas.microsoft.com/office/2017/10/relationships/threadedComment" Target="../threadedComments/threadedComment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49.bin"/><Relationship Id="rId4" Type="http://schemas.microsoft.com/office/2017/10/relationships/threadedComment" Target="../threadedComments/threadedComment3.xm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50.bin"/><Relationship Id="rId4" Type="http://schemas.microsoft.com/office/2017/10/relationships/threadedComment" Target="../threadedComments/threadedComment4.xm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51.bin"/><Relationship Id="rId4" Type="http://schemas.microsoft.com/office/2017/10/relationships/threadedComment" Target="../threadedComments/threadedComment5.xm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2.bin"/><Relationship Id="rId4" Type="http://schemas.microsoft.com/office/2017/10/relationships/threadedComment" Target="../threadedComments/threadedComment6.xml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53.bin"/><Relationship Id="rId4" Type="http://schemas.microsoft.com/office/2017/10/relationships/threadedComment" Target="../threadedComments/threadedComment7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63.bin"/><Relationship Id="rId4" Type="http://schemas.microsoft.com/office/2017/10/relationships/threadedComment" Target="../threadedComments/threadedComment8.xml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64.bin"/><Relationship Id="rId4" Type="http://schemas.microsoft.com/office/2017/10/relationships/threadedComment" Target="../threadedComments/threadedComment9.xml"/></Relationships>
</file>

<file path=xl/worksheets/_rels/sheet6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65.bin"/><Relationship Id="rId4" Type="http://schemas.microsoft.com/office/2017/10/relationships/threadedComment" Target="../threadedComments/threadedComment10.xml"/></Relationships>
</file>

<file path=xl/worksheets/_rels/sheet6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66.bin"/><Relationship Id="rId4" Type="http://schemas.microsoft.com/office/2017/10/relationships/threadedComment" Target="../threadedComments/threadedComment11.xml"/></Relationships>
</file>

<file path=xl/worksheets/_rels/sheet6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67.bin"/><Relationship Id="rId4" Type="http://schemas.microsoft.com/office/2017/10/relationships/threadedComment" Target="../threadedComments/threadedComment12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72.bin"/><Relationship Id="rId4" Type="http://schemas.microsoft.com/office/2017/10/relationships/threadedComment" Target="../threadedComments/threadedComment13.xml"/></Relationships>
</file>

<file path=xl/worksheets/_rels/sheet7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73.bin"/><Relationship Id="rId4" Type="http://schemas.microsoft.com/office/2017/10/relationships/threadedComment" Target="../threadedComments/threadedComment14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BDA76-2B32-4CD2-BBB3-643A3478BAB1}">
  <sheetPr codeName="Sheet22">
    <tabColor rgb="FF92D050"/>
  </sheetPr>
  <dimension ref="A1:AY130"/>
  <sheetViews>
    <sheetView topLeftCell="D1" zoomScale="80" zoomScaleNormal="80" workbookViewId="0">
      <selection activeCell="M14" sqref="M14"/>
    </sheetView>
  </sheetViews>
  <sheetFormatPr defaultColWidth="8.85546875" defaultRowHeight="15"/>
  <cols>
    <col min="1" max="1" width="18" bestFit="1" customWidth="1"/>
    <col min="2" max="2" width="14.7109375" style="4" customWidth="1"/>
    <col min="3" max="3" width="20.140625" style="4" bestFit="1" customWidth="1"/>
    <col min="4" max="4" width="20.28515625" style="4" customWidth="1"/>
    <col min="5" max="5" width="29.28515625" style="4" bestFit="1" customWidth="1"/>
    <col min="6" max="6" width="18.28515625" style="4" customWidth="1"/>
    <col min="7" max="7" width="20" style="4" bestFit="1" customWidth="1"/>
    <col min="8" max="8" width="7.42578125" style="4" bestFit="1" customWidth="1"/>
    <col min="9" max="10" width="13.28515625" style="4" customWidth="1"/>
    <col min="11" max="11" width="2.28515625" style="4" customWidth="1"/>
    <col min="12" max="12" width="13.28515625" style="4" customWidth="1"/>
    <col min="13" max="13" width="15.28515625" style="4" customWidth="1"/>
    <col min="14" max="14" width="19.28515625" style="4" bestFit="1" customWidth="1"/>
    <col min="15" max="15" width="27" style="4" bestFit="1" customWidth="1"/>
    <col min="16" max="16" width="18.28515625" style="4" hidden="1" customWidth="1"/>
    <col min="17" max="17" width="17.140625" style="4" customWidth="1"/>
    <col min="18" max="18" width="18.85546875" style="4" customWidth="1"/>
    <col min="19" max="20" width="17" style="4" customWidth="1"/>
    <col min="21" max="22" width="14.28515625" style="4" customWidth="1"/>
    <col min="23" max="23" width="16.28515625" style="4" customWidth="1"/>
    <col min="24" max="24" width="13.140625" style="4" customWidth="1"/>
    <col min="25" max="25" width="18.7109375" style="4" customWidth="1"/>
    <col min="26" max="26" width="15.5703125" style="4" customWidth="1"/>
    <col min="27" max="27" width="15.28515625" style="4" customWidth="1"/>
    <col min="28" max="29" width="17.28515625" style="4" customWidth="1"/>
    <col min="30" max="30" width="13.85546875" style="4" customWidth="1"/>
    <col min="31" max="31" width="13.5703125" style="4" bestFit="1" customWidth="1"/>
    <col min="32" max="32" width="10.5703125" style="4" bestFit="1" customWidth="1"/>
    <col min="33" max="33" width="9.7109375" style="4" customWidth="1"/>
    <col min="34" max="34" width="8.85546875" style="4"/>
    <col min="35" max="35" width="19.28515625" style="4" bestFit="1" customWidth="1"/>
    <col min="36" max="36" width="19.28515625" bestFit="1" customWidth="1"/>
    <col min="37" max="38" width="15.140625" style="4" bestFit="1" customWidth="1"/>
    <col min="39" max="39" width="13.85546875" style="4" bestFit="1" customWidth="1"/>
    <col min="40" max="41" width="19.85546875" style="4" bestFit="1" customWidth="1"/>
    <col min="42" max="43" width="19.28515625" style="4" bestFit="1" customWidth="1"/>
    <col min="44" max="45" width="19.85546875" style="4" bestFit="1" customWidth="1"/>
    <col min="46" max="47" width="19.28515625" style="4" bestFit="1" customWidth="1"/>
    <col min="48" max="49" width="15.140625" bestFit="1" customWidth="1"/>
  </cols>
  <sheetData>
    <row r="1" spans="2:47">
      <c r="C1" s="232" t="s">
        <v>486</v>
      </c>
      <c r="D1" s="232"/>
      <c r="E1" s="232"/>
      <c r="F1" s="232"/>
      <c r="G1" s="232"/>
      <c r="I1" s="244" t="s">
        <v>487</v>
      </c>
      <c r="J1" s="243">
        <v>46082</v>
      </c>
      <c r="L1" s="236" t="s">
        <v>488</v>
      </c>
      <c r="M1"/>
      <c r="N1"/>
      <c r="O1" s="743" t="s">
        <v>489</v>
      </c>
      <c r="P1" s="744"/>
      <c r="Q1" s="744"/>
      <c r="R1" s="744"/>
      <c r="AJ1" s="4"/>
    </row>
    <row r="2" spans="2:47">
      <c r="C2" s="232" t="s">
        <v>490</v>
      </c>
      <c r="D2" s="242"/>
      <c r="E2" s="242"/>
      <c r="F2" s="241"/>
      <c r="G2" s="232"/>
      <c r="K2"/>
      <c r="L2" s="236" t="s">
        <v>491</v>
      </c>
      <c r="M2"/>
      <c r="N2"/>
      <c r="O2" s="743" t="s">
        <v>492</v>
      </c>
      <c r="P2" s="744"/>
      <c r="Q2" s="744"/>
      <c r="R2" s="744"/>
      <c r="S2" s="744"/>
      <c r="AJ2" s="4"/>
    </row>
    <row r="3" spans="2:47">
      <c r="B3" s="240"/>
      <c r="C3" s="240"/>
      <c r="D3" s="240"/>
      <c r="E3" s="240"/>
      <c r="F3" s="240"/>
      <c r="G3" s="240"/>
      <c r="H3" s="240"/>
      <c r="K3"/>
      <c r="L3" s="236" t="s">
        <v>493</v>
      </c>
      <c r="M3"/>
      <c r="N3"/>
      <c r="O3" s="235"/>
      <c r="P3" s="235"/>
      <c r="Q3" s="235"/>
      <c r="R3" s="235"/>
      <c r="S3" s="240"/>
      <c r="T3" s="240"/>
      <c r="U3" s="240"/>
      <c r="V3" s="240"/>
      <c r="W3" s="240"/>
      <c r="X3" s="240"/>
      <c r="Y3" s="240"/>
      <c r="Z3" s="240"/>
      <c r="AA3" s="240"/>
      <c r="AB3" s="240"/>
      <c r="AC3" s="240"/>
      <c r="AD3" s="240"/>
      <c r="AE3" s="240"/>
      <c r="AF3" s="240"/>
      <c r="AG3" s="240"/>
      <c r="AH3" s="240"/>
      <c r="AI3" s="240"/>
      <c r="AJ3" s="240"/>
      <c r="AK3" s="240"/>
      <c r="AL3" s="240"/>
      <c r="AM3" s="240"/>
      <c r="AN3" s="240"/>
      <c r="AO3" s="240"/>
      <c r="AP3" s="240"/>
      <c r="AQ3" s="240"/>
      <c r="AR3" s="240"/>
      <c r="AS3" s="240"/>
      <c r="AT3" s="240"/>
      <c r="AU3" s="240"/>
    </row>
    <row r="4" spans="2:47">
      <c r="C4" s="15" t="s">
        <v>494</v>
      </c>
      <c r="D4" s="237"/>
      <c r="E4" s="239" t="s">
        <v>495</v>
      </c>
      <c r="F4" s="238">
        <v>0.05</v>
      </c>
      <c r="G4" s="237"/>
      <c r="H4" s="237"/>
      <c r="K4"/>
      <c r="L4" s="236" t="s">
        <v>496</v>
      </c>
      <c r="M4"/>
      <c r="N4"/>
      <c r="O4" s="235"/>
      <c r="P4" s="232"/>
      <c r="Q4" s="232"/>
      <c r="R4" s="232"/>
      <c r="AJ4" s="4"/>
    </row>
    <row r="5" spans="2:47">
      <c r="C5" s="15"/>
      <c r="D5" s="234"/>
      <c r="E5" s="234"/>
      <c r="F5" s="70" t="s">
        <v>497</v>
      </c>
      <c r="G5" s="234"/>
      <c r="H5" s="234"/>
      <c r="K5"/>
      <c r="N5" s="233" t="s">
        <v>498</v>
      </c>
      <c r="O5" s="233" t="s">
        <v>498</v>
      </c>
      <c r="P5" s="233" t="s">
        <v>499</v>
      </c>
      <c r="Q5" s="230" t="s">
        <v>498</v>
      </c>
      <c r="R5" s="230"/>
      <c r="S5" s="233" t="s">
        <v>498</v>
      </c>
      <c r="AJ5" s="4"/>
      <c r="AU5"/>
    </row>
    <row r="6" spans="2:47">
      <c r="K6" s="2"/>
      <c r="N6" s="24" t="s">
        <v>500</v>
      </c>
      <c r="O6" s="229" t="s">
        <v>501</v>
      </c>
      <c r="P6" s="229" t="s">
        <v>502</v>
      </c>
      <c r="Q6" s="230" t="s">
        <v>503</v>
      </c>
      <c r="R6" s="230"/>
      <c r="AJ6" s="4"/>
      <c r="AT6"/>
      <c r="AU6"/>
    </row>
    <row r="7" spans="2:47">
      <c r="D7" s="232" t="s">
        <v>504</v>
      </c>
      <c r="E7" s="232"/>
      <c r="F7" s="231"/>
      <c r="G7" s="24"/>
      <c r="H7" s="24"/>
      <c r="I7" s="742" t="s">
        <v>505</v>
      </c>
      <c r="J7" s="742"/>
      <c r="N7" s="24" t="s">
        <v>506</v>
      </c>
      <c r="O7" s="229" t="s">
        <v>507</v>
      </c>
      <c r="P7" s="229" t="s">
        <v>508</v>
      </c>
      <c r="Q7" s="230" t="s">
        <v>509</v>
      </c>
      <c r="R7" s="230"/>
      <c r="S7" s="24" t="s">
        <v>510</v>
      </c>
      <c r="T7" s="24" t="s">
        <v>511</v>
      </c>
      <c r="U7"/>
      <c r="V7"/>
      <c r="W7"/>
      <c r="X7"/>
      <c r="AJ7" s="4"/>
      <c r="AS7"/>
      <c r="AT7"/>
      <c r="AU7"/>
    </row>
    <row r="8" spans="2:47">
      <c r="E8" s="229" t="s">
        <v>457</v>
      </c>
      <c r="F8" s="229" t="s">
        <v>512</v>
      </c>
      <c r="G8"/>
      <c r="H8"/>
      <c r="I8" s="24" t="s">
        <v>513</v>
      </c>
      <c r="J8" s="286" t="s">
        <v>514</v>
      </c>
      <c r="K8"/>
      <c r="M8" s="4" t="s">
        <v>3</v>
      </c>
      <c r="N8" s="227">
        <f>Summary!N8</f>
        <v>83845183.570931241</v>
      </c>
      <c r="O8" s="226">
        <f>Summary!O8</f>
        <v>54362762.591130532</v>
      </c>
      <c r="P8" s="245">
        <v>6.6417208387483204E-2</v>
      </c>
      <c r="Q8" s="225">
        <f>Summary!O8</f>
        <v>54362762.591130532</v>
      </c>
      <c r="R8" s="224">
        <v>0</v>
      </c>
      <c r="S8" s="49">
        <f>Summary!N8</f>
        <v>83845183.570931241</v>
      </c>
      <c r="T8" s="164">
        <f>O8/S8</f>
        <v>0.6483707265682207</v>
      </c>
      <c r="U8"/>
      <c r="V8"/>
      <c r="W8"/>
      <c r="X8"/>
      <c r="AJ8" s="4"/>
      <c r="AS8"/>
      <c r="AT8"/>
      <c r="AU8"/>
    </row>
    <row r="9" spans="2:47">
      <c r="C9" s="228">
        <v>0.35572871084264002</v>
      </c>
      <c r="D9" s="4" t="s">
        <v>3</v>
      </c>
      <c r="E9" s="297">
        <v>1.94</v>
      </c>
      <c r="F9" s="298">
        <f>G16</f>
        <v>3.670000000000001E-2</v>
      </c>
      <c r="G9" t="s">
        <v>515</v>
      </c>
      <c r="H9" t="s">
        <v>516</v>
      </c>
      <c r="I9" s="722">
        <f>GRRES!R20</f>
        <v>4.6036111426039312</v>
      </c>
      <c r="J9" s="723">
        <f>GRRES!S20</f>
        <v>0.10307424023629419</v>
      </c>
      <c r="K9"/>
      <c r="M9" s="4" t="s">
        <v>517</v>
      </c>
      <c r="N9" s="227">
        <f>Summary!N9</f>
        <v>36221648.273520097</v>
      </c>
      <c r="O9" s="226">
        <f>Summary!O9</f>
        <v>15860448.446729843</v>
      </c>
      <c r="P9" s="245">
        <v>8.1314683434546342E-2</v>
      </c>
      <c r="Q9" s="225">
        <f>Summary!O9</f>
        <v>15860448.446729843</v>
      </c>
      <c r="R9" s="224">
        <v>0</v>
      </c>
      <c r="S9" s="49">
        <f>Summary!N9</f>
        <v>36221648.273520097</v>
      </c>
      <c r="T9" s="164">
        <f t="shared" ref="T9:T10" si="0">O9/S9</f>
        <v>0.43787207934224937</v>
      </c>
      <c r="U9"/>
      <c r="V9"/>
      <c r="W9"/>
      <c r="X9"/>
      <c r="Y9"/>
      <c r="AJ9" s="4"/>
      <c r="AS9"/>
      <c r="AT9"/>
      <c r="AU9"/>
    </row>
    <row r="10" spans="2:47">
      <c r="D10" s="4" t="s">
        <v>482</v>
      </c>
      <c r="E10" s="297">
        <v>8.32</v>
      </c>
      <c r="F10" s="298">
        <f>G13</f>
        <v>2.9700000000000004E-2</v>
      </c>
      <c r="G10"/>
      <c r="H10" t="s">
        <v>518</v>
      </c>
      <c r="I10" s="724">
        <f>GRRES!R20</f>
        <v>4.6036111426039312</v>
      </c>
      <c r="J10" s="723">
        <f>GRRES!S20</f>
        <v>0.10307424023629419</v>
      </c>
      <c r="K10"/>
      <c r="M10" s="4" t="s">
        <v>519</v>
      </c>
      <c r="N10" s="227">
        <f>Summary!N10</f>
        <v>42588362.682605758</v>
      </c>
      <c r="O10" s="226">
        <f>Summary!O10</f>
        <v>7170903.7652302813</v>
      </c>
      <c r="P10" s="245">
        <v>-9.0874491445127725E-3</v>
      </c>
      <c r="Q10" s="225">
        <f>Summary!O10</f>
        <v>7170903.7652302813</v>
      </c>
      <c r="R10" s="224">
        <v>0</v>
      </c>
      <c r="S10" s="49">
        <f>Summary!N10</f>
        <v>42588362.682605758</v>
      </c>
      <c r="T10" s="164">
        <f t="shared" si="0"/>
        <v>0.1683770709541523</v>
      </c>
      <c r="U10"/>
      <c r="V10"/>
      <c r="W10"/>
      <c r="X10"/>
      <c r="Y10"/>
      <c r="AJ10" s="4"/>
      <c r="AS10"/>
      <c r="AT10"/>
      <c r="AU10"/>
    </row>
    <row r="11" spans="2:47">
      <c r="D11" s="4" t="s">
        <v>520</v>
      </c>
      <c r="E11" s="297">
        <v>60.73</v>
      </c>
      <c r="F11" s="298">
        <f>G14</f>
        <v>-4.8399999999999999E-2</v>
      </c>
      <c r="G11"/>
      <c r="H11" t="s">
        <v>521</v>
      </c>
      <c r="I11" s="724">
        <f>GGSVS!R20</f>
        <v>22.335453391250013</v>
      </c>
      <c r="J11" s="723">
        <f>GGSVS!S20</f>
        <v>0.10592915821772302</v>
      </c>
      <c r="K11"/>
      <c r="M11" s="30" t="s">
        <v>2</v>
      </c>
      <c r="N11" s="223">
        <f>SUM(N8:N10)</f>
        <v>162655194.52705711</v>
      </c>
      <c r="O11" s="222">
        <f>SUM(O8:O10)</f>
        <v>77394114.803090662</v>
      </c>
      <c r="P11" s="246">
        <v>4.9073679787364301E-2</v>
      </c>
      <c r="Q11" s="221">
        <f>SUM(Q8:Q10)</f>
        <v>77394114.803090662</v>
      </c>
      <c r="R11" s="221">
        <v>0</v>
      </c>
      <c r="S11" s="220">
        <f>SUM(S8:S10)</f>
        <v>162655194.52705711</v>
      </c>
      <c r="T11" s="247">
        <f>O11/S11</f>
        <v>0.47581704985275725</v>
      </c>
      <c r="U11"/>
      <c r="V11"/>
      <c r="W11"/>
      <c r="X11"/>
      <c r="Y11"/>
      <c r="AJ11" s="4"/>
      <c r="AS11"/>
      <c r="AT11"/>
      <c r="AU11"/>
    </row>
    <row r="12" spans="2:47">
      <c r="D12"/>
      <c r="E12"/>
      <c r="F12"/>
      <c r="G12"/>
      <c r="H12" t="s">
        <v>522</v>
      </c>
      <c r="I12" s="724">
        <f>GILVS!R20</f>
        <v>1299.124749999999</v>
      </c>
      <c r="J12" s="723">
        <f>GILVS!S20</f>
        <v>0.11145836153076748</v>
      </c>
      <c r="K12"/>
      <c r="L12" s="211" t="s">
        <v>523</v>
      </c>
      <c r="N12" s="218"/>
      <c r="O12" s="217" t="s">
        <v>524</v>
      </c>
      <c r="U12"/>
      <c r="V12"/>
      <c r="W12"/>
      <c r="X12"/>
      <c r="Y12"/>
      <c r="AJ12" s="4"/>
      <c r="AS12"/>
      <c r="AT12"/>
      <c r="AU12"/>
    </row>
    <row r="13" spans="2:47">
      <c r="D13"/>
      <c r="E13">
        <v>0.28370000000000001</v>
      </c>
      <c r="F13">
        <v>0.31340000000000001</v>
      </c>
      <c r="G13">
        <f>F13-E13</f>
        <v>2.9700000000000004E-2</v>
      </c>
      <c r="H13"/>
      <c r="I13"/>
      <c r="J13"/>
      <c r="K13"/>
      <c r="L13" s="30" t="s">
        <v>525</v>
      </c>
      <c r="M13" s="721">
        <f>S13</f>
        <v>78719110.209999993</v>
      </c>
      <c r="N13" s="216"/>
      <c r="O13" s="215">
        <f>M13-M14-M15</f>
        <v>77402499</v>
      </c>
      <c r="Q13" s="215"/>
      <c r="R13" s="49">
        <v>77402499</v>
      </c>
      <c r="S13" s="727">
        <f>SUM(R13:R14)</f>
        <v>78719110.209999993</v>
      </c>
      <c r="T13" s="215"/>
      <c r="U13"/>
      <c r="V13"/>
      <c r="W13"/>
      <c r="X13"/>
      <c r="Y13"/>
      <c r="AJ13" s="4"/>
      <c r="AS13"/>
      <c r="AT13"/>
      <c r="AU13"/>
    </row>
    <row r="14" spans="2:47">
      <c r="D14"/>
      <c r="E14">
        <v>0.2104</v>
      </c>
      <c r="F14">
        <v>0.16200000000000001</v>
      </c>
      <c r="G14">
        <f>F14-E14</f>
        <v>-4.8399999999999999E-2</v>
      </c>
      <c r="H14"/>
      <c r="I14"/>
      <c r="J14"/>
      <c r="K14"/>
      <c r="L14" s="30" t="s">
        <v>54</v>
      </c>
      <c r="M14" s="208">
        <f>'Schedule G-2 Proposed Rates'!D30</f>
        <v>1316611.2100000002</v>
      </c>
      <c r="N14" s="211" t="s">
        <v>526</v>
      </c>
      <c r="O14" s="210">
        <f>O13-O11</f>
        <v>8384.1969093382359</v>
      </c>
      <c r="R14" s="212">
        <f>M14</f>
        <v>1316611.2100000002</v>
      </c>
      <c r="S14" s="30"/>
      <c r="T14" s="30"/>
      <c r="U14"/>
      <c r="V14"/>
      <c r="W14"/>
      <c r="X14"/>
      <c r="Y14"/>
      <c r="AJ14" s="4"/>
      <c r="AS14"/>
      <c r="AT14"/>
      <c r="AU14"/>
    </row>
    <row r="15" spans="2:47">
      <c r="D15"/>
      <c r="E15"/>
      <c r="F15"/>
      <c r="G15" s="219"/>
      <c r="L15" s="30" t="s">
        <v>131</v>
      </c>
      <c r="M15" s="208">
        <v>0</v>
      </c>
      <c r="O15" s="209">
        <f>O14/O13</f>
        <v>1.0831946019389162E-4</v>
      </c>
      <c r="U15"/>
      <c r="V15"/>
      <c r="W15"/>
      <c r="Y15"/>
      <c r="Z15"/>
      <c r="AJ15" s="4"/>
      <c r="AT15"/>
      <c r="AU15"/>
    </row>
    <row r="16" spans="2:47">
      <c r="D16"/>
      <c r="E16">
        <v>0.34339999999999998</v>
      </c>
      <c r="F16">
        <v>0.38009999999999999</v>
      </c>
      <c r="G16" s="728">
        <f>F16-E16</f>
        <v>3.670000000000001E-2</v>
      </c>
      <c r="H16" s="15"/>
      <c r="R16" s="4" t="s">
        <v>527</v>
      </c>
      <c r="U16"/>
      <c r="V16"/>
      <c r="W16"/>
      <c r="AA16"/>
      <c r="AB16" s="212"/>
      <c r="AJ16" s="4"/>
    </row>
    <row r="17" spans="1:51" s="4" customFormat="1">
      <c r="B17" s="214"/>
      <c r="C17" s="214"/>
      <c r="D17"/>
      <c r="E17"/>
      <c r="F17"/>
      <c r="H17" s="213"/>
      <c r="N17" s="4" t="s">
        <v>515</v>
      </c>
      <c r="O17" s="4" t="s">
        <v>528</v>
      </c>
      <c r="Q17" s="301">
        <f>[6]C3!$J$17</f>
        <v>0.24867559</v>
      </c>
      <c r="R17" s="156">
        <v>4184258</v>
      </c>
      <c r="U17"/>
      <c r="V17"/>
      <c r="W17"/>
      <c r="AA17"/>
      <c r="AV17"/>
      <c r="AW17"/>
      <c r="AX17"/>
      <c r="AY17"/>
    </row>
    <row r="18" spans="1:51" s="4" customFormat="1" ht="23.25">
      <c r="D18"/>
      <c r="E18"/>
      <c r="F18"/>
      <c r="H18" s="21"/>
      <c r="L18" s="4" t="s">
        <v>918</v>
      </c>
      <c r="M18" s="726">
        <v>0.70207401327856156</v>
      </c>
      <c r="N18" s="4">
        <v>54746061.33883553</v>
      </c>
      <c r="Q18" s="300" t="s">
        <v>3</v>
      </c>
      <c r="R18" s="300" t="s">
        <v>4</v>
      </c>
      <c r="S18" s="300" t="s">
        <v>5</v>
      </c>
      <c r="V18" s="156"/>
      <c r="AA18"/>
      <c r="AV18"/>
      <c r="AW18"/>
      <c r="AX18"/>
      <c r="AY18"/>
    </row>
    <row r="19" spans="1:51">
      <c r="B19" s="207"/>
      <c r="C19" s="207"/>
      <c r="L19" s="4" t="s">
        <v>919</v>
      </c>
      <c r="M19" s="726">
        <v>0.20483275611929774</v>
      </c>
      <c r="N19">
        <v>15972371.030147392</v>
      </c>
      <c r="O19"/>
      <c r="P19"/>
      <c r="R19"/>
      <c r="S19"/>
      <c r="T19"/>
      <c r="U19"/>
      <c r="AJ19" s="4"/>
    </row>
    <row r="20" spans="1:51">
      <c r="A20" t="s">
        <v>529</v>
      </c>
      <c r="B20" s="4" t="s">
        <v>530</v>
      </c>
      <c r="D20" s="206"/>
      <c r="E20" s="206"/>
      <c r="F20" s="206"/>
      <c r="G20" s="206"/>
      <c r="H20" s="206"/>
      <c r="I20" s="206"/>
      <c r="J20" s="206"/>
      <c r="K20" s="206"/>
      <c r="L20" s="206" t="s">
        <v>920</v>
      </c>
      <c r="M20" s="726">
        <v>9.309323060214067E-2</v>
      </c>
      <c r="N20" s="206">
        <v>7259188.6558732707</v>
      </c>
      <c r="O20" s="4" t="s">
        <v>531</v>
      </c>
      <c r="Q20" s="302">
        <f>R17-R20-S20</f>
        <v>2059258</v>
      </c>
      <c r="R20" s="302">
        <f>1450000</f>
        <v>1450000</v>
      </c>
      <c r="S20" s="302">
        <f>675000</f>
        <v>675000</v>
      </c>
      <c r="T20" s="206">
        <f>R17-SUM(Q20:S20)</f>
        <v>0</v>
      </c>
      <c r="U20" s="206"/>
      <c r="V20" s="206"/>
      <c r="AJ20" s="4"/>
      <c r="AV20" s="4"/>
      <c r="AW20" s="4"/>
    </row>
    <row r="21" spans="1:51">
      <c r="D21" s="4" t="s">
        <v>69</v>
      </c>
      <c r="E21" s="4" t="s">
        <v>532</v>
      </c>
      <c r="F21" s="206"/>
      <c r="G21" s="206"/>
      <c r="H21" s="206"/>
      <c r="I21" s="206"/>
      <c r="J21" s="206"/>
      <c r="K21" s="206"/>
      <c r="L21" s="206"/>
      <c r="M21" s="725"/>
      <c r="N21" s="206" t="s">
        <v>921</v>
      </c>
      <c r="O21" t="s">
        <v>533</v>
      </c>
      <c r="P21" s="206"/>
      <c r="Q21" s="156">
        <v>12301325.913559712</v>
      </c>
      <c r="R21" s="156">
        <v>8646057.880464023</v>
      </c>
      <c r="S21" s="156">
        <v>4036604.5705667362</v>
      </c>
      <c r="T21" s="206"/>
      <c r="U21" s="206"/>
      <c r="V21" s="206"/>
      <c r="AJ21" s="4"/>
      <c r="AV21" s="4"/>
      <c r="AW21" s="4"/>
    </row>
    <row r="22" spans="1:51">
      <c r="B22" s="20" t="s">
        <v>516</v>
      </c>
      <c r="D22" s="4">
        <f>VLOOKUP(B22,'UNSG - ALL RATES'!$F$2:$AP$22,8,0)</f>
        <v>10</v>
      </c>
      <c r="E22" s="206">
        <f>VLOOKUP(B22,'UNSG - ALL RATES'!$F$3:$DF$22,41,0)</f>
        <v>0.34339999999999998</v>
      </c>
      <c r="F22" s="206"/>
      <c r="G22" s="206"/>
      <c r="H22" s="206"/>
      <c r="I22" s="206"/>
      <c r="J22" s="206"/>
      <c r="K22" s="206"/>
      <c r="L22" s="4" t="s">
        <v>918</v>
      </c>
      <c r="M22" s="726">
        <f>N22/$N$25</f>
        <v>0.70241468268540241</v>
      </c>
      <c r="N22" s="212">
        <f>O8</f>
        <v>54362762.591130532</v>
      </c>
      <c r="O22" s="206"/>
      <c r="P22" s="206"/>
      <c r="Q22" s="156">
        <f>Q21*$Q$17</f>
        <v>3059039.4793367507</v>
      </c>
      <c r="R22" s="156">
        <f t="shared" ref="R22:S22" si="1">R21*$Q$17</f>
        <v>2150063.5445985403</v>
      </c>
      <c r="S22" s="156">
        <f t="shared" si="1"/>
        <v>1003805.0231823798</v>
      </c>
      <c r="T22" s="156"/>
      <c r="U22" s="206"/>
      <c r="V22" s="206"/>
      <c r="AJ22" s="4"/>
      <c r="AV22" s="4"/>
      <c r="AW22" s="4"/>
    </row>
    <row r="23" spans="1:51" ht="27" customHeight="1">
      <c r="B23" s="20" t="s">
        <v>518</v>
      </c>
      <c r="D23" s="4">
        <f>VLOOKUP(B23,'UNSG - ALL RATES'!$F$2:$AP$22,8,0)</f>
        <v>7</v>
      </c>
      <c r="E23" s="206">
        <f>VLOOKUP(B23,'UNSG - ALL RATES'!$F$3:$DF$22,41,0)</f>
        <v>0.34339999999999998</v>
      </c>
      <c r="F23" s="206"/>
      <c r="G23" s="206"/>
      <c r="H23" s="206"/>
      <c r="I23" s="206"/>
      <c r="J23" s="206"/>
      <c r="K23" s="206"/>
      <c r="L23" s="4" t="s">
        <v>919</v>
      </c>
      <c r="M23" s="726">
        <f t="shared" ref="M23:M24" si="2">N23/$N$25</f>
        <v>0.20493093676544602</v>
      </c>
      <c r="N23" s="212">
        <f t="shared" ref="N23:N24" si="3">O9</f>
        <v>15860448.446729843</v>
      </c>
      <c r="O23" s="8" t="s">
        <v>534</v>
      </c>
      <c r="P23" s="156"/>
      <c r="Q23" s="298">
        <f>Q20/Q21</f>
        <v>0.16740130409276341</v>
      </c>
      <c r="R23" s="298">
        <f>R20/R21</f>
        <v>0.16770648774816904</v>
      </c>
      <c r="S23" s="298">
        <f>S20/S21</f>
        <v>0.16721974823142771</v>
      </c>
      <c r="T23" s="206"/>
      <c r="U23" s="206"/>
      <c r="V23" s="206"/>
      <c r="AJ23" s="4"/>
      <c r="AV23" s="4"/>
      <c r="AW23" s="4"/>
    </row>
    <row r="24" spans="1:51">
      <c r="B24" s="20" t="s">
        <v>535</v>
      </c>
      <c r="D24" s="4">
        <f>VLOOKUP(B24,'UNSG - ALL RATES'!$F$2:$AP$22,8,0)</f>
        <v>225</v>
      </c>
      <c r="E24" s="206">
        <f>VLOOKUP(B24,'UNSG - ALL RATES'!$F$3:$DF$22,41,0)</f>
        <v>0.2104</v>
      </c>
      <c r="F24" s="206"/>
      <c r="G24" s="206"/>
      <c r="H24" s="206"/>
      <c r="I24" s="206"/>
      <c r="J24" s="206"/>
      <c r="K24" s="206"/>
      <c r="L24" s="206" t="s">
        <v>920</v>
      </c>
      <c r="M24" s="726">
        <f t="shared" si="2"/>
        <v>9.2654380549151497E-2</v>
      </c>
      <c r="N24" s="212">
        <f t="shared" si="3"/>
        <v>7170903.7652302813</v>
      </c>
      <c r="O24" s="206"/>
      <c r="P24" s="206"/>
      <c r="T24" s="206"/>
      <c r="U24" s="206"/>
      <c r="V24" s="206"/>
      <c r="AJ24" s="4"/>
      <c r="AV24" s="4"/>
      <c r="AW24" s="4"/>
    </row>
    <row r="25" spans="1:51">
      <c r="B25" s="20" t="s">
        <v>521</v>
      </c>
      <c r="D25" s="4">
        <f>VLOOKUP(B25,'UNSG - ALL RATES'!$F$2:$AP$22,8,0)</f>
        <v>20</v>
      </c>
      <c r="E25" s="206">
        <f>VLOOKUP(B25,'UNSG - ALL RATES'!$F$3:$DF$22,41,0)</f>
        <v>0.28370000000000001</v>
      </c>
      <c r="F25" s="206"/>
      <c r="G25" s="206"/>
      <c r="H25" s="206"/>
      <c r="I25" s="206"/>
      <c r="J25" s="206"/>
      <c r="K25" s="206"/>
      <c r="L25" s="206"/>
      <c r="N25" s="206">
        <f>SUM(N22:N24)</f>
        <v>77394114.803090662</v>
      </c>
      <c r="O25" s="206"/>
      <c r="P25" s="206"/>
      <c r="Q25" s="206"/>
      <c r="R25" s="206"/>
      <c r="S25" s="206"/>
      <c r="T25" s="206"/>
      <c r="U25" s="206"/>
      <c r="V25" s="206"/>
      <c r="AJ25" s="4"/>
      <c r="AV25" s="4"/>
      <c r="AW25" s="4"/>
    </row>
    <row r="26" spans="1:51">
      <c r="B26" s="20" t="s">
        <v>536</v>
      </c>
      <c r="D26" s="4">
        <f>VLOOKUP(B26,'UNSG - ALL RATES'!$F$2:$AP$22,8,0)</f>
        <v>20</v>
      </c>
      <c r="E26" s="206">
        <f>VLOOKUP(B26,'UNSG - ALL RATES'!$F$3:$DF$22,41,0)</f>
        <v>0.30609999999999998</v>
      </c>
      <c r="F26" s="206"/>
      <c r="G26" s="206"/>
      <c r="H26" s="206"/>
      <c r="I26" s="206"/>
      <c r="J26" s="206"/>
      <c r="K26" s="206"/>
      <c r="L26" s="206" t="s">
        <v>526</v>
      </c>
      <c r="M26" s="725">
        <f>M18-M22</f>
        <v>-3.4066940684085445E-4</v>
      </c>
      <c r="N26" s="206"/>
      <c r="O26" s="206"/>
      <c r="P26" s="206"/>
      <c r="T26" s="206"/>
      <c r="U26" s="206"/>
      <c r="V26" s="206"/>
      <c r="AJ26" s="4"/>
      <c r="AV26" s="4"/>
      <c r="AW26" s="4"/>
    </row>
    <row r="27" spans="1:51">
      <c r="B27" s="20" t="s">
        <v>522</v>
      </c>
      <c r="D27" s="4">
        <f>VLOOKUP(B27,'UNSG - ALL RATES'!$F$2:$AP$22,8,0)</f>
        <v>225</v>
      </c>
      <c r="E27" s="206">
        <f>VLOOKUP(B27,'UNSG - ALL RATES'!$F$3:$DF$22,41,0)</f>
        <v>0.12479999999999999</v>
      </c>
      <c r="F27" s="206"/>
      <c r="G27" s="206"/>
      <c r="H27" s="206"/>
      <c r="I27" s="206"/>
      <c r="J27" s="206"/>
      <c r="K27" s="206"/>
      <c r="L27" s="206"/>
      <c r="M27" s="725">
        <f t="shared" ref="M27:M28" si="4">M19-M23</f>
        <v>-9.818064614827704E-5</v>
      </c>
      <c r="N27" s="206"/>
      <c r="O27" s="206"/>
      <c r="P27" s="206"/>
      <c r="Q27" s="206"/>
      <c r="R27" s="206"/>
      <c r="S27" s="206"/>
      <c r="T27" s="206"/>
      <c r="U27" s="206"/>
      <c r="V27" s="206"/>
      <c r="AJ27" s="4"/>
      <c r="AV27" s="4"/>
      <c r="AW27" s="4"/>
    </row>
    <row r="28" spans="1:51">
      <c r="B28" s="20" t="s">
        <v>537</v>
      </c>
      <c r="D28" s="4">
        <f>VLOOKUP(B28,'UNSG - ALL RATES'!$F$2:$AP$22,8,0)</f>
        <v>20</v>
      </c>
      <c r="E28" s="206">
        <f>VLOOKUP(B28,'UNSG - ALL RATES'!$F$3:$DF$22,41,0)</f>
        <v>0.28410000000000002</v>
      </c>
      <c r="F28" s="206"/>
      <c r="G28" s="206"/>
      <c r="H28" s="206"/>
      <c r="I28" s="206"/>
      <c r="J28" s="206"/>
      <c r="K28" s="206"/>
      <c r="L28" s="206"/>
      <c r="M28" s="725">
        <f t="shared" si="4"/>
        <v>4.3885005298917312E-4</v>
      </c>
      <c r="N28" s="206"/>
      <c r="O28" s="206"/>
      <c r="P28" s="206"/>
      <c r="Q28" s="206"/>
      <c r="R28" s="206"/>
      <c r="S28" s="206"/>
      <c r="T28" s="206"/>
      <c r="U28" s="206"/>
      <c r="V28" s="206"/>
      <c r="AJ28" s="4"/>
      <c r="AV28" s="4"/>
      <c r="AW28" s="4"/>
    </row>
    <row r="29" spans="1:51">
      <c r="B29" s="20" t="s">
        <v>538</v>
      </c>
      <c r="D29" s="4">
        <f>VLOOKUP(B29,'UNSG - ALL RATES'!$F$2:$AP$22,8,0)</f>
        <v>225</v>
      </c>
      <c r="E29" s="206">
        <f>VLOOKUP(B29,'UNSG - ALL RATES'!$F$3:$DF$22,41,0)</f>
        <v>0.1527</v>
      </c>
      <c r="F29" s="206"/>
      <c r="G29" s="206"/>
      <c r="H29" s="206"/>
      <c r="I29" s="206"/>
      <c r="J29" s="206"/>
      <c r="K29" s="206"/>
      <c r="L29" s="206"/>
      <c r="N29" s="206"/>
      <c r="O29" s="206"/>
      <c r="P29" s="206"/>
      <c r="Q29" s="206"/>
      <c r="R29" s="206"/>
      <c r="S29" s="206"/>
      <c r="T29" s="206"/>
      <c r="U29" s="206"/>
      <c r="V29" s="206"/>
      <c r="AJ29" s="4"/>
      <c r="AV29" s="4"/>
      <c r="AW29" s="4"/>
    </row>
    <row r="30" spans="1:51">
      <c r="B30" s="20" t="s">
        <v>539</v>
      </c>
      <c r="D30" s="4">
        <f>VLOOKUP(B30,'UNSG - ALL RATES'!$F$2:$AP$22,8,0)</f>
        <v>20</v>
      </c>
      <c r="E30" s="206">
        <f>VLOOKUP(B30,'UNSG - ALL RATES'!$F$3:$DF$22,41,0)</f>
        <v>0.28410000000000002</v>
      </c>
      <c r="F30" s="206"/>
      <c r="G30" s="206"/>
      <c r="H30" s="206"/>
      <c r="I30" s="206"/>
      <c r="J30" s="206"/>
      <c r="K30" s="206"/>
      <c r="L30" s="206"/>
      <c r="N30" s="206"/>
      <c r="O30" s="206"/>
      <c r="P30" s="206"/>
      <c r="Q30" s="206"/>
      <c r="R30" s="206"/>
      <c r="S30" s="206"/>
      <c r="T30" s="206"/>
      <c r="U30" s="206"/>
      <c r="V30" s="206"/>
      <c r="AJ30" s="4"/>
      <c r="AV30" s="4"/>
      <c r="AW30" s="4"/>
    </row>
    <row r="31" spans="1:51">
      <c r="B31" s="20" t="s">
        <v>540</v>
      </c>
      <c r="D31" s="4">
        <f>VLOOKUP(B31,'UNSG - ALL RATES'!$F$2:$AP$22,8,0)</f>
        <v>10</v>
      </c>
      <c r="E31" s="206">
        <f>VLOOKUP(B31,'UNSG - ALL RATES'!$F$3:$DF$22,41,0)</f>
        <v>0.34339999999999998</v>
      </c>
      <c r="F31" s="206"/>
      <c r="G31" s="206"/>
      <c r="H31" s="206"/>
      <c r="I31" s="206"/>
      <c r="J31" s="206"/>
      <c r="K31" s="206"/>
      <c r="L31" s="206"/>
      <c r="N31" s="206"/>
      <c r="O31" s="206"/>
      <c r="P31" s="206"/>
      <c r="Q31" s="206"/>
      <c r="R31" s="206"/>
      <c r="S31" s="206"/>
      <c r="T31" s="206"/>
      <c r="U31" s="206"/>
      <c r="V31" s="206"/>
      <c r="AJ31" s="4"/>
      <c r="AV31" s="4"/>
      <c r="AW31" s="4"/>
    </row>
    <row r="32" spans="1:51">
      <c r="B32" s="20" t="s">
        <v>541</v>
      </c>
      <c r="D32" s="4">
        <f>VLOOKUP(B32,'UNSG - ALL RATES'!$F$2:$AP$22,8,0)</f>
        <v>20</v>
      </c>
      <c r="E32" s="206">
        <f>VLOOKUP(B32,'UNSG - ALL RATES'!$F$3:$DF$22,41,0)</f>
        <v>0.35320000000000001</v>
      </c>
      <c r="F32" s="206"/>
      <c r="G32" s="206"/>
      <c r="H32" s="206"/>
      <c r="I32" s="206"/>
      <c r="J32" s="206"/>
      <c r="K32" s="206"/>
      <c r="L32" s="206"/>
      <c r="N32" s="206"/>
      <c r="O32" s="206"/>
      <c r="P32" s="206"/>
      <c r="Q32" s="206"/>
      <c r="R32" s="206"/>
      <c r="S32" s="206"/>
      <c r="T32" s="206"/>
      <c r="U32" s="206"/>
      <c r="V32" s="206"/>
      <c r="AJ32" s="4"/>
      <c r="AV32" s="4"/>
      <c r="AW32" s="4"/>
    </row>
    <row r="33" spans="1:49">
      <c r="B33" s="20" t="s">
        <v>542</v>
      </c>
      <c r="D33" s="4">
        <f>VLOOKUP(B33,'UNSG - ALL RATES'!$F$2:$AP$22,8,0)</f>
        <v>225</v>
      </c>
      <c r="E33" s="206">
        <f>VLOOKUP(B33,'UNSG - ALL RATES'!$F$3:$DF$22,41,0)</f>
        <v>0.2104</v>
      </c>
      <c r="F33" s="206"/>
      <c r="G33" s="206"/>
      <c r="H33" s="206"/>
      <c r="I33" s="206"/>
      <c r="J33" s="206"/>
      <c r="K33" s="206"/>
      <c r="L33" s="206"/>
      <c r="N33" s="206"/>
      <c r="O33" s="206"/>
      <c r="P33" s="206"/>
      <c r="Q33" s="206"/>
      <c r="R33" s="206"/>
      <c r="S33" s="206"/>
      <c r="T33" s="206"/>
      <c r="U33" s="206"/>
      <c r="V33" s="206"/>
      <c r="AJ33" s="4"/>
      <c r="AV33" s="4"/>
      <c r="AW33" s="4"/>
    </row>
    <row r="34" spans="1:49">
      <c r="B34" s="20" t="s">
        <v>543</v>
      </c>
      <c r="D34" s="4">
        <f>VLOOKUP(B34,'UNSG - ALL RATES'!$F$2:$AP$22,8,0)</f>
        <v>225</v>
      </c>
      <c r="E34" s="206">
        <f>VLOOKUP(B34,'UNSG - ALL RATES'!$F$3:$DF$22,41,0)</f>
        <v>0.12479999999999999</v>
      </c>
      <c r="F34" s="206"/>
      <c r="G34" s="206"/>
      <c r="H34" s="206"/>
      <c r="I34" s="206"/>
      <c r="J34" s="206"/>
      <c r="K34" s="206"/>
      <c r="L34" s="206"/>
      <c r="N34" s="206"/>
      <c r="O34" s="206"/>
      <c r="P34" s="206"/>
      <c r="Q34" s="206"/>
      <c r="R34" s="206"/>
      <c r="S34" s="206"/>
      <c r="T34" s="206"/>
      <c r="U34" s="206"/>
      <c r="V34" s="206"/>
      <c r="AJ34" s="4"/>
      <c r="AV34" s="4"/>
      <c r="AW34" s="4"/>
    </row>
    <row r="35" spans="1:49">
      <c r="B35" s="20" t="s">
        <v>544</v>
      </c>
      <c r="D35" s="4">
        <f>VLOOKUP(B35,'UNSG - ALL RATES'!$F$2:$AP$22,8,0)</f>
        <v>225</v>
      </c>
      <c r="E35" s="206">
        <f>VLOOKUP(B35,'UNSG - ALL RATES'!$F$3:$DF$22,41,0)</f>
        <v>0.1527</v>
      </c>
      <c r="F35" s="206"/>
      <c r="G35" s="206"/>
      <c r="H35" s="206"/>
      <c r="I35" s="206"/>
      <c r="J35" s="206"/>
      <c r="K35" s="206"/>
      <c r="L35" s="206"/>
      <c r="N35" s="206"/>
      <c r="O35" s="206"/>
      <c r="P35" s="206"/>
      <c r="Q35" s="206"/>
      <c r="R35" s="206"/>
      <c r="S35" s="206"/>
      <c r="T35" s="206"/>
      <c r="U35" s="206"/>
      <c r="V35" s="206"/>
      <c r="AJ35" s="4"/>
      <c r="AV35" s="4"/>
      <c r="AW35" s="4"/>
    </row>
    <row r="36" spans="1:49">
      <c r="B36" s="20" t="s">
        <v>545</v>
      </c>
      <c r="D36" s="4">
        <f>VLOOKUP(B36,'UNSG - ALL RATES'!$F$2:$AP$22,8,0)</f>
        <v>225</v>
      </c>
      <c r="E36" s="206">
        <f>VLOOKUP(B36,'UNSG - ALL RATES'!$F$3:$DF$22,41,0)</f>
        <v>0.12479999999999999</v>
      </c>
      <c r="F36" s="206"/>
      <c r="G36" s="206"/>
      <c r="H36" s="206"/>
      <c r="I36" s="206"/>
      <c r="J36" s="206"/>
      <c r="K36" s="206"/>
      <c r="L36" s="206"/>
      <c r="N36" s="206"/>
      <c r="O36" s="206"/>
      <c r="P36" s="206"/>
      <c r="Q36" s="206"/>
      <c r="R36" s="206"/>
      <c r="S36" s="206"/>
      <c r="T36" s="206"/>
      <c r="U36" s="206"/>
      <c r="V36" s="206"/>
      <c r="AJ36" s="4"/>
      <c r="AV36" s="4"/>
      <c r="AW36" s="4"/>
    </row>
    <row r="37" spans="1:49">
      <c r="B37" s="20" t="s">
        <v>546</v>
      </c>
      <c r="D37" s="4">
        <f>VLOOKUP(B37,'UNSG - ALL RATES'!$F$2:$AP$22,8,0)</f>
        <v>225</v>
      </c>
      <c r="E37" s="206">
        <f>VLOOKUP(B37,'UNSG - ALL RATES'!$F$3:$DF$22,41,0)</f>
        <v>0.2104</v>
      </c>
      <c r="F37" s="206"/>
      <c r="G37" s="206"/>
      <c r="H37" s="206"/>
      <c r="I37" s="206"/>
      <c r="J37" s="206"/>
      <c r="K37" s="206"/>
      <c r="L37" s="206"/>
      <c r="N37" s="206"/>
      <c r="O37" s="206"/>
      <c r="P37" s="206"/>
      <c r="Q37" s="206"/>
      <c r="R37" s="206"/>
      <c r="S37" s="206"/>
      <c r="T37" s="206"/>
      <c r="U37" s="206"/>
      <c r="V37" s="206"/>
      <c r="AJ37" s="4"/>
      <c r="AV37" s="4"/>
      <c r="AW37" s="4"/>
    </row>
    <row r="38" spans="1:49">
      <c r="B38" s="177" t="s">
        <v>547</v>
      </c>
      <c r="D38" s="4">
        <f>VLOOKUP(B38,'UNSG - ALL RATES'!$F$2:$AP$22,8,0)</f>
        <v>225</v>
      </c>
      <c r="E38" s="206">
        <f>VLOOKUP(B38,'UNSG - ALL RATES'!$F$3:$DF$22,41,0)</f>
        <v>0.2104</v>
      </c>
      <c r="F38" s="206"/>
      <c r="G38" s="206"/>
      <c r="H38" s="206"/>
      <c r="I38" s="206"/>
      <c r="J38" s="206"/>
      <c r="K38" s="206"/>
      <c r="L38" s="206"/>
      <c r="N38" s="206"/>
      <c r="O38" s="206"/>
      <c r="P38" s="206"/>
      <c r="Q38" s="206"/>
      <c r="R38" s="206"/>
      <c r="S38" s="206"/>
      <c r="T38" s="206"/>
      <c r="U38" s="206"/>
      <c r="V38" s="206"/>
      <c r="AJ38" s="4"/>
      <c r="AV38" s="4"/>
      <c r="AW38" s="4"/>
    </row>
    <row r="39" spans="1:49">
      <c r="B39" s="177" t="s">
        <v>548</v>
      </c>
      <c r="D39" s="4">
        <f>VLOOKUP(B39,'UNSG - ALL RATES'!$F$2:$AP$22,8,0)</f>
        <v>225</v>
      </c>
      <c r="E39" s="206">
        <f>VLOOKUP(B39,'UNSG - ALL RATES'!$F$3:$DF$22,41,0)</f>
        <v>0.2104</v>
      </c>
      <c r="F39" s="206"/>
      <c r="G39" s="206"/>
      <c r="H39" s="206"/>
      <c r="I39" s="206"/>
      <c r="J39" s="206"/>
      <c r="K39" s="206"/>
      <c r="L39" s="206"/>
      <c r="N39" s="206"/>
      <c r="O39" s="206"/>
      <c r="P39" s="206"/>
      <c r="Q39" s="206"/>
      <c r="R39" s="206"/>
      <c r="S39" s="206"/>
      <c r="T39" s="206"/>
      <c r="U39" s="206"/>
      <c r="V39" s="206"/>
      <c r="AJ39" s="4"/>
      <c r="AV39" s="4"/>
      <c r="AW39" s="4"/>
    </row>
    <row r="40" spans="1:49">
      <c r="B40" s="177" t="s">
        <v>549</v>
      </c>
      <c r="D40" s="4">
        <f>VLOOKUP(B40,'UNSG - ALL RATES'!$F$2:$AP$22,8,0)</f>
        <v>20</v>
      </c>
      <c r="E40" s="206">
        <f>VLOOKUP(B40,'UNSG - ALL RATES'!$F$3:$DF$22,41,0)</f>
        <v>0.28410000000000002</v>
      </c>
      <c r="F40" s="206"/>
      <c r="G40" s="206"/>
      <c r="H40" s="206"/>
      <c r="I40" s="206"/>
      <c r="J40" s="206"/>
      <c r="K40" s="206"/>
      <c r="L40" s="206"/>
      <c r="N40" s="206"/>
      <c r="O40" s="206"/>
      <c r="P40" s="206"/>
      <c r="Q40" s="206"/>
      <c r="R40" s="206"/>
      <c r="S40" s="206"/>
      <c r="T40" s="206"/>
      <c r="U40" s="206"/>
      <c r="V40" s="206"/>
      <c r="AJ40" s="4"/>
      <c r="AV40" s="4"/>
      <c r="AW40" s="4"/>
    </row>
    <row r="41" spans="1:49">
      <c r="D41" s="206"/>
      <c r="E41" s="206"/>
      <c r="F41" s="206"/>
      <c r="G41" s="206"/>
      <c r="H41" s="206"/>
      <c r="I41" s="206"/>
      <c r="J41" s="206"/>
      <c r="K41" s="206"/>
      <c r="L41" s="206"/>
      <c r="N41" s="206"/>
      <c r="O41" s="206"/>
      <c r="P41" s="206"/>
      <c r="Q41" s="206"/>
      <c r="R41" s="206"/>
      <c r="S41" s="206"/>
      <c r="T41" s="206"/>
      <c r="U41" s="206"/>
      <c r="V41" s="206"/>
      <c r="AJ41" s="4"/>
      <c r="AV41" s="4"/>
      <c r="AW41" s="4"/>
    </row>
    <row r="42" spans="1:49">
      <c r="A42" t="s">
        <v>550</v>
      </c>
      <c r="C42" s="745" t="s">
        <v>551</v>
      </c>
      <c r="D42" s="745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AJ42" s="4"/>
      <c r="AV42" s="4"/>
      <c r="AW42" s="4"/>
    </row>
    <row r="43" spans="1:49">
      <c r="D43" s="4" t="s">
        <v>69</v>
      </c>
      <c r="E43" s="4" t="s">
        <v>532</v>
      </c>
      <c r="T43"/>
      <c r="U43"/>
      <c r="V43"/>
      <c r="AJ43" s="4"/>
      <c r="AV43" s="4"/>
      <c r="AW43" s="4"/>
    </row>
    <row r="44" spans="1:49">
      <c r="D44" s="4" t="s">
        <v>552</v>
      </c>
      <c r="E44" s="4" t="s">
        <v>553</v>
      </c>
      <c r="V44"/>
      <c r="AJ44" s="4"/>
      <c r="AV44" s="4"/>
      <c r="AW44" s="4"/>
    </row>
    <row r="45" spans="1:49">
      <c r="A45" t="str">
        <f>$J$1&amp;B45</f>
        <v>46082GRRES</v>
      </c>
      <c r="B45" s="4" t="s">
        <v>516</v>
      </c>
      <c r="C45" s="4" t="s">
        <v>3</v>
      </c>
      <c r="D45" s="204">
        <f>ROUND(D22+INDEX($D$9:$F$11,MATCH($C45,$D$9:$D$11,0),MATCH($D$43,$D$8:$F$8,0)),6)</f>
        <v>11.94</v>
      </c>
      <c r="E45" s="203">
        <f>ROUND(E22+INDEX($D$9:$F$14,MATCH($C45,$D$9:$D$14,0),MATCH($E$43,$D$8:$F$8,0)),4)</f>
        <v>0.38009999999999999</v>
      </c>
      <c r="M45" s="20"/>
      <c r="N45" s="9"/>
      <c r="O45" s="22"/>
      <c r="AJ45" s="4"/>
    </row>
    <row r="46" spans="1:49">
      <c r="A46" t="str">
        <f t="shared" ref="A46:A63" si="5">$J$1&amp;B46</f>
        <v>46082GRRESC</v>
      </c>
      <c r="B46" s="4" t="s">
        <v>518</v>
      </c>
      <c r="C46" s="4" t="s">
        <v>3</v>
      </c>
      <c r="D46" s="204">
        <f>D45</f>
        <v>11.94</v>
      </c>
      <c r="E46" s="203">
        <f>E45</f>
        <v>0.38009999999999999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 s="4"/>
      <c r="AQ46"/>
      <c r="AR46"/>
      <c r="AS46"/>
      <c r="AT46"/>
      <c r="AU46"/>
    </row>
    <row r="47" spans="1:49">
      <c r="A47" t="str">
        <f t="shared" si="5"/>
        <v>46082GGLVS</v>
      </c>
      <c r="B47" t="s">
        <v>535</v>
      </c>
      <c r="C47" s="4" t="s">
        <v>520</v>
      </c>
      <c r="D47" s="204">
        <f>D50</f>
        <v>285.73</v>
      </c>
      <c r="E47" s="203">
        <f>E50</f>
        <v>0.16200000000000001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 s="205"/>
      <c r="AK47" s="205"/>
      <c r="AL47" s="205"/>
      <c r="AM47" s="205"/>
      <c r="AN47" s="205"/>
      <c r="AO47" s="205"/>
      <c r="AP47" s="205"/>
      <c r="AQ47"/>
      <c r="AR47"/>
      <c r="AS47"/>
      <c r="AT47"/>
      <c r="AU47"/>
    </row>
    <row r="48" spans="1:49">
      <c r="A48" t="str">
        <f t="shared" si="5"/>
        <v>46082GGSVS</v>
      </c>
      <c r="B48" t="s">
        <v>521</v>
      </c>
      <c r="C48" s="4" t="s">
        <v>482</v>
      </c>
      <c r="D48" s="204">
        <f t="shared" ref="D48:D59" si="6">ROUND(D25+INDEX($D$9:$F$14,MATCH($C48,$D$9:$D$14,0),MATCH($D$43,$D$8:$F$8,0)),6)</f>
        <v>28.32</v>
      </c>
      <c r="E48" s="203">
        <f>ROUND(E25+INDEX($D$9:$F$14,MATCH($C48,$D$9:$D$14,0),MATCH($E$43,$D$8:$F$8,0)),4)</f>
        <v>0.31340000000000001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K48"/>
      <c r="AL48"/>
      <c r="AM48"/>
      <c r="AN48"/>
      <c r="AO48"/>
      <c r="AP48"/>
      <c r="AQ48"/>
      <c r="AR48"/>
      <c r="AS48"/>
      <c r="AT48"/>
      <c r="AU48"/>
    </row>
    <row r="49" spans="1:47">
      <c r="A49" t="str">
        <f t="shared" si="5"/>
        <v>46082GISVS</v>
      </c>
      <c r="B49" t="s">
        <v>536</v>
      </c>
      <c r="C49" s="4" t="s">
        <v>482</v>
      </c>
      <c r="D49" s="204">
        <f>D48</f>
        <v>28.32</v>
      </c>
      <c r="E49" s="203">
        <f>E48</f>
        <v>0.31340000000000001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K49"/>
      <c r="AL49"/>
      <c r="AM49"/>
      <c r="AN49"/>
      <c r="AO49"/>
      <c r="AP49"/>
      <c r="AQ49"/>
      <c r="AR49"/>
      <c r="AS49"/>
      <c r="AT49"/>
      <c r="AU49"/>
    </row>
    <row r="50" spans="1:47">
      <c r="A50" t="str">
        <f t="shared" si="5"/>
        <v>46082GILVS</v>
      </c>
      <c r="B50" t="s">
        <v>522</v>
      </c>
      <c r="C50" s="4" t="s">
        <v>520</v>
      </c>
      <c r="D50" s="204">
        <f t="shared" si="6"/>
        <v>285.73</v>
      </c>
      <c r="E50" s="203">
        <f>ROUND(E24+INDEX($D$9:$F$14,MATCH($C50,$D$9:$D$14,0),MATCH($E$43,$D$8:$F$8,0)),4)</f>
        <v>0.16200000000000001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K50"/>
      <c r="AL50"/>
      <c r="AM50"/>
      <c r="AN50"/>
      <c r="AO50"/>
      <c r="AP50"/>
      <c r="AQ50"/>
      <c r="AR50"/>
      <c r="AS50"/>
      <c r="AT50"/>
      <c r="AU50"/>
    </row>
    <row r="51" spans="1:47">
      <c r="A51" t="str">
        <f t="shared" si="5"/>
        <v>46082GPSVS</v>
      </c>
      <c r="B51" s="4" t="s">
        <v>537</v>
      </c>
      <c r="C51" s="4" t="s">
        <v>482</v>
      </c>
      <c r="D51" s="204">
        <f>D48</f>
        <v>28.32</v>
      </c>
      <c r="E51" s="203">
        <f>E48</f>
        <v>0.31340000000000001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K51"/>
      <c r="AL51"/>
      <c r="AM51"/>
      <c r="AN51"/>
      <c r="AO51"/>
      <c r="AP51"/>
      <c r="AQ51"/>
      <c r="AR51"/>
      <c r="AS51"/>
      <c r="AT51"/>
      <c r="AU51"/>
    </row>
    <row r="52" spans="1:47">
      <c r="A52" t="str">
        <f t="shared" si="5"/>
        <v>46082GPLVS</v>
      </c>
      <c r="B52" s="4" t="s">
        <v>538</v>
      </c>
      <c r="C52" s="4" t="s">
        <v>520</v>
      </c>
      <c r="D52" s="204">
        <f>D50</f>
        <v>285.73</v>
      </c>
      <c r="E52" s="203">
        <f>E50</f>
        <v>0.16200000000000001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K52"/>
      <c r="AL52"/>
      <c r="AM52"/>
      <c r="AN52"/>
      <c r="AO52"/>
      <c r="AP52"/>
      <c r="AQ52"/>
      <c r="AR52"/>
      <c r="AS52"/>
      <c r="AT52"/>
      <c r="AU52"/>
    </row>
    <row r="53" spans="1:47">
      <c r="A53" t="str">
        <f t="shared" si="5"/>
        <v>46082GPCNGSV</v>
      </c>
      <c r="B53" t="s">
        <v>539</v>
      </c>
      <c r="C53" s="4" t="s">
        <v>482</v>
      </c>
      <c r="D53" s="204">
        <f>D48</f>
        <v>28.32</v>
      </c>
      <c r="E53" s="203">
        <f>E48</f>
        <v>0.31340000000000001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K53"/>
      <c r="AL53"/>
      <c r="AM53"/>
      <c r="AN53"/>
      <c r="AO53"/>
      <c r="AP53"/>
      <c r="AQ53"/>
      <c r="AR53"/>
      <c r="AS53"/>
      <c r="AT53"/>
      <c r="AU53"/>
    </row>
    <row r="54" spans="1:47">
      <c r="A54" t="str">
        <f t="shared" si="5"/>
        <v>46082GRCNG</v>
      </c>
      <c r="B54" t="s">
        <v>540</v>
      </c>
      <c r="C54" s="4" t="s">
        <v>3</v>
      </c>
      <c r="D54" s="204">
        <f>D45</f>
        <v>11.94</v>
      </c>
      <c r="E54" s="203">
        <f>E45</f>
        <v>0.38009999999999999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K54"/>
      <c r="AL54"/>
      <c r="AM54"/>
      <c r="AN54"/>
      <c r="AO54"/>
      <c r="AP54"/>
      <c r="AQ54"/>
      <c r="AR54"/>
      <c r="AS54"/>
      <c r="AT54"/>
      <c r="AU54"/>
    </row>
    <row r="55" spans="1:47">
      <c r="A55" t="str">
        <f t="shared" si="5"/>
        <v>46082GGIRS</v>
      </c>
      <c r="B55" t="s">
        <v>541</v>
      </c>
      <c r="C55" s="4" t="s">
        <v>482</v>
      </c>
      <c r="D55" s="204">
        <f>D48</f>
        <v>28.32</v>
      </c>
      <c r="E55" s="203">
        <f>E48</f>
        <v>0.31340000000000001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K55"/>
      <c r="AL55"/>
      <c r="AM55"/>
      <c r="AN55"/>
      <c r="AO55"/>
      <c r="AP55"/>
      <c r="AQ55"/>
      <c r="AR55"/>
      <c r="AS55"/>
      <c r="AT55"/>
      <c r="AU55"/>
    </row>
    <row r="56" spans="1:47">
      <c r="A56" t="str">
        <f t="shared" si="5"/>
        <v>46082GTGLVS</v>
      </c>
      <c r="B56" t="s">
        <v>542</v>
      </c>
      <c r="C56" s="4" t="s">
        <v>520</v>
      </c>
      <c r="D56" s="204">
        <f>D57</f>
        <v>285.73</v>
      </c>
      <c r="E56" s="203">
        <f>E57</f>
        <v>0.16200000000000001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K56"/>
      <c r="AL56"/>
      <c r="AM56"/>
      <c r="AN56"/>
      <c r="AO56"/>
      <c r="AP56"/>
      <c r="AQ56"/>
      <c r="AR56"/>
      <c r="AS56"/>
      <c r="AT56"/>
      <c r="AU56"/>
    </row>
    <row r="57" spans="1:47">
      <c r="A57" t="str">
        <f t="shared" si="5"/>
        <v>46082GTILVS</v>
      </c>
      <c r="B57" t="s">
        <v>543</v>
      </c>
      <c r="C57" s="4" t="s">
        <v>520</v>
      </c>
      <c r="D57" s="204">
        <f t="shared" si="6"/>
        <v>285.73</v>
      </c>
      <c r="E57" s="203">
        <f>ROUND(E37+INDEX($D$9:$F$14,MATCH($C57,$D$9:$D$14,0),MATCH($E$43,$D$8:$F$8,0)),4)</f>
        <v>0.16200000000000001</v>
      </c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K57"/>
      <c r="AL57"/>
      <c r="AM57"/>
      <c r="AN57"/>
      <c r="AO57"/>
      <c r="AP57"/>
      <c r="AQ57"/>
      <c r="AR57"/>
      <c r="AS57"/>
      <c r="AT57"/>
      <c r="AU57"/>
    </row>
    <row r="58" spans="1:47">
      <c r="A58" t="str">
        <f t="shared" si="5"/>
        <v>46082GTPLVS</v>
      </c>
      <c r="B58" t="s">
        <v>544</v>
      </c>
      <c r="C58" s="4" t="s">
        <v>520</v>
      </c>
      <c r="D58" s="204">
        <f>D57</f>
        <v>285.73</v>
      </c>
      <c r="E58" s="203">
        <f>E57</f>
        <v>0.16200000000000001</v>
      </c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K58"/>
      <c r="AL58"/>
      <c r="AM58"/>
      <c r="AN58"/>
      <c r="AO58"/>
      <c r="AP58"/>
      <c r="AQ58"/>
      <c r="AR58"/>
      <c r="AS58"/>
      <c r="AT58"/>
      <c r="AU58"/>
    </row>
    <row r="59" spans="1:47">
      <c r="A59" t="str">
        <f t="shared" si="5"/>
        <v>46082GTNILVS</v>
      </c>
      <c r="B59" t="s">
        <v>545</v>
      </c>
      <c r="C59" s="4" t="s">
        <v>520</v>
      </c>
      <c r="D59" s="204">
        <f t="shared" si="6"/>
        <v>285.73</v>
      </c>
      <c r="E59" s="203">
        <f>ROUND(E37+INDEX($D$9:$F$14,MATCH($C59,$D$9:$D$14,0),MATCH($E$43,$D$8:$F$8,0)),4)</f>
        <v>0.16200000000000001</v>
      </c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K59"/>
      <c r="AL59"/>
      <c r="AM59"/>
      <c r="AN59"/>
      <c r="AO59"/>
      <c r="AP59"/>
      <c r="AQ59"/>
      <c r="AR59"/>
      <c r="AS59"/>
      <c r="AT59"/>
      <c r="AU59"/>
    </row>
    <row r="60" spans="1:47">
      <c r="A60" t="str">
        <f t="shared" si="5"/>
        <v>46082GTNGLVS</v>
      </c>
      <c r="B60" t="s">
        <v>546</v>
      </c>
      <c r="C60" s="4" t="s">
        <v>520</v>
      </c>
      <c r="D60" s="204">
        <f>D59</f>
        <v>285.73</v>
      </c>
      <c r="E60" s="203">
        <f>E59</f>
        <v>0.16200000000000001</v>
      </c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K60"/>
      <c r="AL60"/>
      <c r="AM60"/>
      <c r="AN60"/>
      <c r="AO60"/>
      <c r="AP60"/>
      <c r="AQ60"/>
      <c r="AR60"/>
      <c r="AS60"/>
      <c r="AT60"/>
      <c r="AU60"/>
    </row>
    <row r="61" spans="1:47">
      <c r="A61" t="str">
        <f t="shared" si="5"/>
        <v>46082GCNGLVS</v>
      </c>
      <c r="B61" s="177" t="s">
        <v>547</v>
      </c>
      <c r="C61" s="4" t="s">
        <v>520</v>
      </c>
      <c r="D61" s="204">
        <f>D59</f>
        <v>285.73</v>
      </c>
      <c r="E61" s="203">
        <f>E59</f>
        <v>0.16200000000000001</v>
      </c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K61"/>
      <c r="AL61"/>
      <c r="AM61"/>
      <c r="AN61"/>
      <c r="AO61"/>
      <c r="AP61"/>
      <c r="AQ61"/>
      <c r="AR61"/>
      <c r="AS61"/>
      <c r="AT61"/>
      <c r="AU61"/>
    </row>
    <row r="62" spans="1:47">
      <c r="A62" t="str">
        <f t="shared" si="5"/>
        <v>46082GTCNGGLV</v>
      </c>
      <c r="B62" s="177" t="s">
        <v>548</v>
      </c>
      <c r="C62" s="4" t="s">
        <v>520</v>
      </c>
      <c r="D62" s="204">
        <f>D59</f>
        <v>285.73</v>
      </c>
      <c r="E62" s="203">
        <f>E59</f>
        <v>0.16200000000000001</v>
      </c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K62"/>
      <c r="AL62"/>
      <c r="AM62"/>
      <c r="AN62"/>
      <c r="AO62"/>
      <c r="AP62"/>
      <c r="AQ62"/>
      <c r="AR62"/>
      <c r="AS62"/>
      <c r="AT62"/>
      <c r="AU62"/>
    </row>
    <row r="63" spans="1:47">
      <c r="A63" t="str">
        <f t="shared" si="5"/>
        <v>46082GTGSVS</v>
      </c>
      <c r="B63" s="177" t="s">
        <v>549</v>
      </c>
      <c r="C63" s="4" t="s">
        <v>482</v>
      </c>
      <c r="D63" s="204">
        <f>D48</f>
        <v>28.32</v>
      </c>
      <c r="E63" s="203">
        <f>E48</f>
        <v>0.31340000000000001</v>
      </c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K63"/>
      <c r="AL63"/>
      <c r="AM63"/>
      <c r="AN63"/>
      <c r="AO63"/>
      <c r="AP63"/>
      <c r="AQ63"/>
      <c r="AR63"/>
      <c r="AS63"/>
      <c r="AT63"/>
      <c r="AU63"/>
    </row>
    <row r="64" spans="1:47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K64"/>
      <c r="AL64"/>
      <c r="AM64"/>
      <c r="AN64"/>
      <c r="AO64"/>
      <c r="AP64"/>
      <c r="AQ64"/>
      <c r="AR64"/>
      <c r="AS64"/>
      <c r="AT64"/>
      <c r="AU64"/>
    </row>
    <row r="65" spans="4:5" customFormat="1">
      <c r="D65" s="162"/>
      <c r="E65" s="162"/>
    </row>
    <row r="66" spans="4:5" customFormat="1">
      <c r="D66" s="162"/>
      <c r="E66" s="162"/>
    </row>
    <row r="67" spans="4:5" customFormat="1">
      <c r="D67" s="162"/>
      <c r="E67" s="162"/>
    </row>
    <row r="68" spans="4:5" customFormat="1">
      <c r="D68" s="162"/>
      <c r="E68" s="162"/>
    </row>
    <row r="69" spans="4:5" customFormat="1">
      <c r="D69" s="162"/>
      <c r="E69" s="162"/>
    </row>
    <row r="70" spans="4:5" customFormat="1">
      <c r="D70" s="162"/>
      <c r="E70" s="162"/>
    </row>
    <row r="71" spans="4:5" customFormat="1">
      <c r="D71" s="162"/>
      <c r="E71" s="162"/>
    </row>
    <row r="72" spans="4:5" customFormat="1">
      <c r="D72" s="162"/>
      <c r="E72" s="162"/>
    </row>
    <row r="73" spans="4:5" customFormat="1">
      <c r="D73" s="162"/>
      <c r="E73" s="162"/>
    </row>
    <row r="74" spans="4:5" customFormat="1">
      <c r="D74" s="162"/>
      <c r="E74" s="162"/>
    </row>
    <row r="75" spans="4:5" customFormat="1">
      <c r="D75" s="162"/>
      <c r="E75" s="162"/>
    </row>
    <row r="76" spans="4:5" customFormat="1">
      <c r="D76" s="162"/>
      <c r="E76" s="162"/>
    </row>
    <row r="77" spans="4:5" customFormat="1">
      <c r="D77" s="162"/>
      <c r="E77" s="162"/>
    </row>
    <row r="78" spans="4:5" customFormat="1">
      <c r="D78" s="162"/>
      <c r="E78" s="162"/>
    </row>
    <row r="79" spans="4:5" customFormat="1">
      <c r="D79" s="162"/>
      <c r="E79" s="162"/>
    </row>
    <row r="80" spans="4:5" customFormat="1">
      <c r="D80" s="162"/>
      <c r="E80" s="162"/>
    </row>
    <row r="81" spans="4:5" customFormat="1">
      <c r="D81" s="162"/>
      <c r="E81" s="162"/>
    </row>
    <row r="82" spans="4:5" customFormat="1">
      <c r="D82" s="162"/>
      <c r="E82" s="162"/>
    </row>
    <row r="83" spans="4:5" customFormat="1">
      <c r="D83" s="162"/>
      <c r="E83" s="162"/>
    </row>
    <row r="84" spans="4:5" customFormat="1">
      <c r="D84" s="162"/>
      <c r="E84" s="162"/>
    </row>
    <row r="85" spans="4:5" customFormat="1">
      <c r="D85" s="162"/>
      <c r="E85" s="162"/>
    </row>
    <row r="86" spans="4:5" customFormat="1"/>
    <row r="87" spans="4:5" customFormat="1"/>
    <row r="88" spans="4:5" customFormat="1"/>
    <row r="89" spans="4:5" customFormat="1"/>
    <row r="90" spans="4:5" customFormat="1"/>
    <row r="91" spans="4:5" customFormat="1"/>
    <row r="92" spans="4:5" customFormat="1"/>
    <row r="93" spans="4:5" customFormat="1"/>
    <row r="94" spans="4:5" customFormat="1"/>
    <row r="95" spans="4:5" customFormat="1"/>
    <row r="96" spans="4:5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spans="12:21" customFormat="1"/>
    <row r="130" spans="12:21" customFormat="1">
      <c r="L130" s="4"/>
      <c r="M130" s="4"/>
      <c r="N130" s="4"/>
      <c r="O130" s="4"/>
      <c r="P130" s="4"/>
      <c r="Q130" s="4"/>
      <c r="R130" s="4"/>
      <c r="S130" s="4"/>
      <c r="T130" s="4"/>
      <c r="U130" s="4"/>
    </row>
  </sheetData>
  <mergeCells count="4">
    <mergeCell ref="O1:R1"/>
    <mergeCell ref="O2:S2"/>
    <mergeCell ref="C42:D42"/>
    <mergeCell ref="I7:J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>
    <tabColor rgb="FF92D050"/>
    <pageSetUpPr fitToPage="1"/>
  </sheetPr>
  <dimension ref="A1:BH256"/>
  <sheetViews>
    <sheetView tabSelected="1" topLeftCell="P4" zoomScale="80" zoomScaleNormal="80" zoomScaleSheetLayoutView="80" workbookViewId="0">
      <selection activeCell="V14" sqref="V14"/>
    </sheetView>
  </sheetViews>
  <sheetFormatPr defaultColWidth="9.140625" defaultRowHeight="15"/>
  <cols>
    <col min="1" max="1" width="13.42578125" style="4" customWidth="1"/>
    <col min="2" max="2" width="30.42578125" style="4" customWidth="1"/>
    <col min="3" max="3" width="12.85546875" style="4" customWidth="1"/>
    <col min="4" max="4" width="14.42578125" style="4" customWidth="1"/>
    <col min="5" max="6" width="12.85546875" style="4" customWidth="1"/>
    <col min="7" max="7" width="3.140625" customWidth="1"/>
    <col min="8" max="8" width="12.85546875" style="4" customWidth="1"/>
    <col min="9" max="9" width="14.42578125" style="4" bestFit="1" customWidth="1"/>
    <col min="10" max="11" width="12.85546875" style="4" customWidth="1"/>
    <col min="12" max="12" width="2.85546875" style="4" customWidth="1"/>
    <col min="13" max="13" width="15.5703125" style="4" customWidth="1"/>
    <col min="14" max="14" width="14.42578125" style="4" customWidth="1"/>
    <col min="15" max="16" width="12.85546875" style="4" customWidth="1"/>
    <col min="17" max="18" width="10.42578125" style="4" customWidth="1"/>
    <col min="19" max="19" width="4" style="81" bestFit="1" customWidth="1"/>
    <col min="20" max="20" width="14" customWidth="1"/>
    <col min="21" max="21" width="27.42578125" customWidth="1"/>
    <col min="22" max="22" width="15.85546875" customWidth="1"/>
    <col min="23" max="23" width="24.28515625" customWidth="1"/>
    <col min="24" max="24" width="25.5703125" bestFit="1" customWidth="1"/>
    <col min="25" max="25" width="16.85546875" customWidth="1"/>
    <col min="26" max="26" width="13.5703125" customWidth="1"/>
    <col min="27" max="27" width="14" customWidth="1"/>
    <col min="28" max="28" width="18.5703125" customWidth="1"/>
    <col min="29" max="29" width="14.140625" customWidth="1"/>
    <col min="30" max="30" width="11" customWidth="1"/>
    <col min="31" max="31" width="14.42578125" customWidth="1"/>
    <col min="32" max="32" width="12.42578125" customWidth="1"/>
    <col min="33" max="33" width="6.5703125" customWidth="1"/>
    <col min="34" max="35" width="14.42578125" customWidth="1"/>
    <col min="36" max="36" width="9.5703125" customWidth="1"/>
    <col min="37" max="37" width="1.5703125" customWidth="1"/>
    <col min="38" max="38" width="4" bestFit="1" customWidth="1"/>
    <col min="39" max="39" width="12.5703125" customWidth="1"/>
    <col min="40" max="41" width="12.42578125" bestFit="1" customWidth="1"/>
    <col min="42" max="42" width="2.5703125" customWidth="1"/>
    <col min="43" max="43" width="13.5703125" bestFit="1" customWidth="1"/>
    <col min="44" max="46" width="15.140625" customWidth="1"/>
    <col min="47" max="47" width="20.140625" bestFit="1" customWidth="1"/>
    <col min="48" max="48" width="15.5703125" customWidth="1"/>
    <col min="49" max="49" width="14.5703125" customWidth="1"/>
    <col min="50" max="50" width="13.5703125" customWidth="1"/>
    <col min="51" max="52" width="12.42578125" bestFit="1" customWidth="1"/>
    <col min="61" max="16384" width="9.140625" style="4"/>
  </cols>
  <sheetData>
    <row r="1" spans="1:60">
      <c r="B1" s="5">
        <v>1</v>
      </c>
      <c r="C1" s="5">
        <f t="shared" ref="C1:E2" si="0">B1+1</f>
        <v>2</v>
      </c>
      <c r="D1" s="5">
        <f t="shared" si="0"/>
        <v>3</v>
      </c>
      <c r="E1" s="5">
        <f t="shared" si="0"/>
        <v>4</v>
      </c>
      <c r="F1" s="5">
        <f t="shared" ref="F1:F2" si="1">E1+1</f>
        <v>5</v>
      </c>
      <c r="G1" s="5">
        <f t="shared" ref="G1:G2" si="2">F1+1</f>
        <v>6</v>
      </c>
      <c r="H1" s="5">
        <f t="shared" ref="H1:H2" si="3">G1+1</f>
        <v>7</v>
      </c>
      <c r="I1" s="5">
        <f t="shared" ref="I1:I2" si="4">H1+1</f>
        <v>8</v>
      </c>
      <c r="J1" s="5">
        <f t="shared" ref="J1:J2" si="5">I1+1</f>
        <v>9</v>
      </c>
      <c r="K1" s="5">
        <f t="shared" ref="K1:K2" si="6">J1+1</f>
        <v>10</v>
      </c>
      <c r="L1" s="5">
        <f t="shared" ref="L1:L2" si="7">K1+1</f>
        <v>11</v>
      </c>
      <c r="M1" s="5">
        <f t="shared" ref="M1:M2" si="8">L1+1</f>
        <v>12</v>
      </c>
      <c r="N1" s="5">
        <f t="shared" ref="N1:N2" si="9">M1+1</f>
        <v>13</v>
      </c>
      <c r="O1" s="5">
        <f t="shared" ref="O1:O2" si="10">N1+1</f>
        <v>14</v>
      </c>
      <c r="P1" s="5">
        <f t="shared" ref="P1:P2" si="11">O1+1</f>
        <v>15</v>
      </c>
      <c r="Q1" s="5">
        <f t="shared" ref="Q1:Q2" si="12">P1+1</f>
        <v>16</v>
      </c>
      <c r="R1" s="5">
        <f t="shared" ref="R1:R2" si="13">Q1+1</f>
        <v>17</v>
      </c>
      <c r="S1" s="5">
        <f t="shared" ref="S1:S2" si="14">R1+1</f>
        <v>18</v>
      </c>
    </row>
    <row r="2" spans="1:60" ht="15.75" thickBot="1">
      <c r="B2" s="5"/>
      <c r="C2" s="5">
        <v>6</v>
      </c>
      <c r="D2" s="5">
        <f>C2+1</f>
        <v>7</v>
      </c>
      <c r="E2" s="5">
        <f t="shared" si="0"/>
        <v>8</v>
      </c>
      <c r="F2" s="5">
        <f t="shared" si="1"/>
        <v>9</v>
      </c>
      <c r="G2" s="5">
        <f t="shared" si="2"/>
        <v>10</v>
      </c>
      <c r="H2" s="5">
        <f t="shared" si="3"/>
        <v>11</v>
      </c>
      <c r="I2" s="5">
        <f t="shared" si="4"/>
        <v>12</v>
      </c>
      <c r="J2" s="5">
        <f t="shared" si="5"/>
        <v>13</v>
      </c>
      <c r="K2" s="5">
        <f t="shared" si="6"/>
        <v>14</v>
      </c>
      <c r="L2" s="5">
        <f t="shared" si="7"/>
        <v>15</v>
      </c>
      <c r="M2" s="5">
        <f t="shared" si="8"/>
        <v>16</v>
      </c>
      <c r="N2" s="5">
        <f t="shared" si="9"/>
        <v>17</v>
      </c>
      <c r="O2" s="5">
        <f t="shared" si="10"/>
        <v>18</v>
      </c>
      <c r="P2" s="5">
        <f t="shared" si="11"/>
        <v>19</v>
      </c>
      <c r="Q2" s="5">
        <f t="shared" si="12"/>
        <v>20</v>
      </c>
      <c r="R2" s="5">
        <f t="shared" si="13"/>
        <v>21</v>
      </c>
      <c r="S2" s="5">
        <f t="shared" si="14"/>
        <v>22</v>
      </c>
    </row>
    <row r="3" spans="1:60" ht="12.75" customHeight="1" thickBot="1">
      <c r="B3" s="6"/>
      <c r="C3" s="735" t="s">
        <v>612</v>
      </c>
      <c r="D3" s="736"/>
      <c r="E3" s="736"/>
      <c r="F3" s="737"/>
      <c r="H3" s="738" t="s">
        <v>577</v>
      </c>
      <c r="I3" s="739"/>
      <c r="J3" s="739"/>
      <c r="K3" s="740"/>
      <c r="L3" s="7"/>
      <c r="M3" s="732" t="s">
        <v>578</v>
      </c>
      <c r="N3" s="733"/>
      <c r="O3" s="733"/>
      <c r="P3" s="734"/>
    </row>
    <row r="4" spans="1:60">
      <c r="C4" s="191"/>
      <c r="D4" s="192"/>
      <c r="E4" s="192"/>
      <c r="F4" s="193"/>
      <c r="H4" s="191"/>
      <c r="I4" s="192"/>
      <c r="J4" s="192"/>
      <c r="K4" s="193"/>
      <c r="L4" s="36"/>
      <c r="M4" s="191"/>
      <c r="N4" s="192"/>
      <c r="O4" s="192"/>
      <c r="P4" s="193"/>
      <c r="Q4" s="8"/>
      <c r="R4" s="8"/>
    </row>
    <row r="5" spans="1:60" ht="39">
      <c r="A5" s="8" t="s">
        <v>613</v>
      </c>
      <c r="B5" s="8" t="s">
        <v>555</v>
      </c>
      <c r="C5" s="106" t="s">
        <v>584</v>
      </c>
      <c r="D5" s="36" t="s">
        <v>614</v>
      </c>
      <c r="E5" s="36" t="s">
        <v>615</v>
      </c>
      <c r="F5" s="107" t="s">
        <v>616</v>
      </c>
      <c r="H5" s="106" t="s">
        <v>584</v>
      </c>
      <c r="I5" s="36" t="s">
        <v>614</v>
      </c>
      <c r="J5" s="36" t="s">
        <v>615</v>
      </c>
      <c r="K5" s="107" t="s">
        <v>617</v>
      </c>
      <c r="L5" s="36"/>
      <c r="M5" s="106" t="s">
        <v>584</v>
      </c>
      <c r="N5" s="36" t="s">
        <v>614</v>
      </c>
      <c r="O5" s="36" t="s">
        <v>615</v>
      </c>
      <c r="P5" s="107" t="s">
        <v>617</v>
      </c>
      <c r="Q5" s="36" t="s">
        <v>618</v>
      </c>
      <c r="R5" s="36" t="s">
        <v>619</v>
      </c>
    </row>
    <row r="6" spans="1:60">
      <c r="C6" s="105"/>
      <c r="D6" s="8"/>
      <c r="F6" s="108"/>
      <c r="H6" s="105"/>
      <c r="I6" s="8"/>
      <c r="K6" s="108"/>
      <c r="M6" s="105"/>
      <c r="N6" s="8"/>
      <c r="O6" s="9"/>
      <c r="P6" s="127"/>
    </row>
    <row r="7" spans="1:60" s="15" customFormat="1">
      <c r="B7" s="15" t="s">
        <v>563</v>
      </c>
      <c r="C7" s="109"/>
      <c r="F7" s="110"/>
      <c r="G7"/>
      <c r="H7" s="125"/>
      <c r="K7" s="110"/>
      <c r="M7" s="114"/>
      <c r="N7" s="84"/>
      <c r="O7" s="283"/>
      <c r="P7" s="128"/>
      <c r="S7" s="82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s="129"/>
      <c r="B8" s="4" t="s">
        <v>3</v>
      </c>
      <c r="C8" s="111">
        <f>SUM(C15:C16,C24)</f>
        <v>1878084</v>
      </c>
      <c r="D8" s="112">
        <f>SUM(D15:D16,D24)</f>
        <v>84422640</v>
      </c>
      <c r="E8" s="112">
        <f t="shared" ref="E8" si="15">SUM(E15:E16,E24)</f>
        <v>47259623.975999996</v>
      </c>
      <c r="F8" s="113">
        <f>E8</f>
        <v>47259623.975999996</v>
      </c>
      <c r="H8" s="111">
        <f>SUM(H15:H16,H24)</f>
        <v>1883853.2927822084</v>
      </c>
      <c r="I8" s="112">
        <f t="shared" ref="I8:J8" si="16">SUM(I15:I16,I24)</f>
        <v>83845183.570931241</v>
      </c>
      <c r="J8" s="112">
        <f t="shared" si="16"/>
        <v>47630968.966079876</v>
      </c>
      <c r="K8" s="113">
        <f>J8</f>
        <v>47630968.966079876</v>
      </c>
      <c r="L8" s="9"/>
      <c r="M8" s="111">
        <f t="shared" ref="M8:O8" si="17">SUM(M15:M16,M24)</f>
        <v>1883853.2927822084</v>
      </c>
      <c r="N8" s="112">
        <f t="shared" si="17"/>
        <v>83845183.570931241</v>
      </c>
      <c r="O8" s="112">
        <f t="shared" si="17"/>
        <v>54362762.591130532</v>
      </c>
      <c r="P8" s="113">
        <f>O8</f>
        <v>54362762.591130532</v>
      </c>
      <c r="Q8" s="248">
        <f t="shared" ref="Q8:Q11" si="18">IFERROR(O8/N8,0)</f>
        <v>0.6483707265682207</v>
      </c>
      <c r="R8" s="248">
        <f t="shared" ref="R8:R11" si="19">IFERROR(P8/N8,0)</f>
        <v>0.6483707265682207</v>
      </c>
      <c r="U8" s="139" t="s">
        <v>926</v>
      </c>
      <c r="V8" s="729">
        <f>SUM(O15:O26)</f>
        <v>71510560.109090656</v>
      </c>
      <c r="X8" s="139" t="s">
        <v>927</v>
      </c>
      <c r="Y8" s="729">
        <f>SUM(O27:O29)</f>
        <v>5883554.6940000001</v>
      </c>
    </row>
    <row r="9" spans="1:60">
      <c r="A9" s="129"/>
      <c r="B9" s="4" t="s">
        <v>4</v>
      </c>
      <c r="C9" s="111">
        <f>+SUM(C17:C19,C23,C25)</f>
        <v>158883</v>
      </c>
      <c r="D9" s="112">
        <f>+SUM(D17:D19,D23,D25)</f>
        <v>39557016</v>
      </c>
      <c r="E9" s="112">
        <f t="shared" ref="E9" si="20">+SUM(E17:E19,E23,E25)</f>
        <v>14422189.7973</v>
      </c>
      <c r="F9" s="113">
        <f t="shared" ref="F9:F10" si="21">E9</f>
        <v>14422189.7973</v>
      </c>
      <c r="H9" s="111">
        <f>+SUM(H17:H19,H23,H25)</f>
        <v>159218.40811471199</v>
      </c>
      <c r="I9" s="112">
        <f t="shared" ref="I9:J9" si="22">+SUM(I17:I19,I23,I25)</f>
        <v>39416903.669418596</v>
      </c>
      <c r="J9" s="112">
        <f t="shared" si="22"/>
        <v>14389762.907030964</v>
      </c>
      <c r="K9" s="113">
        <f>J9</f>
        <v>14389762.907030964</v>
      </c>
      <c r="L9" s="9"/>
      <c r="M9" s="111">
        <f>+SUM(M17:M19,M23,M25)</f>
        <v>159201.40811471199</v>
      </c>
      <c r="N9" s="112">
        <f t="shared" ref="N9:O9" si="23">+SUM(N17:N19,N23,N25)</f>
        <v>36221648.273520097</v>
      </c>
      <c r="O9" s="112">
        <f t="shared" si="23"/>
        <v>15860448.446729843</v>
      </c>
      <c r="P9" s="113">
        <f>O9</f>
        <v>15860448.446729843</v>
      </c>
      <c r="Q9" s="248">
        <f t="shared" si="18"/>
        <v>0.43787207934224937</v>
      </c>
      <c r="R9" s="248">
        <f t="shared" si="19"/>
        <v>0.43787207934224937</v>
      </c>
      <c r="U9" s="139"/>
      <c r="V9" s="139"/>
      <c r="X9" s="139" t="s">
        <v>928</v>
      </c>
      <c r="Y9" s="730">
        <f>'[1]Rev-Gas Summary'!$C$14</f>
        <v>6779086.6299999999</v>
      </c>
    </row>
    <row r="10" spans="1:60" ht="32.25" customHeight="1">
      <c r="A10" s="129"/>
      <c r="B10" s="4" t="s">
        <v>5</v>
      </c>
      <c r="C10" s="111">
        <f>SUM(C20:C22,C26:C30)</f>
        <v>927</v>
      </c>
      <c r="D10" s="112">
        <f>SUM(D20:D22,D26:D30)</f>
        <v>39440231</v>
      </c>
      <c r="E10" s="112">
        <f>SUM(E20:E22,E26:E30)</f>
        <v>5651914.9693999998</v>
      </c>
      <c r="F10" s="113">
        <f t="shared" si="21"/>
        <v>5651914.9693999998</v>
      </c>
      <c r="H10" s="111">
        <f>SUM(H20:H22,H26:H30)</f>
        <v>933.50925925925924</v>
      </c>
      <c r="I10" s="112">
        <f>SUM(I20:I22,I26:I30)</f>
        <v>39393107.28670726</v>
      </c>
      <c r="J10" s="112">
        <f>SUM(J20:J22,J26:J30)</f>
        <v>5645219.6361080408</v>
      </c>
      <c r="K10" s="113">
        <f>J10</f>
        <v>5645219.6361080408</v>
      </c>
      <c r="L10" s="9"/>
      <c r="M10" s="111">
        <f>SUM(M20:M22,M26:M30)</f>
        <v>950.50925925925924</v>
      </c>
      <c r="N10" s="112">
        <f>SUM(N20:N22,N26:N30)</f>
        <v>42588362.682605758</v>
      </c>
      <c r="O10" s="112">
        <f>SUM(O20:O22,O26:O30)</f>
        <v>7170903.7652302813</v>
      </c>
      <c r="P10" s="113">
        <f>SUM(P20:P22,P26:P30)</f>
        <v>7170903.7652302813</v>
      </c>
      <c r="Q10" s="248">
        <f t="shared" si="18"/>
        <v>0.1683770709541523</v>
      </c>
      <c r="R10" s="248">
        <f t="shared" si="19"/>
        <v>0.1683770709541523</v>
      </c>
      <c r="U10" s="137" t="s">
        <v>389</v>
      </c>
      <c r="V10" s="730">
        <f>'[2]A3-06'!$C$10</f>
        <v>56939230</v>
      </c>
      <c r="X10" s="139" t="s">
        <v>929</v>
      </c>
      <c r="Y10" s="730">
        <f>'[1]Rev-Gas Summary'!$E$14</f>
        <v>-824366.36</v>
      </c>
    </row>
    <row r="11" spans="1:60">
      <c r="A11" s="7"/>
      <c r="B11" s="73" t="s">
        <v>620</v>
      </c>
      <c r="C11" s="111">
        <f>SUM(C8:C10)</f>
        <v>2037894</v>
      </c>
      <c r="D11" s="84">
        <f>SUM(D8:D10)+D31</f>
        <v>163383766</v>
      </c>
      <c r="E11" s="84">
        <f>SUM(E8:E10)+E31</f>
        <v>67397027.522977486</v>
      </c>
      <c r="F11" s="115">
        <f>SUM(E11:E11)</f>
        <v>67397027.522977486</v>
      </c>
      <c r="H11" s="114">
        <f>SUM(H8:H10)</f>
        <v>2044005.2101561797</v>
      </c>
      <c r="I11" s="84">
        <f>SUM(I8:I10)</f>
        <v>162655194.52705708</v>
      </c>
      <c r="J11" s="84">
        <f>SUM(J8:J10)</f>
        <v>67665951.509218872</v>
      </c>
      <c r="K11" s="115">
        <f>SUM(K8:K10)</f>
        <v>67665951.509218872</v>
      </c>
      <c r="L11" s="74"/>
      <c r="M11" s="114">
        <f>SUM(M8:M10)</f>
        <v>2044005.2101561797</v>
      </c>
      <c r="N11" s="84">
        <f>SUM(N8:N10)</f>
        <v>162655194.52705711</v>
      </c>
      <c r="O11" s="84">
        <f>SUM(O8:O10)</f>
        <v>77394114.803090662</v>
      </c>
      <c r="P11" s="115">
        <f t="shared" ref="P11" si="24">SUM(O11:O11)</f>
        <v>77394114.803090662</v>
      </c>
      <c r="Q11" s="249">
        <f t="shared" si="18"/>
        <v>0.47581704985275725</v>
      </c>
      <c r="R11" s="249">
        <f t="shared" si="19"/>
        <v>0.47581704985275725</v>
      </c>
      <c r="U11" s="139" t="s">
        <v>922</v>
      </c>
      <c r="V11" s="730">
        <f>'[2]A3-06'!$F$10</f>
        <v>2264574.7000000002</v>
      </c>
      <c r="X11" s="139" t="s">
        <v>925</v>
      </c>
      <c r="Y11" s="731">
        <f>Y8-SUM(Y9:Y10)</f>
        <v>-71165.575999999419</v>
      </c>
    </row>
    <row r="12" spans="1:60" s="15" customFormat="1">
      <c r="A12" s="7"/>
      <c r="B12" s="73" t="s">
        <v>6</v>
      </c>
      <c r="C12" s="114"/>
      <c r="D12" s="116">
        <f>SUM('[3]Total Sales'!$AU$244:$AU$255)-(D11)+SUM(D26:D30)</f>
        <v>0</v>
      </c>
      <c r="E12" s="116">
        <f>E11-[4]Summary!$G$226-E31</f>
        <v>-5.8353180065751076E-9</v>
      </c>
      <c r="F12" s="113"/>
      <c r="G12"/>
      <c r="H12" s="114"/>
      <c r="I12" s="116">
        <f>I11-[4]Summary!$F$212</f>
        <v>0</v>
      </c>
      <c r="J12" s="116">
        <f>J11-[4]Summary!$M$226</f>
        <v>0</v>
      </c>
      <c r="K12" s="117">
        <f>K11-[4]Summary!$M$226</f>
        <v>0</v>
      </c>
      <c r="L12" s="14"/>
      <c r="M12" s="111"/>
      <c r="N12" s="116">
        <f>N11-I11</f>
        <v>0</v>
      </c>
      <c r="O12" s="112"/>
      <c r="P12" s="115"/>
      <c r="Q12" s="249"/>
      <c r="R12" s="249"/>
      <c r="S12" s="82"/>
      <c r="U12" s="139" t="s">
        <v>923</v>
      </c>
      <c r="V12" s="730">
        <f>'[2]A3-06'!$G$10</f>
        <v>339852.2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</row>
    <row r="13" spans="1:60" s="15" customFormat="1" ht="29.25" customHeight="1">
      <c r="A13" s="4"/>
      <c r="B13" s="4"/>
      <c r="C13" s="111"/>
      <c r="D13" s="12"/>
      <c r="E13" s="4"/>
      <c r="F13" s="108"/>
      <c r="G13"/>
      <c r="H13" s="200"/>
      <c r="I13" s="4"/>
      <c r="J13" s="12"/>
      <c r="K13" s="148"/>
      <c r="L13" s="4"/>
      <c r="M13" s="111"/>
      <c r="N13" s="4"/>
      <c r="O13" s="112"/>
      <c r="P13" s="113"/>
      <c r="Q13" s="248"/>
      <c r="R13" s="248"/>
      <c r="S13" s="82"/>
      <c r="U13" s="137" t="s">
        <v>924</v>
      </c>
      <c r="V13" s="730">
        <v>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B14" s="15" t="s">
        <v>621</v>
      </c>
      <c r="C14" s="111"/>
      <c r="F14" s="108"/>
      <c r="H14" s="126"/>
      <c r="J14" s="124"/>
      <c r="K14" s="148"/>
      <c r="M14" s="202"/>
      <c r="O14" s="112"/>
      <c r="P14" s="113"/>
      <c r="Q14" s="248"/>
      <c r="R14" s="248"/>
      <c r="U14" s="139"/>
      <c r="V14" s="139"/>
    </row>
    <row r="15" spans="1:60">
      <c r="A15"/>
      <c r="B15" s="180" t="s">
        <v>516</v>
      </c>
      <c r="C15" s="118">
        <f>VLOOKUP($B15&amp;" "&amp;C$5,'Revenue Proof Breakout'!$L$1:$Y$108,MATCH("TY Billing Determinants",'Revenue Proof Breakout'!$L$1:$Y$1,0),0)</f>
        <v>1804456</v>
      </c>
      <c r="D15" s="119">
        <f>VLOOKUP($B15&amp;" "&amp;D$5,'Revenue Proof Breakout'!$L$1:$Y$108,MATCH("TY Billing Determinants",'Revenue Proof Breakout'!$L$1:$Y$1,0),0)</f>
        <v>81711283</v>
      </c>
      <c r="E15" s="119">
        <f>VLOOKUP($B15&amp;" "&amp;E$5,'Revenue Proof Breakout'!$L$1:$Y$835,MATCH("TY Revenues",'Revenue Proof Breakout'!$L$1:$Y$1,0),0)</f>
        <v>46104214.582199998</v>
      </c>
      <c r="F15" s="120">
        <f t="shared" ref="F15:F28" si="25">SUM(E15:E15)</f>
        <v>46104214.582199998</v>
      </c>
      <c r="H15" s="118">
        <f>VLOOKUP($B15&amp;" "&amp;H$5,'Revenue Proof Breakout'!$L$1:$Y$835,MATCH("Adjusted Billing Determinants",'Revenue Proof Breakout'!$L$1:$Y$1,0),0)</f>
        <v>1814143.5973801531</v>
      </c>
      <c r="I15" s="119">
        <f>VLOOKUP($B15&amp;" "&amp;I$5,'Revenue Proof Breakout'!$L$1:$Y$999,MATCH("Adjusted Billing Determinants",'Revenue Proof Breakout'!$L$1:$Y$1,0),0)</f>
        <v>81350019.188227594</v>
      </c>
      <c r="J15" s="119">
        <f>VLOOKUP($B15&amp;" "&amp;J$5,'Revenue Proof Breakout'!$L$1:$Y$835,MATCH("Adjusted TY Revenues",'Revenue Proof Breakout'!$L$1:$Y$1,0),0)</f>
        <v>46077032.563038886</v>
      </c>
      <c r="K15" s="120">
        <f t="shared" ref="K15:K28" si="26">SUM(J15:J15)</f>
        <v>46077032.563038886</v>
      </c>
      <c r="L15" s="13"/>
      <c r="M15" s="118">
        <f>VLOOKUP($B15&amp;" "&amp;M$5,'Revenue Proof Breakout'!$L$1:$Y$835,MATCH("Proposed Billing Determinants",'Revenue Proof Breakout'!$L$1:$Y$1,0),0)</f>
        <v>1814167.5973801531</v>
      </c>
      <c r="N15" s="119">
        <f>VLOOKUP($B15&amp;" "&amp;N$5,'Revenue Proof Breakout'!$L$1:$Y$108,MATCH("Proposed Billing Determinants",'Revenue Proof Breakout'!$L$1:$Y$1,0),0)</f>
        <v>81350796.845077872</v>
      </c>
      <c r="O15" s="119">
        <f>VLOOKUP($B15&amp;" "&amp;O$5,'Revenue Proof Breakout'!$L$1:$Y$835,MATCH("Proposed Revenues",'Revenue Proof Breakout'!$L$1:$Y$1,0),0)</f>
        <v>52582598.993533127</v>
      </c>
      <c r="P15" s="120">
        <f t="shared" ref="P15:P28" si="27">SUM(O15:O15)</f>
        <v>52582598.993533127</v>
      </c>
      <c r="Q15" s="248">
        <f t="shared" ref="Q15:Q24" si="28">IFERROR(O15/N15,0)</f>
        <v>0.64636857944575421</v>
      </c>
      <c r="R15" s="248">
        <f t="shared" ref="R15:R24" si="29">IFERROR(P15/N15,0)</f>
        <v>0.64636857944575421</v>
      </c>
      <c r="U15" s="139" t="s">
        <v>925</v>
      </c>
      <c r="V15" s="731">
        <f>V8-SUM(V10:V13)</f>
        <v>11966903.20909065</v>
      </c>
    </row>
    <row r="16" spans="1:60">
      <c r="A16"/>
      <c r="B16" s="180" t="s">
        <v>518</v>
      </c>
      <c r="C16" s="118">
        <f>VLOOKUP($B16&amp;" "&amp;C$5,'Revenue Proof Breakout'!$L$1:$Y$108,MATCH("TY Billing Determinants",'Revenue Proof Breakout'!$L$1:$Y$1,0),0)</f>
        <v>73604</v>
      </c>
      <c r="D16" s="119">
        <f>VLOOKUP($B16&amp;" "&amp;D$5,'Revenue Proof Breakout'!$L$1:$Y$108,MATCH("TY Billing Determinants",'Revenue Proof Breakout'!$L$1:$Y$1,0),0)</f>
        <v>2710566</v>
      </c>
      <c r="E16" s="119">
        <f>VLOOKUP($B16&amp;" "&amp;E$5,'Revenue Proof Breakout'!$L$1:$Y$835,MATCH("TY Revenues",'Revenue Proof Breakout'!$L$1:$Y$1,0),0)</f>
        <v>1154897.7643999998</v>
      </c>
      <c r="F16" s="120">
        <f t="shared" si="25"/>
        <v>1154897.7643999998</v>
      </c>
      <c r="H16" s="118">
        <f>VLOOKUP($B16&amp;" "&amp;H$5,'Revenue Proof Breakout'!$L$1:$Y$835,MATCH("Adjusted Billing Determinants",'Revenue Proof Breakout'!$L$1:$Y$1,0),0)</f>
        <v>69685.695402055382</v>
      </c>
      <c r="I16" s="119">
        <f>VLOOKUP($B16&amp;" "&amp;I$5,'Revenue Proof Breakout'!$L$1:$Y$999,MATCH("Adjusted Billing Determinants",'Revenue Proof Breakout'!$L$1:$Y$1,0),0)</f>
        <v>2494386.7258533677</v>
      </c>
      <c r="J16" s="119">
        <f>VLOOKUP($B16&amp;" "&amp;J$5,'Revenue Proof Breakout'!$L$1:$Y$835,MATCH("Adjusted TY Revenues",'Revenue Proof Breakout'!$L$1:$Y$1,0),0)</f>
        <v>1553429.3556786003</v>
      </c>
      <c r="K16" s="120">
        <f t="shared" si="26"/>
        <v>1553429.3556786003</v>
      </c>
      <c r="L16" s="13"/>
      <c r="M16" s="118">
        <f>VLOOKUP($B16&amp;" "&amp;M$5,'Revenue Proof Breakout'!$L$1:$Y$835,MATCH("Proposed Billing Determinants",'Revenue Proof Breakout'!$L$1:$Y$1,0),0)</f>
        <v>69685.695402055382</v>
      </c>
      <c r="N16" s="119">
        <f>VLOOKUP($B16&amp;" "&amp;N$5,'Revenue Proof Breakout'!$L$1:$Y$108,MATCH("Proposed Billing Determinants",'Revenue Proof Breakout'!$L$1:$Y$1,0),0)</f>
        <v>2494386.7258533677</v>
      </c>
      <c r="O16" s="119">
        <f>VLOOKUP($B16&amp;" "&amp;O$5,'Revenue Proof Breakout'!$L$1:$Y$835,MATCH("Proposed Revenues",'Revenue Proof Breakout'!$L$1:$Y$1,0),0)</f>
        <v>1780163.5975974062</v>
      </c>
      <c r="P16" s="120">
        <f t="shared" si="27"/>
        <v>1780163.5975974062</v>
      </c>
      <c r="Q16" s="248">
        <f t="shared" si="28"/>
        <v>0.71366784434293573</v>
      </c>
      <c r="R16" s="248">
        <f t="shared" si="29"/>
        <v>0.71366784434293573</v>
      </c>
    </row>
    <row r="17" spans="1:19">
      <c r="A17" s="742"/>
      <c r="B17" s="180" t="s">
        <v>521</v>
      </c>
      <c r="C17" s="118">
        <f>VLOOKUP($B17&amp;" "&amp;C$5,'Revenue Proof Breakout'!$L$1:$Y$108,MATCH("TY Billing Determinants",'Revenue Proof Breakout'!$L$1:$Y$1,0),0)</f>
        <v>146178</v>
      </c>
      <c r="D17" s="119">
        <f>VLOOKUP($B17&amp;" "&amp;D$5,'Revenue Proof Breakout'!$L$1:$Y$108,MATCH("TY Billing Determinants",'Revenue Proof Breakout'!$L$1:$Y$1,0),0)</f>
        <v>33936462</v>
      </c>
      <c r="E17" s="119">
        <f>VLOOKUP($B17&amp;" "&amp;E$5,'Revenue Proof Breakout'!$L$1:$Y$835,MATCH("TY Revenues",'Revenue Proof Breakout'!$L$1:$Y$1,0),0)</f>
        <v>12551334.269400001</v>
      </c>
      <c r="F17" s="120">
        <f t="shared" si="25"/>
        <v>12551334.269400001</v>
      </c>
      <c r="H17" s="118">
        <f>VLOOKUP($B17&amp;" "&amp;H$5,'Revenue Proof Breakout'!$L$1:$Y$835,MATCH("Adjusted Billing Determinants",'Revenue Proof Breakout'!$L$1:$Y$1,0),0)</f>
        <v>146536.54071046272</v>
      </c>
      <c r="I17" s="119">
        <f>VLOOKUP($B17&amp;" "&amp;I$5,'Revenue Proof Breakout'!$L$1:$Y$999,MATCH("Adjusted Billing Determinants",'Revenue Proof Breakout'!$L$1:$Y$1,0),0)</f>
        <v>33757920.187754832</v>
      </c>
      <c r="J17" s="119">
        <f>VLOOKUP($B17&amp;" "&amp;J$5,'Revenue Proof Breakout'!$L$1:$Y$835,MATCH("Adjusted TY Revenues",'Revenue Proof Breakout'!$L$1:$Y$1,0),0)</f>
        <v>12507852.7714753</v>
      </c>
      <c r="K17" s="120">
        <f t="shared" si="26"/>
        <v>12507852.7714753</v>
      </c>
      <c r="L17" s="13"/>
      <c r="M17" s="118">
        <f>VLOOKUP($B17&amp;" "&amp;M$5,'Revenue Proof Breakout'!$L$1:$Y$835,MATCH("Proposed Billing Determinants",'Revenue Proof Breakout'!$L$1:$Y$1,0),0)</f>
        <v>159201.40811471199</v>
      </c>
      <c r="N17" s="119">
        <f>VLOOKUP($B17&amp;" "&amp;N$5,'Revenue Proof Breakout'!$L$1:$Y$108,MATCH("Proposed Billing Determinants",'Revenue Proof Breakout'!$L$1:$Y$1,0),0)</f>
        <v>36221648.273520097</v>
      </c>
      <c r="O17" s="119">
        <f>VLOOKUP($B17&amp;" "&amp;O$5,'Revenue Proof Breakout'!$L$1:$Y$835,MATCH("Proposed Revenues",'Revenue Proof Breakout'!$L$1:$Y$1,0),0)</f>
        <v>15860448.446729843</v>
      </c>
      <c r="P17" s="120">
        <f t="shared" si="27"/>
        <v>15860448.446729843</v>
      </c>
      <c r="Q17" s="248">
        <f t="shared" si="28"/>
        <v>0.43787207934224937</v>
      </c>
      <c r="R17" s="248">
        <f t="shared" si="29"/>
        <v>0.43787207934224937</v>
      </c>
    </row>
    <row r="18" spans="1:19">
      <c r="A18" s="742"/>
      <c r="B18" s="180" t="s">
        <v>536</v>
      </c>
      <c r="C18" s="118">
        <f>VLOOKUP($B18&amp;" "&amp;C$5,'Revenue Proof Breakout'!$L$1:$Y$108,MATCH("TY Billing Determinants",'Revenue Proof Breakout'!$L$1:$Y$1,0),0)</f>
        <v>267</v>
      </c>
      <c r="D18" s="119">
        <f>VLOOKUP($B18&amp;" "&amp;D$5,'Revenue Proof Breakout'!$L$1:$Y$108,MATCH("TY Billing Determinants",'Revenue Proof Breakout'!$L$1:$Y$1,0),0)</f>
        <v>883556</v>
      </c>
      <c r="E18" s="119">
        <f>VLOOKUP($B18&amp;" "&amp;E$5,'Revenue Proof Breakout'!$L$1:$Y$835,MATCH("TY Revenues",'Revenue Proof Breakout'!$L$1:$Y$1,0),0)</f>
        <v>275796.49160000001</v>
      </c>
      <c r="F18" s="120">
        <f t="shared" si="25"/>
        <v>275796.49160000001</v>
      </c>
      <c r="H18" s="118">
        <f>VLOOKUP($B18&amp;" "&amp;H$5,'Revenue Proof Breakout'!$L$1:$Y$835,MATCH("Adjusted Billing Determinants",'Revenue Proof Breakout'!$L$1:$Y$1,0),0)</f>
        <v>277.10433201058197</v>
      </c>
      <c r="I18" s="119">
        <f>VLOOKUP($B18&amp;" "&amp;I$5,'Revenue Proof Breakout'!$L$1:$Y$999,MATCH("Adjusted Billing Determinants",'Revenue Proof Breakout'!$L$1:$Y$1,0),0)</f>
        <v>914226.08786027285</v>
      </c>
      <c r="J18" s="119">
        <f>VLOOKUP($B18&amp;" "&amp;J$5,'Revenue Proof Breakout'!$L$1:$Y$835,MATCH("Adjusted TY Revenues",'Revenue Proof Breakout'!$L$1:$Y$1,0),0)</f>
        <v>285386.69213424117</v>
      </c>
      <c r="K18" s="120">
        <f t="shared" si="26"/>
        <v>285386.69213424117</v>
      </c>
      <c r="L18" s="13"/>
      <c r="M18" s="118">
        <f>VLOOKUP($B18&amp;" "&amp;M$5,'Revenue Proof Breakout'!$L$1:$Y$835,MATCH("Proposed Billing Determinants",'Revenue Proof Breakout'!$L$1:$Y$1,0),0)</f>
        <v>0</v>
      </c>
      <c r="N18" s="119">
        <f>VLOOKUP($B18&amp;" "&amp;N$5,'Revenue Proof Breakout'!$L$1:$Y$108,MATCH("Proposed Billing Determinants",'Revenue Proof Breakout'!$L$1:$Y$1,0),0)</f>
        <v>0</v>
      </c>
      <c r="O18" s="119">
        <f>VLOOKUP($B18&amp;" "&amp;O$5,'Revenue Proof Breakout'!$L$1:$Y$835,MATCH("Proposed Revenues",'Revenue Proof Breakout'!$L$1:$Y$1,0),0)</f>
        <v>0</v>
      </c>
      <c r="P18" s="120">
        <f t="shared" si="27"/>
        <v>0</v>
      </c>
      <c r="Q18" s="248">
        <f t="shared" si="28"/>
        <v>0</v>
      </c>
      <c r="R18" s="248">
        <f t="shared" si="29"/>
        <v>0</v>
      </c>
    </row>
    <row r="19" spans="1:19">
      <c r="A19" s="742"/>
      <c r="B19" s="180" t="s">
        <v>537</v>
      </c>
      <c r="C19" s="118">
        <f>VLOOKUP($B19&amp;" "&amp;C$5,'Revenue Proof Breakout'!$L$1:$Y$108,MATCH("TY Billing Determinants",'Revenue Proof Breakout'!$L$1:$Y$1,0),0)</f>
        <v>12355</v>
      </c>
      <c r="D19" s="119">
        <f>VLOOKUP($B19&amp;" "&amp;D$5,'Revenue Proof Breakout'!$L$1:$Y$108,MATCH("TY Billing Determinants",'Revenue Proof Breakout'!$L$1:$Y$1,0),0)</f>
        <v>4729503</v>
      </c>
      <c r="E19" s="119">
        <f>VLOOKUP($B19&amp;" "&amp;E$5,'Revenue Proof Breakout'!$L$1:$Y$835,MATCH("TY Revenues",'Revenue Proof Breakout'!$L$1:$Y$1,0),0)</f>
        <v>1590751.8023000001</v>
      </c>
      <c r="F19" s="120">
        <f t="shared" si="25"/>
        <v>1590751.8023000001</v>
      </c>
      <c r="H19" s="118">
        <f>VLOOKUP($B19&amp;" "&amp;H$5,'Revenue Proof Breakout'!$L$1:$Y$835,MATCH("Adjusted Billing Determinants",'Revenue Proof Breakout'!$L$1:$Y$1,0),0)</f>
        <v>12321.763072238684</v>
      </c>
      <c r="I19" s="119">
        <f>VLOOKUP($B19&amp;" "&amp;I$5,'Revenue Proof Breakout'!$L$1:$Y$999,MATCH("Adjusted Billing Determinants",'Revenue Proof Breakout'!$L$1:$Y$1,0),0)</f>
        <v>4738352.0913855983</v>
      </c>
      <c r="J19" s="119">
        <f>VLOOKUP($B19&amp;" "&amp;J$5,'Revenue Proof Breakout'!$L$1:$Y$835,MATCH("Adjusted TY Revenues",'Revenue Proof Breakout'!$L$1:$Y$1,0),0)</f>
        <v>1592601.0906074224</v>
      </c>
      <c r="K19" s="120">
        <f t="shared" si="26"/>
        <v>1592601.0906074224</v>
      </c>
      <c r="L19" s="13"/>
      <c r="M19" s="118">
        <f>VLOOKUP($B19&amp;" "&amp;M$5,'Revenue Proof Breakout'!$L$1:$Y$835,MATCH("Proposed Billing Determinants",'Revenue Proof Breakout'!$L$1:$Y$1,0),0)</f>
        <v>0</v>
      </c>
      <c r="N19" s="119">
        <f>VLOOKUP($B19&amp;" "&amp;N$5,'Revenue Proof Breakout'!$L$1:$Y$108,MATCH("Proposed Billing Determinants",'Revenue Proof Breakout'!$L$1:$Y$1,0),0)</f>
        <v>0</v>
      </c>
      <c r="O19" s="119">
        <f>VLOOKUP($B19&amp;" "&amp;O$5,'Revenue Proof Breakout'!$L$1:$Y$835,MATCH("Proposed Revenues",'Revenue Proof Breakout'!$L$1:$Y$1,0),0)</f>
        <v>0</v>
      </c>
      <c r="P19" s="120">
        <f t="shared" si="27"/>
        <v>0</v>
      </c>
      <c r="Q19" s="248">
        <f t="shared" si="28"/>
        <v>0</v>
      </c>
      <c r="R19" s="248">
        <f t="shared" si="29"/>
        <v>0</v>
      </c>
    </row>
    <row r="20" spans="1:19">
      <c r="A20" s="742"/>
      <c r="B20" s="180" t="s">
        <v>535</v>
      </c>
      <c r="C20" s="118">
        <f>VLOOKUP($B20&amp;" "&amp;C$5,'Revenue Proof Breakout'!$L$1:$Y$108,MATCH("TY Billing Determinants",'Revenue Proof Breakout'!$L$1:$Y$1,0),0)</f>
        <v>314</v>
      </c>
      <c r="D20" s="119">
        <f>VLOOKUP($B20&amp;" "&amp;D$5,'Revenue Proof Breakout'!$L$1:$Y$108,MATCH("TY Billing Determinants",'Revenue Proof Breakout'!$L$1:$Y$1,0),0)</f>
        <v>1168672</v>
      </c>
      <c r="E20" s="119">
        <f>VLOOKUP($B20&amp;" "&amp;E$5,'Revenue Proof Breakout'!$L$1:$Y$835,MATCH("TY Revenues",'Revenue Proof Breakout'!$L$1:$Y$1,0),0)</f>
        <v>316538.58880000003</v>
      </c>
      <c r="F20" s="120">
        <f t="shared" si="25"/>
        <v>316538.58880000003</v>
      </c>
      <c r="H20" s="118">
        <f>VLOOKUP($B20&amp;" "&amp;H$5,'Revenue Proof Breakout'!$L$1:$Y$835,MATCH("Adjusted Billing Determinants",'Revenue Proof Breakout'!$L$1:$Y$1,0),0)</f>
        <v>319.42592592592592</v>
      </c>
      <c r="I20" s="119">
        <f>VLOOKUP($B20&amp;" "&amp;I$5,'Revenue Proof Breakout'!$L$1:$Y$999,MATCH("Adjusted Billing Determinants",'Revenue Proof Breakout'!$L$1:$Y$1,0),0)</f>
        <v>1149625.046884174</v>
      </c>
      <c r="J20" s="119">
        <f>VLOOKUP($B20&amp;" "&amp;J$5,'Revenue Proof Breakout'!$L$1:$Y$835,MATCH("Adjusted TY Revenues",'Revenue Proof Breakout'!$L$1:$Y$1,0),0)</f>
        <v>313751.94319776352</v>
      </c>
      <c r="K20" s="120">
        <f t="shared" si="26"/>
        <v>313751.94319776352</v>
      </c>
      <c r="L20" s="13"/>
      <c r="M20" s="118">
        <f>VLOOKUP($B20&amp;" "&amp;M$5,'Revenue Proof Breakout'!$L$1:$Y$835,MATCH("Proposed Billing Determinants",'Revenue Proof Breakout'!$L$1:$Y$1,0),0)</f>
        <v>0</v>
      </c>
      <c r="N20" s="119">
        <f>VLOOKUP($B20&amp;" "&amp;N$5,'Revenue Proof Breakout'!$L$1:$Y$108,MATCH("Proposed Billing Determinants",'Revenue Proof Breakout'!$L$1:$Y$1,0),0)</f>
        <v>0</v>
      </c>
      <c r="O20" s="119">
        <f>VLOOKUP($B20&amp;" "&amp;O$5,'Revenue Proof Breakout'!$L$1:$Y$835,MATCH("Proposed Revenues",'Revenue Proof Breakout'!$L$1:$Y$1,0),0)</f>
        <v>0</v>
      </c>
      <c r="P20" s="120">
        <f t="shared" si="27"/>
        <v>0</v>
      </c>
      <c r="Q20" s="248">
        <f t="shared" si="28"/>
        <v>0</v>
      </c>
      <c r="R20" s="248">
        <f t="shared" si="29"/>
        <v>0</v>
      </c>
    </row>
    <row r="21" spans="1:19">
      <c r="A21" s="742"/>
      <c r="B21" s="180" t="s">
        <v>522</v>
      </c>
      <c r="C21" s="118">
        <f>VLOOKUP($B21&amp;" "&amp;C$5,'Revenue Proof Breakout'!$L$1:$Y$108,MATCH("TY Billing Determinants",'Revenue Proof Breakout'!$L$1:$Y$1,0),0)</f>
        <v>86</v>
      </c>
      <c r="D21" s="119">
        <f>VLOOKUP($B21&amp;" "&amp;D$5,'Revenue Proof Breakout'!$L$1:$Y$108,MATCH("TY Billing Determinants",'Revenue Proof Breakout'!$L$1:$Y$1,0),0)</f>
        <v>1699928</v>
      </c>
      <c r="E21" s="119">
        <f>VLOOKUP($B21&amp;" "&amp;E$5,'Revenue Proof Breakout'!$L$1:$Y$835,MATCH("TY Revenues",'Revenue Proof Breakout'!$L$1:$Y$1,0),0)</f>
        <v>231501.01439999999</v>
      </c>
      <c r="F21" s="120">
        <f t="shared" si="25"/>
        <v>231501.01439999999</v>
      </c>
      <c r="H21" s="118">
        <f>VLOOKUP($B21&amp;" "&amp;H$5,'Revenue Proof Breakout'!$L$1:$Y$835,MATCH("Adjusted Billing Determinants",'Revenue Proof Breakout'!$L$1:$Y$1,0),0)</f>
        <v>87.083333333333329</v>
      </c>
      <c r="I21" s="119">
        <f>VLOOKUP($B21&amp;" "&amp;I$5,'Revenue Proof Breakout'!$L$1:$Y$999,MATCH("Adjusted Billing Determinants",'Revenue Proof Breakout'!$L$1:$Y$1,0),0)</f>
        <v>1695093.4627493734</v>
      </c>
      <c r="J21" s="119">
        <f>VLOOKUP($B21&amp;" "&amp;J$5,'Revenue Proof Breakout'!$L$1:$Y$835,MATCH("Adjusted TY Revenues",'Revenue Proof Breakout'!$L$1:$Y$1,0),0)</f>
        <v>231141.4141511218</v>
      </c>
      <c r="K21" s="120">
        <f t="shared" si="26"/>
        <v>231141.4141511218</v>
      </c>
      <c r="L21" s="13"/>
      <c r="M21" s="118">
        <f>VLOOKUP($B21&amp;" "&amp;M$5,'Revenue Proof Breakout'!$L$1:$Y$835,MATCH("Proposed Billing Determinants",'Revenue Proof Breakout'!$L$1:$Y$1,0),0)</f>
        <v>506.50925925925924</v>
      </c>
      <c r="N21" s="119">
        <f>VLOOKUP($B21&amp;" "&amp;N$5,'Revenue Proof Breakout'!$L$1:$Y$108,MATCH("Proposed Billing Determinants",'Revenue Proof Breakout'!$L$1:$Y$1,0),0)</f>
        <v>7053235.6826057564</v>
      </c>
      <c r="O21" s="119">
        <f>VLOOKUP($B21&amp;" "&amp;O$5,'Revenue Proof Breakout'!$L$1:$Y$835,MATCH("Proposed Revenues",'Revenue Proof Breakout'!$L$1:$Y$1,0),0)</f>
        <v>1287349.0712302807</v>
      </c>
      <c r="P21" s="120">
        <f t="shared" si="27"/>
        <v>1287349.0712302807</v>
      </c>
      <c r="Q21" s="248">
        <f t="shared" si="28"/>
        <v>0.18251893587010845</v>
      </c>
      <c r="R21" s="248">
        <f t="shared" si="29"/>
        <v>0.18251893587010845</v>
      </c>
    </row>
    <row r="22" spans="1:19">
      <c r="A22" s="742"/>
      <c r="B22" s="180" t="s">
        <v>538</v>
      </c>
      <c r="C22" s="118">
        <f>VLOOKUP($B22&amp;" "&amp;C$5,'Revenue Proof Breakout'!$L$1:$Y$108,MATCH("TY Billing Determinants",'Revenue Proof Breakout'!$L$1:$Y$1,0),0)</f>
        <v>83</v>
      </c>
      <c r="D22" s="119">
        <f>VLOOKUP($B22&amp;" "&amp;D$5,'Revenue Proof Breakout'!$L$1:$Y$108,MATCH("TY Billing Determinants",'Revenue Proof Breakout'!$L$1:$Y$1,0),0)</f>
        <v>1036504</v>
      </c>
      <c r="E22" s="119">
        <f>VLOOKUP($B22&amp;" "&amp;E$5,'Revenue Proof Breakout'!$L$1:$Y$835,MATCH("TY Revenues",'Revenue Proof Breakout'!$L$1:$Y$1,0),0)</f>
        <v>176949.16080000001</v>
      </c>
      <c r="F22" s="120">
        <f t="shared" si="25"/>
        <v>176949.16080000001</v>
      </c>
      <c r="H22" s="118">
        <f>VLOOKUP($B22&amp;" "&amp;H$5,'Revenue Proof Breakout'!$L$1:$Y$835,MATCH("Adjusted Billing Determinants",'Revenue Proof Breakout'!$L$1:$Y$1,0),0)</f>
        <v>83</v>
      </c>
      <c r="I22" s="119">
        <f>VLOOKUP($B22&amp;" "&amp;I$5,'Revenue Proof Breakout'!$L$1:$Y$999,MATCH("Adjusted Billing Determinants",'Revenue Proof Breakout'!$L$1:$Y$1,0),0)</f>
        <v>1013261.7770737136</v>
      </c>
      <c r="J22" s="119">
        <f>VLOOKUP($B22&amp;" "&amp;J$5,'Revenue Proof Breakout'!$L$1:$Y$835,MATCH("Adjusted TY Revenues",'Revenue Proof Breakout'!$L$1:$Y$1,0),0)</f>
        <v>173400.07335915606</v>
      </c>
      <c r="K22" s="120">
        <f t="shared" si="26"/>
        <v>173400.07335915606</v>
      </c>
      <c r="L22" s="13"/>
      <c r="M22" s="118">
        <f>VLOOKUP($B22&amp;" "&amp;M$5,'Revenue Proof Breakout'!$L$1:$Y$835,MATCH("Proposed Billing Determinants",'Revenue Proof Breakout'!$L$1:$Y$1,0),0)</f>
        <v>0</v>
      </c>
      <c r="N22" s="119">
        <f>VLOOKUP($B22&amp;" "&amp;N$5,'Revenue Proof Breakout'!$L$1:$Y$108,MATCH("Proposed Billing Determinants",'Revenue Proof Breakout'!$L$1:$Y$1,0),0)</f>
        <v>0</v>
      </c>
      <c r="O22" s="119">
        <f>VLOOKUP($B22&amp;" "&amp;O$5,'Revenue Proof Breakout'!$L$1:$Y$835,MATCH("Proposed Revenues",'Revenue Proof Breakout'!$L$1:$Y$1,0),0)</f>
        <v>0</v>
      </c>
      <c r="P22" s="120">
        <f t="shared" si="27"/>
        <v>0</v>
      </c>
      <c r="Q22" s="248">
        <f t="shared" si="28"/>
        <v>0</v>
      </c>
      <c r="R22" s="248">
        <f t="shared" si="29"/>
        <v>0</v>
      </c>
    </row>
    <row r="23" spans="1:19">
      <c r="A23"/>
      <c r="B23" s="180" t="s">
        <v>539</v>
      </c>
      <c r="C23" s="118">
        <f>VLOOKUP($B23&amp;" "&amp;C$5,'Revenue Proof Breakout'!$L$1:$Y$108,MATCH("TY Billing Determinants",'Revenue Proof Breakout'!$L$1:$Y$1,0),0)</f>
        <v>36</v>
      </c>
      <c r="D23" s="119">
        <f>VLOOKUP($B23&amp;" "&amp;D$5,'Revenue Proof Breakout'!$L$1:$Y$108,MATCH("TY Billing Determinants",'Revenue Proof Breakout'!$L$1:$Y$1,0),0)</f>
        <v>0</v>
      </c>
      <c r="E23" s="119">
        <f>VLOOKUP($B23&amp;" "&amp;E$5,'Revenue Proof Breakout'!$L$1:$Y$835,MATCH("TY Revenues",'Revenue Proof Breakout'!$L$1:$Y$1,0),0)</f>
        <v>720</v>
      </c>
      <c r="F23" s="120">
        <f t="shared" si="25"/>
        <v>720</v>
      </c>
      <c r="H23" s="118">
        <f>VLOOKUP($B23&amp;" "&amp;H$5,'Revenue Proof Breakout'!$L$1:$Y$835,MATCH("Adjusted Billing Determinants",'Revenue Proof Breakout'!$L$1:$Y$1,0),0)</f>
        <v>36</v>
      </c>
      <c r="I23" s="119">
        <f>VLOOKUP($B23&amp;" "&amp;I$5,'Revenue Proof Breakout'!$L$1:$Y$999,MATCH("Adjusted Billing Determinants",'Revenue Proof Breakout'!$L$1:$Y$1,0),0)</f>
        <v>0</v>
      </c>
      <c r="J23" s="119">
        <f>VLOOKUP($B23&amp;" "&amp;J$5,'Revenue Proof Breakout'!$L$1:$Y$835,MATCH("Adjusted TY Revenues",'Revenue Proof Breakout'!$L$1:$Y$1,0),0)</f>
        <v>720</v>
      </c>
      <c r="K23" s="120">
        <f t="shared" si="26"/>
        <v>720</v>
      </c>
      <c r="L23" s="13"/>
      <c r="M23" s="118">
        <f>VLOOKUP($B23&amp;" "&amp;M$5,'Revenue Proof Breakout'!$L$1:$Y$835,MATCH("Proposed Billing Determinants",'Revenue Proof Breakout'!$L$1:$Y$1,0),0)</f>
        <v>0</v>
      </c>
      <c r="N23" s="119">
        <f>VLOOKUP($B23&amp;" "&amp;N$5,'Revenue Proof Breakout'!$L$1:$Y$108,MATCH("Proposed Billing Determinants",'Revenue Proof Breakout'!$L$1:$Y$1,0),0)</f>
        <v>0</v>
      </c>
      <c r="O23" s="119">
        <f>VLOOKUP($B23&amp;" "&amp;O$5,'Revenue Proof Breakout'!$L$1:$Y$835,MATCH("Proposed Revenues",'Revenue Proof Breakout'!$L$1:$Y$1,0),0)</f>
        <v>0</v>
      </c>
      <c r="P23" s="120">
        <f t="shared" si="27"/>
        <v>0</v>
      </c>
      <c r="Q23" s="248">
        <f t="shared" si="28"/>
        <v>0</v>
      </c>
      <c r="R23" s="248">
        <f t="shared" si="29"/>
        <v>0</v>
      </c>
    </row>
    <row r="24" spans="1:19">
      <c r="A24"/>
      <c r="B24" s="180" t="s">
        <v>540</v>
      </c>
      <c r="C24" s="118">
        <f>VLOOKUP($B24&amp;" "&amp;C$5,'Revenue Proof Breakout'!$L$1:$Y$108,MATCH("TY Billing Determinants",'Revenue Proof Breakout'!$L$1:$Y$1,0),0)</f>
        <v>24</v>
      </c>
      <c r="D24" s="119">
        <f>VLOOKUP($B24&amp;" "&amp;D$5,'Revenue Proof Breakout'!$L$1:$Y$108,MATCH("TY Billing Determinants",'Revenue Proof Breakout'!$L$1:$Y$1,0),0)</f>
        <v>791</v>
      </c>
      <c r="E24" s="119">
        <f>VLOOKUP($B24&amp;" "&amp;E$5,'Revenue Proof Breakout'!$L$1:$Y$835,MATCH("TY Revenues",'Revenue Proof Breakout'!$L$1:$Y$1,0),0)</f>
        <v>511.62939999999998</v>
      </c>
      <c r="F24" s="120">
        <f t="shared" si="25"/>
        <v>511.62939999999998</v>
      </c>
      <c r="H24" s="118">
        <f>VLOOKUP($B24&amp;" "&amp;H$5,'Revenue Proof Breakout'!$L$1:$Y$835,MATCH("Adjusted Billing Determinants",'Revenue Proof Breakout'!$L$1:$Y$1,0),0)</f>
        <v>24</v>
      </c>
      <c r="I24" s="119">
        <f>VLOOKUP($B24&amp;" "&amp;I$5,'Revenue Proof Breakout'!$L$1:$Y$999,MATCH("Adjusted Billing Determinants",'Revenue Proof Breakout'!$L$1:$Y$1,0),0)</f>
        <v>777.65685028069288</v>
      </c>
      <c r="J24" s="119">
        <f>VLOOKUP($B24&amp;" "&amp;J$5,'Revenue Proof Breakout'!$L$1:$Y$835,MATCH("Adjusted TY Revenues",'Revenue Proof Breakout'!$L$1:$Y$1,0),0)</f>
        <v>507.04736238638992</v>
      </c>
      <c r="K24" s="120">
        <f t="shared" si="26"/>
        <v>507.04736238638992</v>
      </c>
      <c r="L24" s="13"/>
      <c r="M24" s="118">
        <f>VLOOKUP($B24&amp;" "&amp;M$5,'Revenue Proof Breakout'!$L$1:$Y$835,MATCH("Proposed Billing Determinants",'Revenue Proof Breakout'!$L$1:$Y$1,0),0)</f>
        <v>0</v>
      </c>
      <c r="N24" s="119">
        <f>VLOOKUP($B24&amp;" "&amp;N$5,'Revenue Proof Breakout'!$L$1:$Y$108,MATCH("Proposed Billing Determinants",'Revenue Proof Breakout'!$L$1:$Y$1,0),0)</f>
        <v>0</v>
      </c>
      <c r="O24" s="119">
        <f>VLOOKUP($B24&amp;" "&amp;O$5,'Revenue Proof Breakout'!$L$1:$Y$835,MATCH("Proposed Revenues",'Revenue Proof Breakout'!$L$1:$Y$1,0),0)</f>
        <v>0</v>
      </c>
      <c r="P24" s="120">
        <f t="shared" si="27"/>
        <v>0</v>
      </c>
      <c r="Q24" s="248">
        <f t="shared" si="28"/>
        <v>0</v>
      </c>
      <c r="R24" s="248">
        <f t="shared" si="29"/>
        <v>0</v>
      </c>
    </row>
    <row r="25" spans="1:19">
      <c r="A25" s="286"/>
      <c r="B25" s="181" t="s">
        <v>541</v>
      </c>
      <c r="C25" s="118">
        <f>VLOOKUP($B25&amp;" "&amp;C$5,'Revenue Proof Breakout'!$L$1:$Y$108,MATCH("TY Billing Determinants",'Revenue Proof Breakout'!$L$1:$Y$1,0),0)</f>
        <v>47</v>
      </c>
      <c r="D25" s="119">
        <f>VLOOKUP($B25&amp;" "&amp;D$5,'Revenue Proof Breakout'!$L$1:$Y$108,MATCH("TY Billing Determinants",'Revenue Proof Breakout'!$L$1:$Y$1,0),0)</f>
        <v>7495</v>
      </c>
      <c r="E25" s="119">
        <f>VLOOKUP($B25&amp;" "&amp;E$5,'Revenue Proof Breakout'!$L$1:$Y$835,MATCH("TY Revenues",'Revenue Proof Breakout'!$L$1:$Y$1,0),0)</f>
        <v>3587.2339999999999</v>
      </c>
      <c r="F25" s="120">
        <f t="shared" si="25"/>
        <v>3587.2339999999999</v>
      </c>
      <c r="H25" s="118">
        <f>VLOOKUP($B25&amp;" "&amp;H$5,'Revenue Proof Breakout'!$L$1:$Y$835,MATCH("Adjusted Billing Determinants",'Revenue Proof Breakout'!$L$1:$Y$1,0),0)</f>
        <v>47</v>
      </c>
      <c r="I25" s="119">
        <f>VLOOKUP($B25&amp;" "&amp;I$5,'Revenue Proof Breakout'!$L$1:$Y$999,MATCH("Adjusted Billing Determinants",'Revenue Proof Breakout'!$L$1:$Y$1,0),0)</f>
        <v>6405.3024178991363</v>
      </c>
      <c r="J25" s="119">
        <f>VLOOKUP($B25&amp;" "&amp;J$5,'Revenue Proof Breakout'!$L$1:$Y$835,MATCH("Adjusted TY Revenues",'Revenue Proof Breakout'!$L$1:$Y$1,0),0)</f>
        <v>3202.3528140019748</v>
      </c>
      <c r="K25" s="120">
        <f t="shared" si="26"/>
        <v>3202.3528140019748</v>
      </c>
      <c r="L25" s="13"/>
      <c r="M25" s="118">
        <f>VLOOKUP($B25&amp;" "&amp;M$5,'Revenue Proof Breakout'!$L$1:$Y$835,MATCH("Proposed Billing Determinants",'Revenue Proof Breakout'!$L$1:$Y$1,0),0)</f>
        <v>0</v>
      </c>
      <c r="N25" s="119">
        <f>VLOOKUP($B25&amp;" "&amp;N$5,'Revenue Proof Breakout'!$L$1:$Y$108,MATCH("Proposed Billing Determinants",'Revenue Proof Breakout'!$L$1:$Y$1,0),0)</f>
        <v>0</v>
      </c>
      <c r="O25" s="119">
        <f>VLOOKUP($B25&amp;" "&amp;O$5,'Revenue Proof Breakout'!$L$1:$Y$835,MATCH("Proposed Revenues",'Revenue Proof Breakout'!$L$1:$Y$1,0),0)</f>
        <v>0</v>
      </c>
      <c r="P25" s="120">
        <f t="shared" si="27"/>
        <v>0</v>
      </c>
      <c r="Q25" s="248">
        <f t="shared" ref="Q25:Q31" si="30">IFERROR(O25/N25,0)</f>
        <v>0</v>
      </c>
      <c r="R25" s="248">
        <f t="shared" ref="R25:R31" si="31">IFERROR(P25/N25,0)</f>
        <v>0</v>
      </c>
    </row>
    <row r="26" spans="1:19">
      <c r="A26" s="741"/>
      <c r="B26" s="182" t="s">
        <v>542</v>
      </c>
      <c r="C26" s="118">
        <f>VLOOKUP($B26&amp;" "&amp;C$5,'Revenue Proof Breakout'!$L$1:$Y$108,MATCH("TY Billing Determinants",'Revenue Proof Breakout'!$L$1:$Y$1,0),0)</f>
        <v>96</v>
      </c>
      <c r="D26" s="119">
        <f>VLOOKUP($B26&amp;" "&amp;D$5,'Revenue Proof Breakout'!$L$1:$Y$118,MATCH("TY Billing Determinants",'Revenue Proof Breakout'!$L$1:$Y$1,0),0)</f>
        <v>1545731</v>
      </c>
      <c r="E26" s="119">
        <f>VLOOKUP($B26&amp;" "&amp;E$5,'Revenue Proof Breakout'!$L$1:$Y$835,MATCH("TY Revenues",'Revenue Proof Breakout'!$L$1:$Y$1,0),0)</f>
        <v>346821.80239999999</v>
      </c>
      <c r="F26" s="120">
        <f t="shared" si="25"/>
        <v>346821.80239999999</v>
      </c>
      <c r="H26" s="118">
        <f>VLOOKUP($B26&amp;" "&amp;H$5,'Revenue Proof Breakout'!$L$1:$Y$835,MATCH("Adjusted Billing Determinants",'Revenue Proof Breakout'!$L$1:$Y$1,0),0)</f>
        <v>96</v>
      </c>
      <c r="I26" s="119">
        <f>VLOOKUP($B26&amp;" "&amp;I$5,'Revenue Proof Breakout'!$L$1:$Y$999,MATCH("Adjusted Billing Determinants",'Revenue Proof Breakout'!$L$1:$Y$1,0),0)</f>
        <v>1545731</v>
      </c>
      <c r="J26" s="119">
        <f>VLOOKUP($B26&amp;" "&amp;J$5,'Revenue Proof Breakout'!$L$1:$Y$835,MATCH("Adjusted TY Revenues",'Revenue Proof Breakout'!$L$1:$Y$1,0),0)</f>
        <v>346821.80239999999</v>
      </c>
      <c r="K26" s="120">
        <f t="shared" si="26"/>
        <v>346821.80239999999</v>
      </c>
      <c r="L26" s="13"/>
      <c r="M26" s="118">
        <f>VLOOKUP($B26&amp;" "&amp;M$5,'Revenue Proof Breakout'!$L$1:$Y$835,MATCH("Proposed Billing Determinants",'Revenue Proof Breakout'!$L$1:$Y$1,0),0)</f>
        <v>0</v>
      </c>
      <c r="N26" s="119">
        <f>VLOOKUP($B26&amp;" "&amp;N$5,'Revenue Proof Breakout'!$L$1:$Y$108,MATCH("Proposed Billing Determinants",'Revenue Proof Breakout'!$L$1:$Y$1,0),0)</f>
        <v>0</v>
      </c>
      <c r="O26" s="119">
        <f>VLOOKUP($B26&amp;" "&amp;O$5,'Revenue Proof Breakout'!$L$1:$Y$835,MATCH("Proposed Revenues",'Revenue Proof Breakout'!$L$1:$Y$1,0),0)</f>
        <v>0</v>
      </c>
      <c r="P26" s="120">
        <f t="shared" si="27"/>
        <v>0</v>
      </c>
      <c r="Q26" s="248">
        <f t="shared" si="30"/>
        <v>0</v>
      </c>
      <c r="R26" s="248">
        <f t="shared" si="31"/>
        <v>0</v>
      </c>
    </row>
    <row r="27" spans="1:19">
      <c r="A27" s="741"/>
      <c r="B27" s="180" t="s">
        <v>543</v>
      </c>
      <c r="C27" s="118">
        <f>VLOOKUP($B27&amp;" "&amp;C$5,'Revenue Proof Breakout'!$L$1:$Y$108,MATCH("TY Billing Determinants",'Revenue Proof Breakout'!$L$1:$Y$1,0),0)</f>
        <v>96</v>
      </c>
      <c r="D27" s="119">
        <f>VLOOKUP($B27&amp;" "&amp;D$5,'Revenue Proof Breakout'!$L$1:$Y$108,MATCH("TY Billing Determinants",'Revenue Proof Breakout'!$L$1:$Y$1,0),0)</f>
        <v>14114075</v>
      </c>
      <c r="E27" s="119">
        <f>VLOOKUP($B27&amp;" "&amp;E$5,'Revenue Proof Breakout'!$L$1:$Y$835,MATCH("TY Revenues",'Revenue Proof Breakout'!$L$1:$Y$1,0),0)</f>
        <v>1783036.5599999998</v>
      </c>
      <c r="F27" s="120">
        <f t="shared" si="25"/>
        <v>1783036.5599999998</v>
      </c>
      <c r="H27" s="118">
        <f>VLOOKUP($B27&amp;" "&amp;H$5,'Revenue Proof Breakout'!$L$1:$Y$835,MATCH("Adjusted Billing Determinants",'Revenue Proof Breakout'!$L$1:$Y$1,0),0)</f>
        <v>96</v>
      </c>
      <c r="I27" s="119">
        <f>VLOOKUP($B27&amp;" "&amp;I$5,'Revenue Proof Breakout'!$L$1:$Y$999,MATCH("Adjusted Billing Determinants",'Revenue Proof Breakout'!$L$1:$Y$1,0),0)</f>
        <v>14114075</v>
      </c>
      <c r="J27" s="119">
        <f>VLOOKUP($B27&amp;" "&amp;J$5,'Revenue Proof Breakout'!$L$1:$Y$835,MATCH("Adjusted TY Revenues",'Revenue Proof Breakout'!$L$1:$Y$1,0),0)</f>
        <v>1783036.5599999998</v>
      </c>
      <c r="K27" s="120">
        <f t="shared" si="26"/>
        <v>1783036.5599999998</v>
      </c>
      <c r="L27" s="13"/>
      <c r="M27" s="118">
        <f>VLOOKUP($B27&amp;" "&amp;M$5,'Revenue Proof Breakout'!$L$1:$Y$835,MATCH("Proposed Billing Determinants",'Revenue Proof Breakout'!$L$1:$Y$1,0),0)</f>
        <v>276</v>
      </c>
      <c r="N27" s="119">
        <f>VLOOKUP($B27&amp;" "&amp;N$5,'Revenue Proof Breakout'!$L$1:$Y$108,MATCH("Proposed Billing Determinants",'Revenue Proof Breakout'!$L$1:$Y$1,0),0)</f>
        <v>20564752</v>
      </c>
      <c r="O27" s="119">
        <f>VLOOKUP($B27&amp;" "&amp;O$5,'Revenue Proof Breakout'!$L$1:$Y$835,MATCH("Proposed Revenues",'Revenue Proof Breakout'!$L$1:$Y$1,0),0)</f>
        <v>3410351.304</v>
      </c>
      <c r="P27" s="120">
        <f t="shared" si="27"/>
        <v>3410351.304</v>
      </c>
      <c r="Q27" s="248">
        <f t="shared" si="30"/>
        <v>0.16583478876866592</v>
      </c>
      <c r="R27" s="248">
        <f t="shared" si="31"/>
        <v>0.16583478876866592</v>
      </c>
      <c r="S27" s="83"/>
    </row>
    <row r="28" spans="1:19">
      <c r="A28" s="741"/>
      <c r="B28" s="180" t="s">
        <v>544</v>
      </c>
      <c r="C28" s="118">
        <f>VLOOKUP($B28&amp;" "&amp;C$5,'Revenue Proof Breakout'!$L$1:$Y$108,MATCH("TY Billing Determinants",'Revenue Proof Breakout'!$L$1:$Y$1,0),0)</f>
        <v>84</v>
      </c>
      <c r="D28" s="119">
        <f>VLOOKUP($B28&amp;" "&amp;D$5,'Revenue Proof Breakout'!$L$1:$Y$108,MATCH("TY Billing Determinants",'Revenue Proof Breakout'!$L$1:$Y$1,0),0)</f>
        <v>4904946</v>
      </c>
      <c r="E28" s="119">
        <f>VLOOKUP($B28&amp;" "&amp;E$5,'Revenue Proof Breakout'!$L$1:$Y$835,MATCH("TY Revenues",'Revenue Proof Breakout'!$L$1:$Y$1,0),0)</f>
        <v>767885.25419999997</v>
      </c>
      <c r="F28" s="120">
        <f t="shared" si="25"/>
        <v>767885.25419999997</v>
      </c>
      <c r="H28" s="118">
        <f>VLOOKUP($B28&amp;" "&amp;H$5,'Revenue Proof Breakout'!$L$1:$Y$835,MATCH("Adjusted Billing Determinants",'Revenue Proof Breakout'!$L$1:$Y$1,0),0)</f>
        <v>84</v>
      </c>
      <c r="I28" s="119">
        <f>VLOOKUP($B28&amp;" "&amp;I$5,'Revenue Proof Breakout'!$L$1:$Y$999,MATCH("Adjusted Billing Determinants",'Revenue Proof Breakout'!$L$1:$Y$1,0),0)</f>
        <v>4904946</v>
      </c>
      <c r="J28" s="119">
        <f>VLOOKUP($B28&amp;" "&amp;J$5,'Revenue Proof Breakout'!$L$1:$Y$835,MATCH("Adjusted TY Revenues",'Revenue Proof Breakout'!$L$1:$Y$1,0),0)</f>
        <v>767885.25419999997</v>
      </c>
      <c r="K28" s="120">
        <f t="shared" si="26"/>
        <v>767885.25419999997</v>
      </c>
      <c r="L28" s="13"/>
      <c r="M28" s="118">
        <f>VLOOKUP($B28&amp;" "&amp;M$5,'Revenue Proof Breakout'!$L$1:$Y$835,MATCH("Proposed Billing Determinants",'Revenue Proof Breakout'!$L$1:$Y$1,0),0)</f>
        <v>0</v>
      </c>
      <c r="N28" s="119">
        <f>VLOOKUP($B28&amp;" "&amp;N$5,'Revenue Proof Breakout'!$L$1:$Y$108,MATCH("Proposed Billing Determinants",'Revenue Proof Breakout'!$L$1:$Y$1,0),0)</f>
        <v>0</v>
      </c>
      <c r="O28" s="119">
        <f>VLOOKUP($B28&amp;" "&amp;O$5,'Revenue Proof Breakout'!$L$1:$Y$835,MATCH("Proposed Revenues",'Revenue Proof Breakout'!$L$1:$Y$1,0),0)</f>
        <v>0</v>
      </c>
      <c r="P28" s="120">
        <f t="shared" si="27"/>
        <v>0</v>
      </c>
      <c r="Q28" s="248">
        <f t="shared" si="30"/>
        <v>0</v>
      </c>
      <c r="R28" s="248">
        <f t="shared" si="31"/>
        <v>0</v>
      </c>
      <c r="S28" s="83"/>
    </row>
    <row r="29" spans="1:19">
      <c r="A29" s="741"/>
      <c r="B29" s="180" t="s">
        <v>545</v>
      </c>
      <c r="C29" s="118">
        <f>VLOOKUP($B29&amp;" "&amp;C$5,'Revenue Proof Breakout'!$L$1:$Y$118,MATCH("TY Billing Determinants",'Revenue Proof Breakout'!$L$1:$Y$1,0),0)</f>
        <v>96</v>
      </c>
      <c r="D29" s="119">
        <f>VLOOKUP($B29&amp;" "&amp;D$5,'Revenue Proof Breakout'!$L$1:$Y$118,MATCH("TY Billing Determinants",'Revenue Proof Breakout'!$L$1:$Y$1,0),0)</f>
        <v>13532527</v>
      </c>
      <c r="E29" s="119">
        <f>VLOOKUP($B29&amp;" "&amp;E$5,'Revenue Proof Breakout'!$L$1:$Y$835,MATCH("TY Revenues",'Revenue Proof Breakout'!$L$1:$Y$1,0),0)</f>
        <v>1710459.3695999999</v>
      </c>
      <c r="F29" s="120">
        <f t="shared" ref="F29:F30" si="32">SUM(E29:E29)</f>
        <v>1710459.3695999999</v>
      </c>
      <c r="H29" s="118">
        <f>VLOOKUP($B29&amp;" "&amp;H$5,'Revenue Proof Breakout'!$L$1:$Y$835,MATCH("Adjusted Billing Determinants",'Revenue Proof Breakout'!$L$1:$Y$1,0),0)</f>
        <v>96</v>
      </c>
      <c r="I29" s="119">
        <f>VLOOKUP($B29&amp;" "&amp;I$5,'Revenue Proof Breakout'!$L$1:$Y$999,MATCH("Adjusted Billing Determinants",'Revenue Proof Breakout'!$L$1:$Y$1,0),0)</f>
        <v>13532527</v>
      </c>
      <c r="J29" s="119">
        <f>VLOOKUP($B29&amp;" "&amp;J$5,'Revenue Proof Breakout'!$L$1:$Y$835,MATCH("Adjusted TY Revenues",'Revenue Proof Breakout'!$L$1:$Y$1,0),0)</f>
        <v>1710459.3695999999</v>
      </c>
      <c r="K29" s="120">
        <f>SUM(J29:J29)</f>
        <v>1710459.3695999999</v>
      </c>
      <c r="L29" s="13"/>
      <c r="M29" s="118">
        <f>VLOOKUP($B29&amp;" "&amp;M$5,'Revenue Proof Breakout'!$L$1:$Y$835,MATCH("Proposed Billing Determinants",'Revenue Proof Breakout'!$L$1:$Y$1,0),0)</f>
        <v>168</v>
      </c>
      <c r="N29" s="119">
        <f>VLOOKUP($B29&amp;" "&amp;N$5,'Revenue Proof Breakout'!$L$1:$Y$118,MATCH("Proposed Billing Determinants",'Revenue Proof Breakout'!$L$1:$Y$1,0),0)</f>
        <v>14970375</v>
      </c>
      <c r="O29" s="119">
        <f>VLOOKUP($B29&amp;" "&amp;O$5,'Revenue Proof Breakout'!$L$1:$Y$835,MATCH("Proposed Revenues",'Revenue Proof Breakout'!$L$1:$Y$1,0),0)</f>
        <v>2473203.39</v>
      </c>
      <c r="P29" s="120">
        <f t="shared" ref="P29:P30" si="33">SUM(O29:O29)</f>
        <v>2473203.39</v>
      </c>
      <c r="Q29" s="248">
        <f t="shared" ref="Q29:Q30" si="34">IFERROR(O29/N29,0)</f>
        <v>0.16520650885498861</v>
      </c>
      <c r="R29" s="248">
        <f t="shared" ref="R29:R30" si="35">IFERROR(P29/N29,0)</f>
        <v>0.16520650885498861</v>
      </c>
      <c r="S29" s="83"/>
    </row>
    <row r="30" spans="1:19">
      <c r="A30" s="741"/>
      <c r="B30" s="180" t="s">
        <v>546</v>
      </c>
      <c r="C30" s="118">
        <f>VLOOKUP($B30&amp;" "&amp;C$5,'Revenue Proof Breakout'!$L$1:$Y$118,MATCH("TY Billing Determinants",'Revenue Proof Breakout'!$L$1:$Y$1,0),0)</f>
        <v>72</v>
      </c>
      <c r="D30" s="119">
        <f>VLOOKUP($B30&amp;" "&amp;D$5,'Revenue Proof Breakout'!$L$1:$Y$118,MATCH("TY Billing Determinants",'Revenue Proof Breakout'!$L$1:$Y$1,0),0)</f>
        <v>1437848</v>
      </c>
      <c r="E30" s="119">
        <f>VLOOKUP($B30&amp;" "&amp;E$5,'Revenue Proof Breakout'!$L$1:$Y$835,MATCH("TY Revenues",'Revenue Proof Breakout'!$L$1:$Y$1,0),0)</f>
        <v>318723.21919999999</v>
      </c>
      <c r="F30" s="120">
        <f t="shared" si="32"/>
        <v>318723.21919999999</v>
      </c>
      <c r="H30" s="118">
        <f>VLOOKUP($B30&amp;" "&amp;H$5,'Revenue Proof Breakout'!$L$1:$Y$835,MATCH("Adjusted Billing Determinants",'Revenue Proof Breakout'!$L$1:$Y$1,0),0)</f>
        <v>72</v>
      </c>
      <c r="I30" s="119">
        <f>VLOOKUP($B30&amp;" "&amp;I$5,'Revenue Proof Breakout'!$L$1:$Y$999,MATCH("Adjusted Billing Determinants",'Revenue Proof Breakout'!$L$1:$Y$1,0),0)</f>
        <v>1437848</v>
      </c>
      <c r="J30" s="119">
        <f>VLOOKUP($B30&amp;" "&amp;J$5,'Revenue Proof Breakout'!$L$1:$Y$835,MATCH("Adjusted TY Revenues",'Revenue Proof Breakout'!$L$1:$Y$1,0),0)</f>
        <v>318723.21919999999</v>
      </c>
      <c r="K30" s="120">
        <f t="shared" ref="K30" si="36">SUM(J30:J30)</f>
        <v>318723.21919999999</v>
      </c>
      <c r="L30" s="13"/>
      <c r="M30" s="118">
        <f>VLOOKUP($B30&amp;" "&amp;M$5,'Revenue Proof Breakout'!$L$1:$Y$835,MATCH("Proposed Billing Determinants",'Revenue Proof Breakout'!$L$1:$Y$1,0),0)</f>
        <v>0</v>
      </c>
      <c r="N30" s="119">
        <f>VLOOKUP($B30&amp;" "&amp;N$5,'Revenue Proof Breakout'!$L$1:$Y$118,MATCH("Proposed Billing Determinants",'Revenue Proof Breakout'!$L$1:$Y$1,0),0)</f>
        <v>0</v>
      </c>
      <c r="O30" s="119">
        <f>VLOOKUP($B30&amp;" "&amp;O$5,'Revenue Proof Breakout'!$L$1:$Y$835,MATCH("Proposed Revenues",'Revenue Proof Breakout'!$L$1:$Y$1,0),0)</f>
        <v>0</v>
      </c>
      <c r="P30" s="120">
        <f t="shared" si="33"/>
        <v>0</v>
      </c>
      <c r="Q30" s="248">
        <f t="shared" si="34"/>
        <v>0</v>
      </c>
      <c r="R30" s="248">
        <f t="shared" si="35"/>
        <v>0</v>
      </c>
      <c r="S30" s="83"/>
    </row>
    <row r="31" spans="1:19" ht="15.75" thickBot="1">
      <c r="A31" s="36"/>
      <c r="B31" s="19" t="s">
        <v>622</v>
      </c>
      <c r="C31" s="121"/>
      <c r="D31" s="133">
        <f>D34</f>
        <v>-36121.000000003893</v>
      </c>
      <c r="E31" s="133">
        <f>E34</f>
        <v>63298.780277496451</v>
      </c>
      <c r="F31" s="131"/>
      <c r="H31" s="121"/>
      <c r="I31" s="122"/>
      <c r="J31" s="122"/>
      <c r="K31" s="123"/>
      <c r="L31" s="13"/>
      <c r="M31" s="121"/>
      <c r="N31" s="122"/>
      <c r="O31" s="122"/>
      <c r="P31" s="123"/>
      <c r="Q31" s="248">
        <f t="shared" si="30"/>
        <v>0</v>
      </c>
      <c r="R31" s="248">
        <f t="shared" si="31"/>
        <v>0</v>
      </c>
    </row>
    <row r="32" spans="1:19">
      <c r="A32" s="36"/>
      <c r="E32" s="21"/>
      <c r="Q32" s="11"/>
      <c r="R32" s="11"/>
      <c r="S32" s="83"/>
    </row>
    <row r="33" spans="1:18">
      <c r="A33" t="s">
        <v>6</v>
      </c>
      <c r="B33"/>
      <c r="C33" s="190">
        <f>C11-SUM(C15:C30)-C31</f>
        <v>0</v>
      </c>
      <c r="D33" s="190">
        <f>D11-SUM(D15:D30)-D31</f>
        <v>3.8926373235881329E-9</v>
      </c>
      <c r="E33" s="190">
        <f>E11-SUM(E15:E30)-E31</f>
        <v>9.0658431872725487E-9</v>
      </c>
      <c r="F33" s="132"/>
      <c r="H33" s="132">
        <f>H11-SUM(H15:H31)</f>
        <v>0</v>
      </c>
      <c r="I33" s="132">
        <f t="shared" ref="I33:K33" si="37">I11-SUM(I15:I31)</f>
        <v>0</v>
      </c>
      <c r="J33" s="132">
        <f t="shared" si="37"/>
        <v>0</v>
      </c>
      <c r="K33" s="132">
        <f t="shared" si="37"/>
        <v>0</v>
      </c>
      <c r="L33"/>
      <c r="M33" s="132">
        <f>M11-SUM(M15:M31)</f>
        <v>0</v>
      </c>
      <c r="N33" s="132">
        <f>N11-SUM(N15:N31)</f>
        <v>0</v>
      </c>
      <c r="O33" s="132">
        <f>O11-SUM(O15:O31)</f>
        <v>0</v>
      </c>
      <c r="P33" s="132">
        <f>P11-SUM(P15:P31)</f>
        <v>0</v>
      </c>
      <c r="Q33" s="11"/>
      <c r="R33" s="11"/>
    </row>
    <row r="34" spans="1:18">
      <c r="B34" s="73" t="s">
        <v>623</v>
      </c>
      <c r="D34" s="49">
        <f>SUM('[5]TY Billing Determinants'!$K$2:$K$133)</f>
        <v>-36121.000000003893</v>
      </c>
      <c r="E34" s="12">
        <f>SUM([4]Summary!$H$212)</f>
        <v>63298.780277496451</v>
      </c>
    </row>
    <row r="35" spans="1:18">
      <c r="N35" s="12"/>
    </row>
    <row r="36" spans="1:18">
      <c r="N36" s="678"/>
    </row>
    <row r="256" spans="5:5">
      <c r="E256" s="4" t="e">
        <f>Summary!C9*#REF!</f>
        <v>#REF!</v>
      </c>
    </row>
  </sheetData>
  <mergeCells count="7">
    <mergeCell ref="M3:P3"/>
    <mergeCell ref="C3:F3"/>
    <mergeCell ref="H3:K3"/>
    <mergeCell ref="A26:A28"/>
    <mergeCell ref="A29:A30"/>
    <mergeCell ref="A17:A19"/>
    <mergeCell ref="A20:A22"/>
  </mergeCells>
  <pageMargins left="0.45" right="0" top="0.75" bottom="0.75" header="0.3" footer="0.3"/>
  <pageSetup paperSize="5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rgb="FF92D050"/>
  </sheetPr>
  <dimension ref="A1:AE2390"/>
  <sheetViews>
    <sheetView topLeftCell="L1" zoomScale="90" zoomScaleNormal="90" workbookViewId="0">
      <selection activeCell="X22" sqref="X22"/>
    </sheetView>
  </sheetViews>
  <sheetFormatPr defaultColWidth="9.140625" defaultRowHeight="15"/>
  <cols>
    <col min="1" max="1" width="9.5703125" style="57" customWidth="1"/>
    <col min="2" max="2" width="7.85546875" style="57" customWidth="1"/>
    <col min="3" max="3" width="8.5703125" style="130" customWidth="1"/>
    <col min="4" max="4" width="8.5703125" style="57" customWidth="1"/>
    <col min="5" max="6" width="12.85546875" style="57" customWidth="1"/>
    <col min="7" max="7" width="11.140625" style="57" customWidth="1"/>
    <col min="8" max="8" width="29.85546875" style="57" customWidth="1"/>
    <col min="9" max="9" width="21.42578125" style="57" customWidth="1"/>
    <col min="10" max="10" width="9.85546875" style="57" customWidth="1"/>
    <col min="11" max="11" width="42.42578125" style="57" customWidth="1"/>
    <col min="12" max="12" width="21.140625" style="57" bestFit="1" customWidth="1"/>
    <col min="13" max="13" width="9.42578125" style="56" bestFit="1" customWidth="1"/>
    <col min="14" max="14" width="10.42578125" style="57" customWidth="1"/>
    <col min="15" max="15" width="42.42578125" style="57" bestFit="1" customWidth="1"/>
    <col min="16" max="16" width="11" style="56" customWidth="1"/>
    <col min="17" max="17" width="15.85546875" style="146" customWidth="1"/>
    <col min="18" max="18" width="13.85546875" style="103" customWidth="1"/>
    <col min="19" max="19" width="1.5703125" style="56" customWidth="1"/>
    <col min="20" max="20" width="12.85546875" style="146" customWidth="1"/>
    <col min="21" max="21" width="13.42578125" style="103" customWidth="1"/>
    <col min="22" max="22" width="2" style="56" customWidth="1"/>
    <col min="23" max="23" width="11" style="56" customWidth="1"/>
    <col min="24" max="24" width="12.85546875" style="146" customWidth="1"/>
    <col min="25" max="25" width="14.5703125" style="56" customWidth="1"/>
    <col min="26" max="26" width="9.140625" customWidth="1"/>
    <col min="27" max="27" width="10.42578125" style="57" bestFit="1" customWidth="1"/>
    <col min="28" max="28" width="11.85546875" style="57" customWidth="1"/>
    <col min="29" max="29" width="17.42578125" style="57" bestFit="1" customWidth="1"/>
    <col min="30" max="30" width="11.85546875" style="57" bestFit="1" customWidth="1"/>
    <col min="31" max="31" width="10" style="57" bestFit="1" customWidth="1"/>
    <col min="32" max="16384" width="9.140625" style="57"/>
  </cols>
  <sheetData>
    <row r="1" spans="1:31" ht="15" customHeight="1">
      <c r="A1" s="755" t="s">
        <v>598</v>
      </c>
      <c r="B1" s="755" t="s">
        <v>599</v>
      </c>
      <c r="C1" s="764" t="s">
        <v>624</v>
      </c>
      <c r="D1" s="755" t="s">
        <v>587</v>
      </c>
      <c r="E1" s="755" t="s">
        <v>600</v>
      </c>
      <c r="F1" s="755" t="s">
        <v>601</v>
      </c>
      <c r="G1" s="755" t="s">
        <v>625</v>
      </c>
      <c r="H1" s="755" t="s">
        <v>626</v>
      </c>
      <c r="I1" s="755" t="s">
        <v>602</v>
      </c>
      <c r="J1" s="755" t="s">
        <v>627</v>
      </c>
      <c r="K1" s="755" t="s">
        <v>628</v>
      </c>
      <c r="L1" s="755" t="s">
        <v>629</v>
      </c>
      <c r="M1" s="756" t="s">
        <v>579</v>
      </c>
      <c r="N1" s="762" t="s">
        <v>603</v>
      </c>
      <c r="O1" s="756" t="s">
        <v>604</v>
      </c>
      <c r="P1" s="756" t="s">
        <v>530</v>
      </c>
      <c r="Q1" s="756" t="s">
        <v>630</v>
      </c>
      <c r="R1" s="758" t="s">
        <v>631</v>
      </c>
      <c r="S1" s="97"/>
      <c r="T1" s="756" t="s">
        <v>632</v>
      </c>
      <c r="U1" s="758" t="s">
        <v>633</v>
      </c>
      <c r="V1" s="97"/>
      <c r="W1" s="756" t="s">
        <v>605</v>
      </c>
      <c r="X1" s="756" t="s">
        <v>634</v>
      </c>
      <c r="Y1" s="760" t="s">
        <v>593</v>
      </c>
    </row>
    <row r="2" spans="1:31">
      <c r="A2" s="755"/>
      <c r="B2" s="755"/>
      <c r="C2" s="764"/>
      <c r="D2" s="755"/>
      <c r="E2" s="755"/>
      <c r="F2" s="755"/>
      <c r="G2" s="755"/>
      <c r="H2" s="755"/>
      <c r="I2" s="755"/>
      <c r="J2" s="755"/>
      <c r="K2" s="755"/>
      <c r="L2" s="755"/>
      <c r="M2" s="756"/>
      <c r="N2" s="762"/>
      <c r="O2" s="756"/>
      <c r="P2" s="756"/>
      <c r="Q2" s="756"/>
      <c r="R2" s="758"/>
      <c r="S2" s="97"/>
      <c r="T2" s="756"/>
      <c r="U2" s="758"/>
      <c r="V2" s="97"/>
      <c r="W2" s="756"/>
      <c r="X2" s="756"/>
      <c r="Y2" s="760"/>
    </row>
    <row r="3" spans="1:31">
      <c r="A3" s="755"/>
      <c r="B3" s="755"/>
      <c r="C3" s="764"/>
      <c r="D3" s="755"/>
      <c r="E3" s="755"/>
      <c r="F3" s="755"/>
      <c r="G3" s="755"/>
      <c r="H3" s="755"/>
      <c r="I3" s="755"/>
      <c r="J3" s="755"/>
      <c r="K3" s="755"/>
      <c r="L3" s="755"/>
      <c r="M3" s="755"/>
      <c r="N3" s="763"/>
      <c r="O3" s="755"/>
      <c r="P3" s="757"/>
      <c r="Q3" s="757"/>
      <c r="R3" s="759"/>
      <c r="S3" s="98"/>
      <c r="T3" s="757"/>
      <c r="U3" s="759"/>
      <c r="V3" s="98"/>
      <c r="W3" s="757"/>
      <c r="X3" s="757"/>
      <c r="Y3" s="761"/>
    </row>
    <row r="4" spans="1:31">
      <c r="J4" s="57">
        <v>5</v>
      </c>
      <c r="K4" s="57">
        <v>6</v>
      </c>
      <c r="M4" s="96"/>
      <c r="N4" s="145"/>
      <c r="O4" s="145"/>
      <c r="P4" s="96"/>
      <c r="R4" s="149"/>
      <c r="S4" s="96"/>
      <c r="U4" s="149"/>
      <c r="V4" s="96"/>
      <c r="W4" s="96"/>
      <c r="Y4" s="134"/>
      <c r="AA4" s="79"/>
      <c r="AB4" s="79"/>
      <c r="AC4" s="79"/>
      <c r="AD4" s="80"/>
      <c r="AE4" s="80"/>
    </row>
    <row r="5" spans="1:31">
      <c r="A5" s="100">
        <v>41030</v>
      </c>
      <c r="B5" s="100">
        <f>'UNSG - ALL RATES'!$B$25</f>
        <v>46082</v>
      </c>
      <c r="C5" s="101" t="str">
        <f>M5</f>
        <v>5751</v>
      </c>
      <c r="D5" s="2" t="str">
        <f>N5</f>
        <v>GRRES</v>
      </c>
      <c r="E5" s="100" t="str">
        <f t="shared" ref="E5:E9" si="0">IF(D5="","",A5&amp;$D5)</f>
        <v>41030GRRES</v>
      </c>
      <c r="F5" s="100" t="str">
        <f t="shared" ref="F5:F9" si="1">IF(E5="","",B5&amp;$D5)</f>
        <v>46082GRRES</v>
      </c>
      <c r="G5" s="100"/>
      <c r="H5" s="100"/>
      <c r="I5" s="100" t="str">
        <f>IFERROR(IF(VLOOKUP(O5,Lookup!$A$1:$B$200,2,0)="","",VLOOKUP(O5,Lookup!$A$1:$B$200,2,0)),"")</f>
        <v/>
      </c>
      <c r="J5" s="100"/>
      <c r="K5" s="100"/>
      <c r="L5" s="100"/>
      <c r="M5" s="101" t="str">
        <f>VLOOKUP(N5,'UNSG - ALL RATES'!$E$25:$F$41,2,0)</f>
        <v>5751</v>
      </c>
      <c r="N5" s="178" t="str">
        <f>'UNSG - ALL RATES'!F15</f>
        <v>GRRES</v>
      </c>
      <c r="O5" s="58" t="str">
        <f>VLOOKUP($N5,'UNSG - ALL RATES'!$F$2:$G$383,2,0)</f>
        <v>Residential Gas Service</v>
      </c>
      <c r="P5" s="96"/>
      <c r="R5" s="149"/>
      <c r="S5" s="96"/>
      <c r="U5" s="149"/>
      <c r="V5" s="96"/>
      <c r="W5" s="96"/>
      <c r="Y5" s="134"/>
      <c r="AA5" s="79"/>
      <c r="AB5" s="79"/>
      <c r="AC5" s="79"/>
      <c r="AD5" s="80"/>
      <c r="AE5" s="80"/>
    </row>
    <row r="6" spans="1:31">
      <c r="A6" s="100">
        <v>41030</v>
      </c>
      <c r="B6" s="100">
        <f>'UNSG - ALL RATES'!$B$25</f>
        <v>46082</v>
      </c>
      <c r="C6" s="101" t="str">
        <f>C5</f>
        <v>5751</v>
      </c>
      <c r="D6" s="104" t="str">
        <f>IF(N6="",D5,IF(N7&lt;&gt;D5,N6))</f>
        <v>GRRES</v>
      </c>
      <c r="E6" s="100" t="str">
        <f t="shared" si="0"/>
        <v>41030GRRES</v>
      </c>
      <c r="F6" s="100" t="str">
        <f t="shared" si="1"/>
        <v>46082GRRES</v>
      </c>
      <c r="G6" s="100" t="str">
        <f>IFERROR(IF(VLOOKUP($O6,Lookup!$G$1:$I$182,2,0)="","",VLOOKUP($O6,Lookup!$G$1:$I$182,2,0)),"")</f>
        <v>total_bill_count</v>
      </c>
      <c r="H6" s="100" t="str">
        <f>IFERROR(IF(VLOOKUP($O6,Lookup!$G$1:$I$182,3,0)="","",VLOOKUP($O6,Lookup!$G$1:$I$182,3,0)),"")</f>
        <v>total_adjusted_bill_count</v>
      </c>
      <c r="I6" s="100" t="str">
        <f>IFERROR(IF(VLOOKUP(O6,Lookup!$A$1:$B$200,2,0)="","",VLOOKUP(O6,Lookup!$A$1:$B$200,2,0)),"")</f>
        <v>BASIC_SERVICE_CHARGE</v>
      </c>
      <c r="J6" s="100" t="str">
        <f>C6&amp;D6&amp;G6</f>
        <v>5751GRREStotal_bill_count</v>
      </c>
      <c r="K6" s="100" t="str">
        <f>C6&amp;D6&amp;H6</f>
        <v>5751GRREStotal_adjusted_bill_count</v>
      </c>
      <c r="L6" s="100" t="str">
        <f>D6&amp;" "&amp;IFERROR(IF(VLOOKUP(O6,Lookup!$D$1:$E$201,2,0)="","",VLOOKUP(O6,Lookup!$D$1:$E$201,2,0)),"")</f>
        <v>GRRES Basic Service Charges</v>
      </c>
      <c r="O6" s="57" t="s">
        <v>607</v>
      </c>
      <c r="P6" s="59">
        <f>VLOOKUP(E6,'UNSG - ALL RATES'!$A$2:$DF$83,MATCH($I6,'UNSG - ALL RATES'!$A$3:$DF$3,0),0)</f>
        <v>10</v>
      </c>
      <c r="Q6" s="146">
        <f>VLOOKUP($C6&amp;$D6,'[4]Billed Annual Billing Det'!$A$2:$N$16,4,0)</f>
        <v>1804456</v>
      </c>
      <c r="R6" s="103">
        <f>$P6*Q6</f>
        <v>18044560</v>
      </c>
      <c r="S6" s="59"/>
      <c r="T6" s="146">
        <f>VLOOKUP($C6&amp;$D6,'[4]Adjusted Annual Billing Det'!$A$2:$L$16,4,0)</f>
        <v>1814143.5973801531</v>
      </c>
      <c r="U6" s="103">
        <f>$P6*T6</f>
        <v>18141435.973801531</v>
      </c>
      <c r="V6" s="59"/>
      <c r="W6" s="59">
        <f>VLOOKUP(F6,'UNSG - ALL RATES'!$A$2:$CG$83,MATCH($I6,'UNSG - ALL RATES'!$A$3:$CG$3,0),0)</f>
        <v>11.94</v>
      </c>
      <c r="X6" s="295">
        <f>VLOOKUP($C6&amp;$D6,'[4]Proposed Annual Billing Det'!$A$2:$N$16,4,0)</f>
        <v>1814167.5973801531</v>
      </c>
      <c r="Y6" s="59">
        <f>$W6*X6</f>
        <v>21661161.112719029</v>
      </c>
      <c r="AA6" s="79"/>
      <c r="AC6" s="79"/>
      <c r="AD6" s="80"/>
      <c r="AE6" s="80"/>
    </row>
    <row r="7" spans="1:31">
      <c r="A7" s="100">
        <v>41030</v>
      </c>
      <c r="B7" s="100">
        <f>'UNSG - ALL RATES'!$B$25</f>
        <v>46082</v>
      </c>
      <c r="C7" s="101" t="str">
        <f>C6</f>
        <v>5751</v>
      </c>
      <c r="D7" s="104" t="str">
        <f t="shared" ref="D7:D14" si="2">IF(N7="",D6,IF(N8&lt;&gt;D6,N7))</f>
        <v>GRRES</v>
      </c>
      <c r="E7" s="100" t="str">
        <f t="shared" si="0"/>
        <v>41030GRRES</v>
      </c>
      <c r="F7" s="100" t="str">
        <f t="shared" si="1"/>
        <v>46082GRRES</v>
      </c>
      <c r="H7" s="100" t="str">
        <f>IFERROR(IF(VLOOKUP($O7,Lookup!$G$1:$I$182,3,0)="","",VLOOKUP($O7,Lookup!$G$1:$I$182,3,0)),"")</f>
        <v/>
      </c>
      <c r="I7" s="100" t="str">
        <f>IFERROR(IF(VLOOKUP(O7,Lookup!$A$1:$B$200,2,0)="","",VLOOKUP(O7,Lookup!$A$1:$B$200,2,0)),"")</f>
        <v>LFCR_FIXED_UNSG</v>
      </c>
      <c r="J7" s="100" t="str">
        <f>C7&amp;D7&amp;G8</f>
        <v>5751GRREStotal_billed_therms</v>
      </c>
      <c r="K7" s="100" t="str">
        <f t="shared" ref="K7:K30" si="3">C7&amp;D7&amp;H7</f>
        <v>5751GRRES</v>
      </c>
      <c r="L7" s="100" t="str">
        <f>D7&amp;" "&amp;IFERROR(IF(VLOOKUP(O7,Lookup!$D$1:$E$201,2,0)="","",VLOOKUP(O7,Lookup!$D$1:$E$201,2,0)),"")</f>
        <v xml:space="preserve">GRRES </v>
      </c>
      <c r="O7" s="57" t="s">
        <v>608</v>
      </c>
      <c r="P7" s="59">
        <f>VLOOKUP(E7,'UNSG - ALL RATES'!$A$2:$DF$83,MATCH($I7,'UNSG - ALL RATES'!$A$3:$DF$3,0),0)</f>
        <v>1.5</v>
      </c>
      <c r="Q7" s="146">
        <v>0</v>
      </c>
      <c r="R7" s="103">
        <f t="shared" ref="R7" si="4">$P7*Q7</f>
        <v>0</v>
      </c>
      <c r="S7" s="57"/>
      <c r="T7" s="146">
        <v>0</v>
      </c>
      <c r="U7" s="103">
        <f t="shared" ref="U7:U8" si="5">$P7*T7</f>
        <v>0</v>
      </c>
      <c r="V7" s="57"/>
      <c r="W7" s="59">
        <f>VLOOKUP(F7,'UNSG - ALL RATES'!$A$2:$CG$83,MATCH($I7,'UNSG - ALL RATES'!$A$3:$CG$3,0),0)</f>
        <v>0</v>
      </c>
      <c r="X7" s="146">
        <v>0</v>
      </c>
      <c r="Y7" s="57"/>
    </row>
    <row r="8" spans="1:31">
      <c r="A8" s="100">
        <v>41030</v>
      </c>
      <c r="B8" s="100">
        <f>'UNSG - ALL RATES'!$B$25</f>
        <v>46082</v>
      </c>
      <c r="C8" s="101" t="str">
        <f t="shared" ref="C8:C11" si="6">C7</f>
        <v>5751</v>
      </c>
      <c r="D8" s="104" t="str">
        <f t="shared" si="2"/>
        <v>GRRES</v>
      </c>
      <c r="E8" s="100" t="str">
        <f t="shared" ref="E8" si="7">IF(D8="","",A8&amp;$D8)</f>
        <v>41030GRRES</v>
      </c>
      <c r="F8" s="100" t="str">
        <f t="shared" ref="F8" si="8">IF(E8="","",B8&amp;$D8)</f>
        <v>46082GRRES</v>
      </c>
      <c r="G8" s="100" t="str">
        <f>IFERROR(IF(VLOOKUP($O8,Lookup!$G$1:$I$182,2,0)="","",VLOOKUP($O8,Lookup!$G$1:$I$182,2,0)),"")</f>
        <v>total_billed_therms</v>
      </c>
      <c r="H8" s="100" t="str">
        <f>IFERROR(IF(VLOOKUP($O8,Lookup!$G$1:$I$182,3,0)="","",VLOOKUP($O8,Lookup!$G$1:$I$182,3,0)),"")</f>
        <v>total_adjusted_therms</v>
      </c>
      <c r="I8" s="100" t="str">
        <f>IFERROR(IF(VLOOKUP(O8,Lookup!$A$1:$B$200,2,0)="","",VLOOKUP(O8,Lookup!$A$1:$B$200,2,0)),"")</f>
        <v>THERM_DELIVERY_TIER1</v>
      </c>
      <c r="J8" s="100"/>
      <c r="K8" s="100"/>
      <c r="L8" s="100" t="str">
        <f>D8&amp;" "&amp;IFERROR(IF(VLOOKUP(O8,Lookup!$D$1:$E$201,2,0)="","",VLOOKUP(O8,Lookup!$D$1:$E$201,2,0)),"")</f>
        <v xml:space="preserve">GRRES </v>
      </c>
      <c r="O8" s="57" t="s">
        <v>609</v>
      </c>
      <c r="P8" s="194">
        <f>VLOOKUP(E8,'UNSG - ALL RATES'!$A$2:$DF$83,MATCH($I8,'UNSG - ALL RATES'!$A$3:$DF$3,0),0)</f>
        <v>0.34339999999999998</v>
      </c>
      <c r="Q8" s="146">
        <f>VLOOKUP($C8&amp;$D8,'[4]Billed Annual Billing Det'!$A$2:$N$16,5,0)</f>
        <v>81711283</v>
      </c>
      <c r="R8" s="103">
        <f>$P8*Q8</f>
        <v>28059654.582199998</v>
      </c>
      <c r="S8" s="59"/>
      <c r="T8" s="146">
        <f>VLOOKUP($C8&amp;$D8,'[4]Adjusted Annual Billing Det'!$A$2:$L$16,5,0)</f>
        <v>81350019.188227594</v>
      </c>
      <c r="U8" s="103">
        <f t="shared" si="5"/>
        <v>27935596.589237355</v>
      </c>
      <c r="V8" s="102"/>
      <c r="W8" s="194">
        <f>VLOOKUP(F8,'UNSG - ALL RATES'!$A$2:$CG$83,MATCH($I8,'UNSG - ALL RATES'!$A$3:$CG$3,0),0)</f>
        <v>0.38009999999999999</v>
      </c>
      <c r="X8" s="295">
        <f>VLOOKUP($C8&amp;$D8,'[4]Proposed Annual Billing Det'!$A$2:$N$16,5,0)</f>
        <v>81350796.845077872</v>
      </c>
      <c r="Y8" s="59">
        <f>$W8*X8</f>
        <v>30921437.880814098</v>
      </c>
    </row>
    <row r="9" spans="1:31">
      <c r="A9" s="100">
        <v>41030</v>
      </c>
      <c r="B9" s="100">
        <f>'UNSG - ALL RATES'!$B$25</f>
        <v>46082</v>
      </c>
      <c r="C9" s="101" t="str">
        <f t="shared" si="6"/>
        <v>5751</v>
      </c>
      <c r="D9" s="104" t="str">
        <f t="shared" si="2"/>
        <v>GRRES</v>
      </c>
      <c r="E9" s="100" t="str">
        <f t="shared" si="0"/>
        <v>41030GRRES</v>
      </c>
      <c r="F9" s="100" t="str">
        <f t="shared" si="1"/>
        <v>46082GRRES</v>
      </c>
      <c r="G9" s="100" t="str">
        <f>IFERROR(IF(VLOOKUP($O9,Lookup!$G$1:$I$182,2,0)="","",VLOOKUP($O9,Lookup!$G$1:$I$182,2,0)),"")</f>
        <v/>
      </c>
      <c r="H9" s="100" t="str">
        <f>IFERROR(IF(VLOOKUP($O9,Lookup!$G$1:$I$182,3,0)="","",VLOOKUP($O9,Lookup!$G$1:$I$182,3,0)),"")</f>
        <v/>
      </c>
      <c r="I9" s="100" t="str">
        <f>IFERROR(IF(VLOOKUP(O9,Lookup!$A$1:$B$200,2,0)="","",VLOOKUP(O9,Lookup!$A$1:$B$200,2,0)),"")</f>
        <v/>
      </c>
      <c r="J9" s="100" t="str">
        <f>C9&amp;D9&amp;G9</f>
        <v>5751GRRES</v>
      </c>
      <c r="K9" s="100" t="str">
        <f>C9&amp;D9&amp;H9</f>
        <v>5751GRRES</v>
      </c>
      <c r="L9" s="100" t="str">
        <f>D9&amp;" "&amp;IFERROR(IF(VLOOKUP(O9,Lookup!$D$1:$E$201,2,0)="","",VLOOKUP(O9,Lookup!$D$1:$E$201,2,0)),"")</f>
        <v>GRRES Margin Revenues</v>
      </c>
      <c r="O9" s="66" t="s">
        <v>635</v>
      </c>
      <c r="P9" s="102"/>
      <c r="R9" s="103">
        <f>SUM(R6:R8)</f>
        <v>46104214.582199998</v>
      </c>
      <c r="S9" s="103"/>
      <c r="U9" s="103">
        <f>SUM(U6:U8)</f>
        <v>46077032.563038886</v>
      </c>
      <c r="V9" s="102"/>
      <c r="W9" s="102"/>
      <c r="Y9" s="103">
        <f>SUM(Y6:Y8)</f>
        <v>52582598.993533127</v>
      </c>
    </row>
    <row r="10" spans="1:31">
      <c r="A10" s="100">
        <v>41030</v>
      </c>
      <c r="B10" s="100">
        <f>'UNSG - ALL RATES'!$B$25</f>
        <v>46082</v>
      </c>
      <c r="C10" s="101" t="str">
        <f t="shared" si="6"/>
        <v>5751</v>
      </c>
      <c r="D10" s="104" t="str">
        <f t="shared" si="2"/>
        <v>GRRES</v>
      </c>
      <c r="E10" s="100" t="str">
        <f t="shared" ref="E10:E16" si="9">IF(D10="","",A10&amp;$D10)</f>
        <v>41030GRRES</v>
      </c>
      <c r="F10" s="100" t="str">
        <f t="shared" ref="F10:F16" si="10">IF(E10="","",B10&amp;$D10)</f>
        <v>46082GRRES</v>
      </c>
      <c r="G10" s="100" t="str">
        <f>IFERROR(IF(VLOOKUP($O10,Lookup!$G$1:$I$182,2,0)="","",VLOOKUP($O10,Lookup!$G$1:$I$182,2,0)),"")</f>
        <v/>
      </c>
      <c r="H10" s="100" t="str">
        <f>IFERROR(IF(VLOOKUP($O10,Lookup!$G$1:$I$182,3,0)="","",VLOOKUP($O10,Lookup!$G$1:$I$182,3,0)),"")</f>
        <v/>
      </c>
      <c r="I10" s="100" t="str">
        <f>IFERROR(IF(VLOOKUP(O10,Lookup!$A$1:$B$200,2,0)="","",VLOOKUP(O10,Lookup!$A$1:$B$200,2,0)),"")</f>
        <v/>
      </c>
      <c r="J10" s="100" t="str">
        <f t="shared" ref="J10:J30" si="11">C10&amp;D10&amp;G10</f>
        <v>5751GRRES</v>
      </c>
      <c r="K10" s="100" t="str">
        <f t="shared" si="3"/>
        <v>5751GRRES</v>
      </c>
      <c r="L10" s="100" t="str">
        <f>D10&amp;" "&amp;IFERROR(IF(VLOOKUP(O10,Lookup!$D$1:$E$201,2,0)="","",VLOOKUP(O10,Lookup!$D$1:$E$201,2,0)),"")</f>
        <v>GRRES Sales (T)</v>
      </c>
      <c r="O10" s="58" t="s">
        <v>614</v>
      </c>
      <c r="P10" s="102"/>
      <c r="Q10" s="146">
        <f>Q8</f>
        <v>81711283</v>
      </c>
      <c r="T10" s="146">
        <f>T8</f>
        <v>81350019.188227594</v>
      </c>
      <c r="X10" s="146">
        <f>X8</f>
        <v>81350796.845077872</v>
      </c>
      <c r="Y10" s="59"/>
    </row>
    <row r="11" spans="1:31">
      <c r="A11" s="100">
        <v>41030</v>
      </c>
      <c r="B11" s="100">
        <f>'UNSG - ALL RATES'!$B$25</f>
        <v>46082</v>
      </c>
      <c r="C11" s="101" t="str">
        <f t="shared" si="6"/>
        <v>5751</v>
      </c>
      <c r="D11" s="104" t="str">
        <f t="shared" si="2"/>
        <v>GRRES</v>
      </c>
      <c r="E11" s="100" t="str">
        <f t="shared" si="9"/>
        <v>41030GRRES</v>
      </c>
      <c r="F11" s="100" t="str">
        <f t="shared" si="10"/>
        <v>46082GRRES</v>
      </c>
      <c r="G11" s="100" t="str">
        <f>IFERROR(IF(VLOOKUP($O11,Lookup!$G$1:$I$182,2,0)="","",VLOOKUP($O11,Lookup!$G$1:$I$182,2,0)),"")</f>
        <v/>
      </c>
      <c r="H11" s="100" t="str">
        <f>IFERROR(IF(VLOOKUP($O11,Lookup!$G$1:$I$182,3,0)="","",VLOOKUP($O11,Lookup!$G$1:$I$182,3,0)),"")</f>
        <v/>
      </c>
      <c r="I11" s="100" t="str">
        <f>IFERROR(IF(VLOOKUP(O11,Lookup!$A$1:$B$200,2,0)="","",VLOOKUP(O11,Lookup!$A$1:$B$200,2,0)),"")</f>
        <v/>
      </c>
      <c r="J11" s="100" t="str">
        <f t="shared" si="11"/>
        <v>5751GRRES</v>
      </c>
      <c r="K11" s="100" t="str">
        <f t="shared" si="3"/>
        <v>5751GRRES</v>
      </c>
      <c r="L11" s="100" t="str">
        <f>D11&amp;" "&amp;IFERROR(IF(VLOOKUP(O11,Lookup!$D$1:$E$201,2,0)="","",VLOOKUP(O11,Lookup!$D$1:$E$201,2,0)),"")</f>
        <v xml:space="preserve">GRRES </v>
      </c>
      <c r="O11" s="58"/>
      <c r="P11" s="102"/>
      <c r="Y11" s="59"/>
    </row>
    <row r="12" spans="1:31">
      <c r="A12" s="100">
        <v>41030</v>
      </c>
      <c r="B12" s="100">
        <f>'UNSG - ALL RATES'!$B$25</f>
        <v>46082</v>
      </c>
      <c r="C12" s="101" t="str">
        <f>M12</f>
        <v>5752</v>
      </c>
      <c r="D12" s="104" t="str">
        <f t="shared" si="2"/>
        <v>GRRESC</v>
      </c>
      <c r="E12" s="100" t="str">
        <f t="shared" si="9"/>
        <v>41030GRRESC</v>
      </c>
      <c r="F12" s="100" t="str">
        <f t="shared" si="10"/>
        <v>46082GRRESC</v>
      </c>
      <c r="G12" s="100" t="str">
        <f>IFERROR(IF(VLOOKUP($O12,Lookup!$G$1:$I$182,2,0)="","",VLOOKUP($O12,Lookup!$G$1:$I$182,2,0)),"")</f>
        <v/>
      </c>
      <c r="H12" s="100" t="str">
        <f>IFERROR(IF(VLOOKUP($O12,Lookup!$G$1:$I$182,3,0)="","",VLOOKUP($O12,Lookup!$G$1:$I$182,3,0)),"")</f>
        <v/>
      </c>
      <c r="I12" s="100" t="str">
        <f>IFERROR(IF(VLOOKUP(O12,Lookup!$A$1:$B$200,2,0)="","",VLOOKUP(O12,Lookup!$A$1:$B$200,2,0)),"")</f>
        <v/>
      </c>
      <c r="J12" s="100" t="str">
        <f t="shared" si="11"/>
        <v>5752GRRESC</v>
      </c>
      <c r="K12" s="100" t="str">
        <f t="shared" si="3"/>
        <v>5752GRRESC</v>
      </c>
      <c r="L12" s="100" t="str">
        <f>D12&amp;" "&amp;IFERROR(IF(VLOOKUP(O12,Lookup!$D$1:$E$201,2,0)="","",VLOOKUP(O12,Lookup!$D$1:$E$201,2,0)),"")</f>
        <v xml:space="preserve">GRRESC </v>
      </c>
      <c r="M12" s="101" t="str">
        <f>VLOOKUP(N12,'UNSG - ALL RATES'!$E$25:$F$41,2,0)</f>
        <v>5752</v>
      </c>
      <c r="N12" s="179" t="str">
        <f>'UNSG - ALL RATES'!F16</f>
        <v>GRRESC</v>
      </c>
      <c r="O12" s="58" t="str">
        <f>VLOOKUP($N12,'UNSG - ALL RATES'!$F$2:$G$383,2,0)</f>
        <v>Residential CARES Gas Service</v>
      </c>
      <c r="S12" s="59"/>
      <c r="Y12" s="59"/>
    </row>
    <row r="13" spans="1:31">
      <c r="A13" s="100">
        <v>41030</v>
      </c>
      <c r="B13" s="100">
        <f>'UNSG - ALL RATES'!$B$25</f>
        <v>46082</v>
      </c>
      <c r="C13" s="101" t="str">
        <f>C12</f>
        <v>5752</v>
      </c>
      <c r="D13" s="104" t="str">
        <f t="shared" si="2"/>
        <v>GRRESC</v>
      </c>
      <c r="E13" s="100" t="str">
        <f t="shared" si="9"/>
        <v>41030GRRESC</v>
      </c>
      <c r="F13" s="100" t="str">
        <f t="shared" si="10"/>
        <v>46082GRRESC</v>
      </c>
      <c r="G13" s="100" t="str">
        <f>IFERROR(IF(VLOOKUP($O13,Lookup!$G$1:$I$182,2,0)="","",VLOOKUP($O13,Lookup!$G$1:$I$182,2,0)),"")</f>
        <v>total_bill_count</v>
      </c>
      <c r="H13" s="100" t="str">
        <f>IFERROR(IF(VLOOKUP($O13,Lookup!$G$1:$I$182,3,0)="","",VLOOKUP($O13,Lookup!$G$1:$I$182,3,0)),"")</f>
        <v>total_adjusted_bill_count</v>
      </c>
      <c r="I13" s="100" t="str">
        <f>IFERROR(IF(VLOOKUP(O13,Lookup!$A$1:$B$200,2,0)="","",VLOOKUP(O13,Lookup!$A$1:$B$200,2,0)),"")</f>
        <v>BASIC_SERVICE_CHARGE</v>
      </c>
      <c r="J13" s="100" t="str">
        <f t="shared" si="11"/>
        <v>5752GRRESCtotal_bill_count</v>
      </c>
      <c r="K13" s="100" t="str">
        <f t="shared" si="3"/>
        <v>5752GRRESCtotal_adjusted_bill_count</v>
      </c>
      <c r="L13" s="100" t="str">
        <f>D13&amp;" "&amp;IFERROR(IF(VLOOKUP(O13,Lookup!$D$1:$E$201,2,0)="","",VLOOKUP(O13,Lookup!$D$1:$E$201,2,0)),"")</f>
        <v>GRRESC Basic Service Charges</v>
      </c>
      <c r="O13" s="57" t="s">
        <v>607</v>
      </c>
      <c r="P13" s="59">
        <v>10</v>
      </c>
      <c r="Q13" s="146">
        <f>VLOOKUP($C13&amp;$D13,'[4]Billed Annual Billing Det'!$A$2:$N$16,4,0)</f>
        <v>73604</v>
      </c>
      <c r="R13" s="103">
        <f>$P13*Q13</f>
        <v>736040</v>
      </c>
      <c r="S13" s="59"/>
      <c r="T13" s="146">
        <f>VLOOKUP($C13&amp;$D13,'[4]Adjusted Annual Billing Det'!$A$2:$L$16,4,0)</f>
        <v>69685.695402055382</v>
      </c>
      <c r="U13" s="103">
        <f>$P13*T13</f>
        <v>696856.95402055385</v>
      </c>
      <c r="V13" s="59"/>
      <c r="W13" s="59">
        <f>VLOOKUP(F13,'UNSG - ALL RATES'!$A$2:$CG$83,MATCH($I13,'UNSG - ALL RATES'!$A$3:$CG$3,0),0)</f>
        <v>11.94</v>
      </c>
      <c r="X13" s="295">
        <f>VLOOKUP($C13&amp;$D13,'[4]Proposed Annual Billing Det'!$A$2:$N$16,4,0)</f>
        <v>69685.695402055382</v>
      </c>
      <c r="Y13" s="103">
        <f>$W13*X13</f>
        <v>832047.20310054126</v>
      </c>
    </row>
    <row r="14" spans="1:31">
      <c r="A14" s="100">
        <v>41030</v>
      </c>
      <c r="B14" s="100">
        <f>'UNSG - ALL RATES'!$B$25</f>
        <v>46082</v>
      </c>
      <c r="C14" s="101" t="str">
        <f t="shared" ref="C14:C73" si="12">C13</f>
        <v>5752</v>
      </c>
      <c r="D14" s="104" t="str">
        <f t="shared" si="2"/>
        <v>GRRESC</v>
      </c>
      <c r="E14" s="100" t="str">
        <f t="shared" si="9"/>
        <v>41030GRRESC</v>
      </c>
      <c r="F14" s="100" t="str">
        <f t="shared" si="10"/>
        <v>46082GRRESC</v>
      </c>
      <c r="G14" s="100" t="str">
        <f>IFERROR(IF(VLOOKUP($O14,Lookup!$G$1:$I$182,2,0)="","",VLOOKUP($O14,Lookup!$G$1:$I$182,2,0)),"")</f>
        <v/>
      </c>
      <c r="H14" s="100" t="str">
        <f>IFERROR(IF(VLOOKUP($O14,Lookup!$G$1:$I$182,3,0)="","",VLOOKUP($O14,Lookup!$G$1:$I$182,3,0)),"")</f>
        <v/>
      </c>
      <c r="I14" s="100" t="str">
        <f>IFERROR(IF(VLOOKUP(O14,Lookup!$A$1:$B$200,2,0)="","",VLOOKUP(O14,Lookup!$A$1:$B$200,2,0)),"")</f>
        <v>LFCR_FIXED_UNSG</v>
      </c>
      <c r="J14" s="100" t="str">
        <f t="shared" si="11"/>
        <v>5752GRRESC</v>
      </c>
      <c r="K14" s="100" t="str">
        <f t="shared" si="3"/>
        <v>5752GRRESC</v>
      </c>
      <c r="L14" s="100" t="str">
        <f>D14&amp;" "&amp;IFERROR(IF(VLOOKUP(O14,Lookup!$D$1:$E$201,2,0)="","",VLOOKUP(O14,Lookup!$D$1:$E$201,2,0)),"")</f>
        <v xml:space="preserve">GRRESC </v>
      </c>
      <c r="O14" s="57" t="s">
        <v>608</v>
      </c>
      <c r="P14" s="59">
        <f>VLOOKUP(E14,'UNSG - ALL RATES'!$A$2:$CG$83,MATCH($I14,'UNSG - ALL RATES'!$A$3:$CG$3,0),0)</f>
        <v>1.5</v>
      </c>
      <c r="Q14" s="146">
        <v>0</v>
      </c>
      <c r="R14" s="103">
        <f>$P14*Q14</f>
        <v>0</v>
      </c>
      <c r="S14" s="59"/>
      <c r="T14" s="146">
        <v>0</v>
      </c>
      <c r="U14" s="103">
        <f t="shared" ref="U14:U15" si="13">$P14*T14</f>
        <v>0</v>
      </c>
      <c r="V14" s="61"/>
      <c r="W14" s="59">
        <f>VLOOKUP(F14,'UNSG - ALL RATES'!$A$2:$CG$83,MATCH($I14,'UNSG - ALL RATES'!$A$3:$CG$3,0),0)</f>
        <v>0</v>
      </c>
      <c r="X14" s="146">
        <v>0</v>
      </c>
      <c r="Y14" s="103">
        <f>$W14*X14</f>
        <v>0</v>
      </c>
    </row>
    <row r="15" spans="1:31">
      <c r="A15" s="100">
        <v>41030</v>
      </c>
      <c r="B15" s="100">
        <f>'UNSG - ALL RATES'!$B$25</f>
        <v>46082</v>
      </c>
      <c r="C15" s="101" t="str">
        <f t="shared" si="12"/>
        <v>5752</v>
      </c>
      <c r="D15" s="104" t="str">
        <f>IF(N15="",D14,IF(#REF!&lt;&gt;D14,N15))</f>
        <v>GRRESC</v>
      </c>
      <c r="E15" s="100" t="str">
        <f t="shared" si="9"/>
        <v>41030GRRESC</v>
      </c>
      <c r="F15" s="100" t="str">
        <f t="shared" si="10"/>
        <v>46082GRRESC</v>
      </c>
      <c r="G15" s="100" t="str">
        <f>IFERROR(IF(VLOOKUP($O15,Lookup!$G$1:$I$182,2,0)="","",VLOOKUP($O15,Lookup!$G$1:$I$182,2,0)),"")</f>
        <v>total_billed_therms</v>
      </c>
      <c r="H15" s="100" t="str">
        <f>IFERROR(IF(VLOOKUP($O15,Lookup!$G$1:$I$182,3,0)="","",VLOOKUP($O15,Lookup!$G$1:$I$182,3,0)),"")</f>
        <v>total_adjusted_therms</v>
      </c>
      <c r="I15" s="100" t="str">
        <f>IFERROR(IF(VLOOKUP(O15,Lookup!$A$1:$B$200,2,0)="","",VLOOKUP(O15,Lookup!$A$1:$B$200,2,0)),"")</f>
        <v>THERM_DELIVERY_TIER1</v>
      </c>
      <c r="J15" s="100" t="str">
        <f t="shared" si="11"/>
        <v>5752GRRESCtotal_billed_therms</v>
      </c>
      <c r="K15" s="100" t="str">
        <f t="shared" si="3"/>
        <v>5752GRRESCtotal_adjusted_therms</v>
      </c>
      <c r="L15" s="100" t="str">
        <f>D15&amp;" "&amp;IFERROR(IF(VLOOKUP(O15,Lookup!$D$1:$E$201,2,0)="","",VLOOKUP(O15,Lookup!$D$1:$E$201,2,0)),"")</f>
        <v xml:space="preserve">GRRESC </v>
      </c>
      <c r="O15" s="57" t="s">
        <v>609</v>
      </c>
      <c r="P15" s="194">
        <f>VLOOKUP(E15,'UNSG - ALL RATES'!$A$2:$DF$83,MATCH($I15,'UNSG - ALL RATES'!$A$3:$DF$3,0),0)</f>
        <v>0.34339999999999998</v>
      </c>
      <c r="Q15" s="146">
        <f>VLOOKUP($C15&amp;$D15,'[4]Billed Annual Billing Det'!$A$2:$N$16,5,0)</f>
        <v>2710566</v>
      </c>
      <c r="R15" s="103">
        <f>$P15*Q15</f>
        <v>930808.36439999996</v>
      </c>
      <c r="S15" s="59"/>
      <c r="T15" s="146">
        <f>VLOOKUP($C15&amp;$D15,'[4]Adjusted Annual Billing Det'!$A$2:$L$16,5,0)</f>
        <v>2494386.7258533677</v>
      </c>
      <c r="U15" s="103">
        <f t="shared" si="13"/>
        <v>856572.40165804641</v>
      </c>
      <c r="V15" s="61"/>
      <c r="W15" s="194">
        <f>VLOOKUP(F15,'UNSG - ALL RATES'!$A$2:$CG$83,MATCH($I15,'UNSG - ALL RATES'!$A$3:$CG$3,0),0)</f>
        <v>0.38009999999999999</v>
      </c>
      <c r="X15" s="295">
        <f>VLOOKUP($C15&amp;$D15,'[4]Proposed Annual Billing Det'!$A$2:$N$16,5,0)</f>
        <v>2494386.7258533677</v>
      </c>
      <c r="Y15" s="103">
        <f>$W15*X15</f>
        <v>948116.3944968651</v>
      </c>
    </row>
    <row r="16" spans="1:31">
      <c r="A16" s="100">
        <v>41030</v>
      </c>
      <c r="B16" s="100">
        <f>'UNSG - ALL RATES'!$B$25</f>
        <v>46082</v>
      </c>
      <c r="C16" s="101" t="str">
        <f t="shared" si="12"/>
        <v>5752</v>
      </c>
      <c r="D16" s="104" t="str">
        <f>IF(N16="",D15,IF(#REF!&lt;&gt;D15,N16))</f>
        <v>GRRESC</v>
      </c>
      <c r="E16" s="100" t="str">
        <f t="shared" si="9"/>
        <v>41030GRRESC</v>
      </c>
      <c r="F16" s="100" t="str">
        <f t="shared" si="10"/>
        <v>46082GRRESC</v>
      </c>
      <c r="G16" s="100" t="str">
        <f>IFERROR(IF(VLOOKUP($O16,Lookup!$G$1:$I$182,2,0)="","",VLOOKUP($O16,Lookup!$G$1:$I$182,2,0)),"")</f>
        <v/>
      </c>
      <c r="H16" s="100" t="str">
        <f>IFERROR(IF(VLOOKUP($O16,Lookup!$G$1:$I$182,3,0)="","",VLOOKUP($O16,Lookup!$G$1:$I$182,3,0)),"")</f>
        <v/>
      </c>
      <c r="I16" s="100" t="str">
        <f>IFERROR(IF(VLOOKUP(O16,Lookup!$A$1:$B$200,2,0)="","",VLOOKUP(O16,Lookup!$A$1:$B$200,2,0)),"")</f>
        <v/>
      </c>
      <c r="J16" s="100" t="str">
        <f t="shared" ref="J16" si="14">C16&amp;D16&amp;G16</f>
        <v>5752GRRESC</v>
      </c>
      <c r="K16" s="100" t="str">
        <f t="shared" ref="K16" si="15">C16&amp;D16&amp;H16</f>
        <v>5752GRRESC</v>
      </c>
      <c r="L16" s="100"/>
      <c r="O16" s="57" t="s">
        <v>636</v>
      </c>
      <c r="P16" s="61"/>
      <c r="R16" s="103">
        <f>'[4]Billed Annual Billing Det'!$L$13</f>
        <v>-511950.6</v>
      </c>
      <c r="S16" s="59"/>
      <c r="V16" s="61"/>
      <c r="W16" s="61"/>
      <c r="Y16" s="103">
        <v>0</v>
      </c>
    </row>
    <row r="17" spans="1:25">
      <c r="A17" s="100">
        <v>41030</v>
      </c>
      <c r="B17" s="100">
        <f>'UNSG - ALL RATES'!$B$25</f>
        <v>46082</v>
      </c>
      <c r="C17" s="101" t="str">
        <f t="shared" si="12"/>
        <v>5752</v>
      </c>
      <c r="D17" s="104" t="str">
        <f t="shared" ref="D17:D21" si="16">IF(N17="",D16,IF(N18&lt;&gt;D16,N17))</f>
        <v>GRRESC</v>
      </c>
      <c r="E17" s="100" t="str">
        <f t="shared" ref="E17:E37" si="17">IF(D17="","",A17&amp;$D17)</f>
        <v>41030GRRESC</v>
      </c>
      <c r="F17" s="100" t="str">
        <f t="shared" ref="F17:F37" si="18">IF(E17="","",B17&amp;$D17)</f>
        <v>46082GRRESC</v>
      </c>
      <c r="G17" s="100" t="str">
        <f>IFERROR(IF(VLOOKUP($O17,Lookup!$G$1:$I$182,2,0)="","",VLOOKUP($O17,Lookup!$G$1:$I$182,2,0)),"")</f>
        <v/>
      </c>
      <c r="H17" s="100" t="str">
        <f>IFERROR(IF(VLOOKUP($O17,Lookup!$G$1:$I$182,3,0)="","",VLOOKUP($O17,Lookup!$G$1:$I$182,3,0)),"")</f>
        <v/>
      </c>
      <c r="I17" s="100" t="str">
        <f>IFERROR(IF(VLOOKUP(O17,Lookup!$A$1:$B$200,2,0)="","",VLOOKUP(O17,Lookup!$A$1:$B$200,2,0)),"")</f>
        <v/>
      </c>
      <c r="J17" s="100"/>
      <c r="K17" s="100"/>
      <c r="L17" s="100" t="str">
        <f>D17&amp;" "&amp;IFERROR(IF(VLOOKUP(O17,Lookup!$D$1:$E$201,2,0)="","",VLOOKUP(O17,Lookup!$D$1:$E$201,2,0)),"")</f>
        <v>GRRESC Margin Revenues</v>
      </c>
      <c r="O17" s="66" t="s">
        <v>635</v>
      </c>
      <c r="P17" s="61"/>
      <c r="R17" s="103">
        <f>SUM(R13:R16)</f>
        <v>1154897.7643999998</v>
      </c>
      <c r="S17" s="59"/>
      <c r="U17" s="103">
        <f>SUM(U13:U16)</f>
        <v>1553429.3556786003</v>
      </c>
      <c r="V17" s="61"/>
      <c r="W17" s="61"/>
      <c r="Y17" s="103">
        <f>SUM(Y13:Y16)</f>
        <v>1780163.5975974062</v>
      </c>
    </row>
    <row r="18" spans="1:25">
      <c r="A18" s="100">
        <v>41030</v>
      </c>
      <c r="B18" s="100">
        <f>'UNSG - ALL RATES'!$B$25</f>
        <v>46082</v>
      </c>
      <c r="C18" s="101" t="str">
        <f t="shared" si="12"/>
        <v>5752</v>
      </c>
      <c r="D18" s="104" t="str">
        <f t="shared" si="16"/>
        <v>GRRESC</v>
      </c>
      <c r="E18" s="100" t="str">
        <f t="shared" si="17"/>
        <v>41030GRRESC</v>
      </c>
      <c r="F18" s="100" t="str">
        <f t="shared" si="18"/>
        <v>46082GRRESC</v>
      </c>
      <c r="G18" s="100" t="str">
        <f>IFERROR(IF(VLOOKUP($O18,Lookup!$G$1:$I$182,2,0)="","",VLOOKUP($O18,Lookup!$G$1:$I$182,2,0)),"")</f>
        <v/>
      </c>
      <c r="H18" s="100" t="str">
        <f>IFERROR(IF(VLOOKUP($O18,Lookup!$G$1:$I$182,3,0)="","",VLOOKUP($O18,Lookup!$G$1:$I$182,3,0)),"")</f>
        <v/>
      </c>
      <c r="I18" s="100" t="str">
        <f>IFERROR(IF(VLOOKUP(O18,Lookup!$A$1:$B$200,2,0)="","",VLOOKUP(O18,Lookup!$A$1:$B$200,2,0)),"")</f>
        <v/>
      </c>
      <c r="J18" s="100" t="str">
        <f t="shared" si="11"/>
        <v>5752GRRESC</v>
      </c>
      <c r="K18" s="100" t="str">
        <f t="shared" si="3"/>
        <v>5752GRRESC</v>
      </c>
      <c r="L18" s="100" t="str">
        <f>D18&amp;" "&amp;IFERROR(IF(VLOOKUP(O18,Lookup!$D$1:$E$201,2,0)="","",VLOOKUP(O18,Lookup!$D$1:$E$201,2,0)),"")</f>
        <v>GRRESC Sales (T)</v>
      </c>
      <c r="O18" s="58" t="s">
        <v>614</v>
      </c>
      <c r="P18" s="102"/>
      <c r="Q18" s="146">
        <f>SUM(Q15:Q15)</f>
        <v>2710566</v>
      </c>
      <c r="S18" s="103"/>
      <c r="T18" s="146">
        <f>SUM(T15:T15)</f>
        <v>2494386.7258533677</v>
      </c>
      <c r="V18" s="102"/>
      <c r="W18" s="102"/>
      <c r="X18" s="146">
        <f>SUM(X15:X15)</f>
        <v>2494386.7258533677</v>
      </c>
      <c r="Y18" s="103"/>
    </row>
    <row r="19" spans="1:25">
      <c r="A19" s="100">
        <v>41030</v>
      </c>
      <c r="B19" s="100">
        <f>'UNSG - ALL RATES'!$B$25</f>
        <v>46082</v>
      </c>
      <c r="C19" s="101" t="str">
        <f>M12</f>
        <v>5752</v>
      </c>
      <c r="D19" s="104" t="str">
        <f t="shared" si="16"/>
        <v>GRRESC</v>
      </c>
      <c r="E19" s="100" t="str">
        <f t="shared" si="17"/>
        <v>41030GRRESC</v>
      </c>
      <c r="F19" s="100" t="str">
        <f t="shared" si="18"/>
        <v>46082GRRESC</v>
      </c>
      <c r="G19" s="100" t="str">
        <f>IFERROR(IF(VLOOKUP($O19,Lookup!$G$1:$I$182,2,0)="","",VLOOKUP($O19,Lookup!$G$1:$I$182,2,0)),"")</f>
        <v/>
      </c>
      <c r="H19" s="100" t="str">
        <f>IFERROR(IF(VLOOKUP($O19,Lookup!$G$1:$I$182,3,0)="","",VLOOKUP($O19,Lookup!$G$1:$I$182,3,0)),"")</f>
        <v/>
      </c>
      <c r="I19" s="100" t="str">
        <f>IFERROR(IF(VLOOKUP(O19,Lookup!$A$1:$B$200,2,0)="","",VLOOKUP(O19,Lookup!$A$1:$B$200,2,0)),"")</f>
        <v/>
      </c>
      <c r="J19" s="100" t="str">
        <f t="shared" si="11"/>
        <v>5752GRRESC</v>
      </c>
      <c r="K19" s="100" t="str">
        <f t="shared" si="3"/>
        <v>5752GRRESC</v>
      </c>
      <c r="L19" s="100" t="str">
        <f>D19&amp;" "&amp;IFERROR(IF(VLOOKUP(O19,Lookup!$D$1:$E$201,2,0)="","",VLOOKUP(O19,Lookup!$D$1:$E$201,2,0)),"")</f>
        <v xml:space="preserve">GRRESC </v>
      </c>
      <c r="O19" s="58"/>
      <c r="P19" s="102"/>
      <c r="S19" s="59"/>
      <c r="V19" s="102"/>
      <c r="W19" s="102"/>
      <c r="Y19" s="103"/>
    </row>
    <row r="20" spans="1:25">
      <c r="A20" s="100">
        <v>41030</v>
      </c>
      <c r="B20" s="100">
        <f>'UNSG - ALL RATES'!$B$25</f>
        <v>46082</v>
      </c>
      <c r="C20" s="101" t="str">
        <f>M20</f>
        <v>5753</v>
      </c>
      <c r="D20" s="104" t="str">
        <f t="shared" si="16"/>
        <v>GGSVS</v>
      </c>
      <c r="E20" s="100" t="str">
        <f t="shared" si="17"/>
        <v>41030GGSVS</v>
      </c>
      <c r="F20" s="100" t="str">
        <f t="shared" si="18"/>
        <v>46082GGSVS</v>
      </c>
      <c r="G20" s="100" t="str">
        <f>IFERROR(IF(VLOOKUP($O20,Lookup!$G$1:$I$182,2,0)="","",VLOOKUP($O20,Lookup!$G$1:$I$182,2,0)),"")</f>
        <v/>
      </c>
      <c r="H20" s="100" t="str">
        <f>IFERROR(IF(VLOOKUP($O20,Lookup!$G$1:$I$182,3,0)="","",VLOOKUP($O20,Lookup!$G$1:$I$182,3,0)),"")</f>
        <v/>
      </c>
      <c r="I20" s="100" t="str">
        <f>IFERROR(IF(VLOOKUP(O20,Lookup!$A$1:$B$200,2,0)="","",VLOOKUP(O20,Lookup!$A$1:$B$200,2,0)),"")</f>
        <v/>
      </c>
      <c r="J20" s="100" t="str">
        <f t="shared" si="11"/>
        <v>5753GGSVS</v>
      </c>
      <c r="K20" s="100" t="str">
        <f t="shared" si="3"/>
        <v>5753GGSVS</v>
      </c>
      <c r="L20" s="100" t="str">
        <f>D20&amp;" "&amp;IFERROR(IF(VLOOKUP(O20,Lookup!$D$1:$E$201,2,0)="","",VLOOKUP(O20,Lookup!$D$1:$E$201,2,0)),"")</f>
        <v xml:space="preserve">GGSVS </v>
      </c>
      <c r="M20" s="101" t="str">
        <f>VLOOKUP(N20,'UNSG - ALL RATES'!$E$25:$F$41,2,0)</f>
        <v>5753</v>
      </c>
      <c r="N20" s="179" t="str">
        <f>'UNSG - ALL RATES'!F4</f>
        <v>GGSVS</v>
      </c>
      <c r="O20" s="58" t="str">
        <f>VLOOKUP($N20,'UNSG - ALL RATES'!$F$2:$G$383,2,0)</f>
        <v>Small Volume Commercial Service</v>
      </c>
      <c r="S20" s="59"/>
      <c r="Y20" s="103"/>
    </row>
    <row r="21" spans="1:25">
      <c r="A21" s="100">
        <v>41030</v>
      </c>
      <c r="B21" s="100">
        <f>'UNSG - ALL RATES'!$B$25</f>
        <v>46082</v>
      </c>
      <c r="C21" s="101" t="str">
        <f t="shared" si="12"/>
        <v>5753</v>
      </c>
      <c r="D21" s="104" t="str">
        <f t="shared" si="16"/>
        <v>GGSVS</v>
      </c>
      <c r="E21" s="100" t="str">
        <f t="shared" si="17"/>
        <v>41030GGSVS</v>
      </c>
      <c r="F21" s="100" t="str">
        <f t="shared" si="18"/>
        <v>46082GGSVS</v>
      </c>
      <c r="G21" s="100" t="str">
        <f>IFERROR(IF(VLOOKUP($O21,Lookup!$G$1:$I$182,2,0)="","",VLOOKUP($O21,Lookup!$G$1:$I$182,2,0)),"")</f>
        <v>total_bill_count</v>
      </c>
      <c r="H21" s="100" t="str">
        <f>IFERROR(IF(VLOOKUP($O21,Lookup!$G$1:$I$182,3,0)="","",VLOOKUP($O21,Lookup!$G$1:$I$182,3,0)),"")</f>
        <v>total_adjusted_bill_count</v>
      </c>
      <c r="I21" s="100" t="str">
        <f>IFERROR(IF(VLOOKUP(O21,Lookup!$A$1:$B$200,2,0)="","",VLOOKUP(O21,Lookup!$A$1:$B$200,2,0)),"")</f>
        <v>BASIC_SERVICE_CHARGE</v>
      </c>
      <c r="J21" s="100" t="str">
        <f t="shared" si="11"/>
        <v>5753GGSVStotal_bill_count</v>
      </c>
      <c r="K21" s="100" t="str">
        <f t="shared" si="3"/>
        <v>5753GGSVStotal_adjusted_bill_count</v>
      </c>
      <c r="L21" s="100" t="str">
        <f>D21&amp;" "&amp;IFERROR(IF(VLOOKUP(O21,Lookup!$D$1:$E$201,2,0)="","",VLOOKUP(O21,Lookup!$D$1:$E$201,2,0)),"")</f>
        <v>GGSVS Basic Service Charges</v>
      </c>
      <c r="O21" s="57" t="s">
        <v>607</v>
      </c>
      <c r="P21" s="59">
        <f>VLOOKUP(E21,'UNSG - ALL RATES'!$A$2:$CG$83,MATCH($I21,'UNSG - ALL RATES'!$A$3:$CG$3,0),0)</f>
        <v>20</v>
      </c>
      <c r="Q21" s="146">
        <f>VLOOKUP($C21&amp;$D21,'[4]Billed Annual Billing Det'!$A$2:$N$16,4,0)</f>
        <v>146178</v>
      </c>
      <c r="R21" s="103">
        <f>$P21*Q21</f>
        <v>2923560</v>
      </c>
      <c r="S21" s="59"/>
      <c r="T21" s="146">
        <f>VLOOKUP($C21&amp;$D21,'[4]Adjusted Annual Billing Det'!$A$2:$L$16,4,0)</f>
        <v>146536.54071046272</v>
      </c>
      <c r="U21" s="103">
        <f>$P21*T21</f>
        <v>2930730.8142092545</v>
      </c>
      <c r="V21" s="59"/>
      <c r="W21" s="59">
        <f>VLOOKUP(F21,'UNSG - ALL RATES'!$A$2:$CG$83,MATCH($I21,'UNSG - ALL RATES'!$A$3:$CG$3,0),0)</f>
        <v>28.32</v>
      </c>
      <c r="X21" s="295">
        <f>VLOOKUP($C21&amp;$D21,'[4]Proposed Annual Billing Det'!$A$2:$N$16,4,0)</f>
        <v>159201.40811471199</v>
      </c>
      <c r="Y21" s="103">
        <f>$W21*X21</f>
        <v>4508583.8778086435</v>
      </c>
    </row>
    <row r="22" spans="1:25">
      <c r="A22" s="100">
        <v>41030</v>
      </c>
      <c r="B22" s="100">
        <f>'UNSG - ALL RATES'!$B$25</f>
        <v>46082</v>
      </c>
      <c r="C22" s="101" t="str">
        <f t="shared" si="12"/>
        <v>5753</v>
      </c>
      <c r="D22" s="104" t="str">
        <f>IF(N22="",D21,IF(#REF!&lt;&gt;D21,N22))</f>
        <v>GGSVS</v>
      </c>
      <c r="E22" s="100" t="str">
        <f t="shared" si="17"/>
        <v>41030GGSVS</v>
      </c>
      <c r="F22" s="100" t="str">
        <f t="shared" si="18"/>
        <v>46082GGSVS</v>
      </c>
      <c r="G22" s="100" t="str">
        <f>IFERROR(IF(VLOOKUP($O22,Lookup!$G$1:$I$182,2,0)="","",VLOOKUP($O22,Lookup!$G$1:$I$182,2,0)),"")</f>
        <v>total_billed_therms</v>
      </c>
      <c r="H22" s="100" t="str">
        <f>IFERROR(IF(VLOOKUP($O22,Lookup!$G$1:$I$182,3,0)="","",VLOOKUP($O22,Lookup!$G$1:$I$182,3,0)),"")</f>
        <v>total_adjusted_therms</v>
      </c>
      <c r="I22" s="100" t="str">
        <f>IFERROR(IF(VLOOKUP(O22,Lookup!$A$1:$B$200,2,0)="","",VLOOKUP(O22,Lookup!$A$1:$B$200,2,0)),"")</f>
        <v>THERM_DELIVERY_TIER1</v>
      </c>
      <c r="J22" s="100" t="str">
        <f t="shared" si="11"/>
        <v>5753GGSVStotal_billed_therms</v>
      </c>
      <c r="K22" s="100" t="str">
        <f t="shared" si="3"/>
        <v>5753GGSVStotal_adjusted_therms</v>
      </c>
      <c r="L22" s="100" t="str">
        <f>D22&amp;" "&amp;IFERROR(IF(VLOOKUP(O22,Lookup!$D$1:$E$201,2,0)="","",VLOOKUP(O22,Lookup!$D$1:$E$201,2,0)),"")</f>
        <v xml:space="preserve">GGSVS </v>
      </c>
      <c r="O22" s="57" t="s">
        <v>609</v>
      </c>
      <c r="P22" s="194">
        <f>VLOOKUP(E22,'UNSG - ALL RATES'!$A$2:$CG$83,MATCH($I22,'UNSG - ALL RATES'!$A$3:$CG$3,0),0)</f>
        <v>0.28370000000000001</v>
      </c>
      <c r="Q22" s="146">
        <f>VLOOKUP($C22&amp;$D22,'[4]Billed Annual Billing Det'!$A$2:$N$16,5,0)</f>
        <v>33936462</v>
      </c>
      <c r="R22" s="103">
        <f>$P22*Q22</f>
        <v>9627774.2694000006</v>
      </c>
      <c r="S22" s="59"/>
      <c r="T22" s="146">
        <f>VLOOKUP($C22&amp;$D22,'[4]Adjusted Annual Billing Det'!$A$2:$L$16,5,0)</f>
        <v>33757920.187754832</v>
      </c>
      <c r="U22" s="103">
        <f>$P22*T22</f>
        <v>9577121.9572660457</v>
      </c>
      <c r="V22" s="59"/>
      <c r="W22" s="194">
        <f>VLOOKUP(F22,'UNSG - ALL RATES'!$A$2:$CG$83,MATCH($I22,'UNSG - ALL RATES'!$A$3:$CG$3,0),0)</f>
        <v>0.31340000000000001</v>
      </c>
      <c r="X22" s="295">
        <f>VLOOKUP($C22&amp;$D22,'[4]Proposed Annual Billing Det'!$A$2:$N$16,5,0)</f>
        <v>36221648.273520097</v>
      </c>
      <c r="Y22" s="103">
        <f>$W22*X22</f>
        <v>11351864.568921199</v>
      </c>
    </row>
    <row r="23" spans="1:25">
      <c r="A23" s="100">
        <v>41030</v>
      </c>
      <c r="B23" s="100">
        <f>'UNSG - ALL RATES'!$B$25</f>
        <v>46082</v>
      </c>
      <c r="C23" s="101" t="str">
        <f t="shared" si="12"/>
        <v>5753</v>
      </c>
      <c r="D23" s="104" t="str">
        <f t="shared" ref="D23:D29" si="19">IF(N23="",D22,IF(N24&lt;&gt;D22,N23))</f>
        <v>GGSVS</v>
      </c>
      <c r="E23" s="100" t="str">
        <f t="shared" si="17"/>
        <v>41030GGSVS</v>
      </c>
      <c r="F23" s="100" t="str">
        <f t="shared" si="18"/>
        <v>46082GGSVS</v>
      </c>
      <c r="G23" s="100" t="str">
        <f>IFERROR(IF(VLOOKUP($O23,Lookup!$G$1:$I$182,2,0)="","",VLOOKUP($O23,Lookup!$G$1:$I$182,2,0)),"")</f>
        <v/>
      </c>
      <c r="H23" s="100" t="str">
        <f>IFERROR(IF(VLOOKUP($O23,Lookup!$G$1:$I$182,3,0)="","",VLOOKUP($O23,Lookup!$G$1:$I$182,3,0)),"")</f>
        <v/>
      </c>
      <c r="I23" s="100" t="str">
        <f>IFERROR(IF(VLOOKUP(O23,Lookup!$A$1:$B$200,2,0)="","",VLOOKUP(O23,Lookup!$A$1:$B$200,2,0)),"")</f>
        <v/>
      </c>
      <c r="J23" s="100" t="str">
        <f t="shared" si="11"/>
        <v>5753GGSVS</v>
      </c>
      <c r="K23" s="100" t="str">
        <f t="shared" si="3"/>
        <v>5753GGSVS</v>
      </c>
      <c r="L23" s="100" t="str">
        <f>D23&amp;" "&amp;IFERROR(IF(VLOOKUP(O23,Lookup!$D$1:$E$201,2,0)="","",VLOOKUP(O23,Lookup!$D$1:$E$201,2,0)),"")</f>
        <v>GGSVS Margin Revenues</v>
      </c>
      <c r="O23" s="66" t="s">
        <v>635</v>
      </c>
      <c r="P23" s="61"/>
      <c r="R23" s="103">
        <f>SUM(R21:R22)</f>
        <v>12551334.269400001</v>
      </c>
      <c r="S23" s="59"/>
      <c r="U23" s="103">
        <f>SUM(U21:U22)</f>
        <v>12507852.7714753</v>
      </c>
      <c r="V23" s="61"/>
      <c r="W23" s="61"/>
      <c r="Y23" s="103">
        <f>SUM(Y21:Y22)</f>
        <v>15860448.446729843</v>
      </c>
    </row>
    <row r="24" spans="1:25">
      <c r="A24" s="100">
        <v>41030</v>
      </c>
      <c r="B24" s="100">
        <f>'UNSG - ALL RATES'!$B$25</f>
        <v>46082</v>
      </c>
      <c r="C24" s="101" t="str">
        <f t="shared" si="12"/>
        <v>5753</v>
      </c>
      <c r="D24" s="104" t="str">
        <f t="shared" si="19"/>
        <v>GGSVS</v>
      </c>
      <c r="E24" s="100" t="str">
        <f t="shared" si="17"/>
        <v>41030GGSVS</v>
      </c>
      <c r="F24" s="100" t="str">
        <f t="shared" si="18"/>
        <v>46082GGSVS</v>
      </c>
      <c r="G24" s="100" t="str">
        <f>IFERROR(IF(VLOOKUP($O24,Lookup!$G$1:$I$182,2,0)="","",VLOOKUP($O24,Lookup!$G$1:$I$182,2,0)),"")</f>
        <v/>
      </c>
      <c r="H24" s="100" t="str">
        <f>IFERROR(IF(VLOOKUP($O24,Lookup!$G$1:$I$182,3,0)="","",VLOOKUP($O24,Lookup!$G$1:$I$182,3,0)),"")</f>
        <v/>
      </c>
      <c r="I24" s="100" t="str">
        <f>IFERROR(IF(VLOOKUP(O24,Lookup!$A$1:$B$200,2,0)="","",VLOOKUP(O24,Lookup!$A$1:$B$200,2,0)),"")</f>
        <v/>
      </c>
      <c r="J24" s="100" t="str">
        <f t="shared" si="11"/>
        <v>5753GGSVS</v>
      </c>
      <c r="K24" s="100" t="str">
        <f t="shared" si="3"/>
        <v>5753GGSVS</v>
      </c>
      <c r="L24" s="100" t="str">
        <f>D24&amp;" "&amp;IFERROR(IF(VLOOKUP(O24,Lookup!$D$1:$E$201,2,0)="","",VLOOKUP(O24,Lookup!$D$1:$E$201,2,0)),"")</f>
        <v>GGSVS Sales (T)</v>
      </c>
      <c r="O24" s="58" t="s">
        <v>614</v>
      </c>
      <c r="P24" s="102"/>
      <c r="Q24" s="146">
        <f>Q22</f>
        <v>33936462</v>
      </c>
      <c r="R24" s="146"/>
      <c r="S24" s="59"/>
      <c r="T24" s="146">
        <f>T22</f>
        <v>33757920.187754832</v>
      </c>
      <c r="U24" s="146"/>
      <c r="V24" s="102"/>
      <c r="W24" s="102"/>
      <c r="X24" s="146">
        <f>X22</f>
        <v>36221648.273520097</v>
      </c>
      <c r="Y24" s="150"/>
    </row>
    <row r="25" spans="1:25">
      <c r="A25" s="100">
        <v>41030</v>
      </c>
      <c r="B25" s="100">
        <f>'UNSG - ALL RATES'!$B$25</f>
        <v>46082</v>
      </c>
      <c r="C25" s="101" t="str">
        <f t="shared" si="12"/>
        <v>5753</v>
      </c>
      <c r="D25" s="104" t="str">
        <f t="shared" si="19"/>
        <v>GGSVS</v>
      </c>
      <c r="E25" s="100" t="str">
        <f t="shared" si="17"/>
        <v>41030GGSVS</v>
      </c>
      <c r="F25" s="100" t="str">
        <f t="shared" si="18"/>
        <v>46082GGSVS</v>
      </c>
      <c r="G25" s="100" t="str">
        <f>IFERROR(IF(VLOOKUP($O25,Lookup!$G$1:$I$182,2,0)="","",VLOOKUP($O25,Lookup!$G$1:$I$182,2,0)),"")</f>
        <v/>
      </c>
      <c r="H25" s="100" t="str">
        <f>IFERROR(IF(VLOOKUP($O25,Lookup!$G$1:$I$182,3,0)="","",VLOOKUP($O25,Lookup!$G$1:$I$182,3,0)),"")</f>
        <v/>
      </c>
      <c r="I25" s="100" t="str">
        <f>IFERROR(IF(VLOOKUP(O25,Lookup!$A$1:$B$200,2,0)="","",VLOOKUP(O25,Lookup!$A$1:$B$200,2,0)),"")</f>
        <v/>
      </c>
      <c r="J25" s="100" t="str">
        <f t="shared" si="11"/>
        <v>5753GGSVS</v>
      </c>
      <c r="K25" s="100" t="str">
        <f t="shared" si="3"/>
        <v>5753GGSVS</v>
      </c>
      <c r="L25" s="100" t="str">
        <f>D25&amp;" "&amp;IFERROR(IF(VLOOKUP(O25,Lookup!$D$1:$E$201,2,0)="","",VLOOKUP(O25,Lookup!$D$1:$E$201,2,0)),"")</f>
        <v xml:space="preserve">GGSVS </v>
      </c>
      <c r="S25" s="59"/>
      <c r="Y25" s="103"/>
    </row>
    <row r="26" spans="1:25" ht="15.75" thickBot="1">
      <c r="A26" s="100">
        <v>41030</v>
      </c>
      <c r="B26" s="100">
        <f>'UNSG - ALL RATES'!$B$25</f>
        <v>46082</v>
      </c>
      <c r="C26" s="101" t="str">
        <f>M26</f>
        <v>5758</v>
      </c>
      <c r="D26" s="104" t="str">
        <f t="shared" si="19"/>
        <v>GISVS</v>
      </c>
      <c r="E26" s="100" t="str">
        <f t="shared" si="17"/>
        <v>41030GISVS</v>
      </c>
      <c r="F26" s="100" t="str">
        <f t="shared" si="18"/>
        <v>46082GISVS</v>
      </c>
      <c r="G26" s="100" t="str">
        <f>IFERROR(IF(VLOOKUP($O26,Lookup!$G$1:$I$182,2,0)="","",VLOOKUP($O26,Lookup!$G$1:$I$182,2,0)),"")</f>
        <v/>
      </c>
      <c r="H26" s="100" t="str">
        <f>IFERROR(IF(VLOOKUP($O26,Lookup!$G$1:$I$182,3,0)="","",VLOOKUP($O26,Lookup!$G$1:$I$182,3,0)),"")</f>
        <v/>
      </c>
      <c r="I26" s="100" t="str">
        <f>IFERROR(IF(VLOOKUP(O26,Lookup!$A$1:$B$200,2,0)="","",VLOOKUP(O26,Lookup!$A$1:$B$200,2,0)),"")</f>
        <v/>
      </c>
      <c r="J26" s="100" t="str">
        <f t="shared" si="11"/>
        <v>5758GISVS</v>
      </c>
      <c r="K26" s="100" t="str">
        <f t="shared" si="3"/>
        <v>5758GISVS</v>
      </c>
      <c r="L26" s="100" t="str">
        <f>D26&amp;" "&amp;IFERROR(IF(VLOOKUP(O26,Lookup!$D$1:$E$201,2,0)="","",VLOOKUP(O26,Lookup!$D$1:$E$201,2,0)),"")</f>
        <v xml:space="preserve">GISVS </v>
      </c>
      <c r="M26" s="101" t="str">
        <f>VLOOKUP(N26,'UNSG - ALL RATES'!$E$25:$F$41,2,0)</f>
        <v>5758</v>
      </c>
      <c r="N26" s="179" t="str">
        <f>'UNSG - ALL RATES'!F10</f>
        <v>GISVS</v>
      </c>
      <c r="O26" s="58" t="str">
        <f>VLOOKUP($N26,'UNSG - ALL RATES'!$F$2:$G$383,2,0)</f>
        <v>Small Volume Industrial Service</v>
      </c>
      <c r="S26" s="59"/>
      <c r="Y26" s="103"/>
    </row>
    <row r="27" spans="1:25">
      <c r="A27" s="100">
        <v>41030</v>
      </c>
      <c r="B27" s="100">
        <f>'UNSG - ALL RATES'!$B$25</f>
        <v>46082</v>
      </c>
      <c r="C27" s="101" t="str">
        <f>M26</f>
        <v>5758</v>
      </c>
      <c r="D27" s="104" t="str">
        <f t="shared" si="19"/>
        <v>GISVS</v>
      </c>
      <c r="E27" s="100" t="str">
        <f t="shared" si="17"/>
        <v>41030GISVS</v>
      </c>
      <c r="F27" s="100" t="str">
        <f t="shared" si="18"/>
        <v>46082GISVS</v>
      </c>
      <c r="G27" s="100" t="str">
        <f>IFERROR(IF(VLOOKUP($O27,Lookup!$G$1:$I$182,2,0)="","",VLOOKUP($O27,Lookup!$G$1:$I$182,2,0)),"")</f>
        <v>total_bill_count</v>
      </c>
      <c r="H27" s="100" t="str">
        <f>IFERROR(IF(VLOOKUP($O27,Lookup!$G$1:$I$182,3,0)="","",VLOOKUP($O27,Lookup!$G$1:$I$182,3,0)),"")</f>
        <v>total_adjusted_bill_count</v>
      </c>
      <c r="I27" s="100" t="str">
        <f>IFERROR(IF(VLOOKUP(O27,Lookup!$A$1:$B$200,2,0)="","",VLOOKUP(O27,Lookup!$A$1:$B$200,2,0)),"")</f>
        <v>BASIC_SERVICE_CHARGE</v>
      </c>
      <c r="J27" s="100" t="str">
        <f t="shared" si="11"/>
        <v>5758GISVStotal_bill_count</v>
      </c>
      <c r="K27" s="100" t="str">
        <f t="shared" si="3"/>
        <v>5758GISVStotal_adjusted_bill_count</v>
      </c>
      <c r="L27" s="100" t="str">
        <f>D27&amp;" "&amp;IFERROR(IF(VLOOKUP(O27,Lookup!$D$1:$E$201,2,0)="","",VLOOKUP(O27,Lookup!$D$1:$E$201,2,0)),"")</f>
        <v>GISVS Basic Service Charges</v>
      </c>
      <c r="O27" s="57" t="s">
        <v>607</v>
      </c>
      <c r="P27" s="59">
        <f>VLOOKUP(E27,'UNSG - ALL RATES'!$A$2:$CG$83,MATCH($I27,'UNSG - ALL RATES'!$A$3:$CG$3,0),0)</f>
        <v>20</v>
      </c>
      <c r="Q27" s="146">
        <f>VLOOKUP($C27&amp;$D27,'[4]Billed Annual Billing Det'!$A$2:$N$16,4,0)</f>
        <v>267</v>
      </c>
      <c r="R27" s="103">
        <f>$P27*Q27</f>
        <v>5340</v>
      </c>
      <c r="S27" s="59"/>
      <c r="T27" s="146">
        <f>VLOOKUP($C27&amp;$D27,'[4]Adjusted Annual Billing Det'!$A$2:$L$16,4,0)</f>
        <v>277.10433201058197</v>
      </c>
      <c r="U27" s="103">
        <f>$P27*T27</f>
        <v>5542.086640211639</v>
      </c>
      <c r="V27" s="59"/>
      <c r="W27" s="746" t="s">
        <v>637</v>
      </c>
      <c r="X27" s="747"/>
      <c r="Y27" s="748"/>
    </row>
    <row r="28" spans="1:25">
      <c r="A28" s="100">
        <v>41030</v>
      </c>
      <c r="B28" s="100">
        <f>'UNSG - ALL RATES'!$B$25</f>
        <v>46082</v>
      </c>
      <c r="C28" s="101" t="str">
        <f t="shared" ref="C28" si="20">C27</f>
        <v>5758</v>
      </c>
      <c r="D28" s="104" t="str">
        <f t="shared" si="19"/>
        <v>GISVS</v>
      </c>
      <c r="E28" s="100" t="str">
        <f t="shared" si="17"/>
        <v>41030GISVS</v>
      </c>
      <c r="F28" s="100" t="str">
        <f t="shared" si="18"/>
        <v>46082GISVS</v>
      </c>
      <c r="G28" s="100" t="str">
        <f>IFERROR(IF(VLOOKUP($O28,Lookup!$G$1:$I$182,2,0)="","",VLOOKUP($O28,Lookup!$G$1:$I$182,2,0)),"")</f>
        <v>total_billed_therms</v>
      </c>
      <c r="H28" s="100" t="str">
        <f>IFERROR(IF(VLOOKUP($O28,Lookup!$G$1:$I$182,3,0)="","",VLOOKUP($O28,Lookup!$G$1:$I$182,3,0)),"")</f>
        <v>total_adjusted_therms</v>
      </c>
      <c r="I28" s="100" t="str">
        <f>IFERROR(IF(VLOOKUP(O28,Lookup!$A$1:$B$200,2,0)="","",VLOOKUP(O28,Lookup!$A$1:$B$200,2,0)),"")</f>
        <v>THERM_DELIVERY_TIER1</v>
      </c>
      <c r="J28" s="100" t="str">
        <f t="shared" si="11"/>
        <v>5758GISVStotal_billed_therms</v>
      </c>
      <c r="K28" s="100" t="str">
        <f t="shared" si="3"/>
        <v>5758GISVStotal_adjusted_therms</v>
      </c>
      <c r="L28" s="100" t="str">
        <f>D28&amp;" "&amp;IFERROR(IF(VLOOKUP(O28,Lookup!$D$1:$E$201,2,0)="","",VLOOKUP(O28,Lookup!$D$1:$E$201,2,0)),"")</f>
        <v xml:space="preserve">GISVS </v>
      </c>
      <c r="O28" s="57" t="s">
        <v>609</v>
      </c>
      <c r="P28" s="194">
        <f>VLOOKUP(E28,'UNSG - ALL RATES'!$A$2:$CG$83,MATCH($I28,'UNSG - ALL RATES'!$A$3:$CG$3,0),0)</f>
        <v>0.30609999999999998</v>
      </c>
      <c r="Q28" s="146">
        <f>VLOOKUP($C28&amp;$D28,'[4]Billed Annual Billing Det'!$A$2:$N$16,5,0)</f>
        <v>883556</v>
      </c>
      <c r="R28" s="103">
        <f>$P28*Q28</f>
        <v>270456.49160000001</v>
      </c>
      <c r="S28" s="59"/>
      <c r="T28" s="146">
        <f>VLOOKUP($C28&amp;$D28,'[4]Adjusted Annual Billing Det'!$A$2:$L$16,5,0)</f>
        <v>914226.08786027285</v>
      </c>
      <c r="U28" s="103">
        <f>$P28*T28</f>
        <v>279844.60549402953</v>
      </c>
      <c r="V28" s="61"/>
      <c r="W28" s="749"/>
      <c r="X28" s="750"/>
      <c r="Y28" s="751"/>
    </row>
    <row r="29" spans="1:25">
      <c r="A29" s="100">
        <v>41030</v>
      </c>
      <c r="B29" s="100">
        <f>'UNSG - ALL RATES'!$B$25</f>
        <v>46082</v>
      </c>
      <c r="C29" s="101" t="str">
        <f t="shared" si="12"/>
        <v>5758</v>
      </c>
      <c r="D29" s="104" t="str">
        <f t="shared" si="19"/>
        <v>GISVS</v>
      </c>
      <c r="E29" s="100" t="str">
        <f t="shared" si="17"/>
        <v>41030GISVS</v>
      </c>
      <c r="F29" s="100" t="str">
        <f t="shared" si="18"/>
        <v>46082GISVS</v>
      </c>
      <c r="G29" s="100" t="str">
        <f>IFERROR(IF(VLOOKUP($O29,Lookup!$G$1:$I$182,2,0)="","",VLOOKUP($O29,Lookup!$G$1:$I$182,2,0)),"")</f>
        <v/>
      </c>
      <c r="H29" s="100" t="str">
        <f>IFERROR(IF(VLOOKUP($O29,Lookup!$G$1:$I$182,3,0)="","",VLOOKUP($O29,Lookup!$G$1:$I$182,3,0)),"")</f>
        <v/>
      </c>
      <c r="I29" s="100" t="str">
        <f>IFERROR(IF(VLOOKUP(O29,Lookup!$A$1:$B$200,2,0)="","",VLOOKUP(O29,Lookup!$A$1:$B$200,2,0)),"")</f>
        <v/>
      </c>
      <c r="J29" s="100" t="str">
        <f t="shared" si="11"/>
        <v>5758GISVS</v>
      </c>
      <c r="K29" s="100" t="str">
        <f t="shared" si="3"/>
        <v>5758GISVS</v>
      </c>
      <c r="L29" s="100" t="str">
        <f>D29&amp;" "&amp;IFERROR(IF(VLOOKUP(O29,Lookup!$D$1:$E$201,2,0)="","",VLOOKUP(O29,Lookup!$D$1:$E$201,2,0)),"")</f>
        <v>GISVS Margin Revenues</v>
      </c>
      <c r="O29" s="66" t="s">
        <v>635</v>
      </c>
      <c r="P29"/>
      <c r="R29" s="103">
        <f>SUM(R27:R28)</f>
        <v>275796.49160000001</v>
      </c>
      <c r="S29" s="59"/>
      <c r="U29" s="103">
        <f>SUM(U27:U28)</f>
        <v>285386.69213424117</v>
      </c>
      <c r="V29" s="61"/>
      <c r="W29" s="749"/>
      <c r="X29" s="750"/>
      <c r="Y29" s="751"/>
    </row>
    <row r="30" spans="1:25" ht="15.75" thickBot="1">
      <c r="A30" s="100">
        <v>41030</v>
      </c>
      <c r="B30" s="100">
        <f>'UNSG - ALL RATES'!$B$25</f>
        <v>46082</v>
      </c>
      <c r="C30" s="101" t="str">
        <f t="shared" si="12"/>
        <v>5758</v>
      </c>
      <c r="D30" s="104" t="str">
        <f>IF(N30="",D29,IF(#REF!&lt;&gt;D29,N30))</f>
        <v>GISVS</v>
      </c>
      <c r="E30" s="100" t="str">
        <f t="shared" si="17"/>
        <v>41030GISVS</v>
      </c>
      <c r="F30" s="100" t="str">
        <f t="shared" si="18"/>
        <v>46082GISVS</v>
      </c>
      <c r="G30" s="100" t="str">
        <f>IFERROR(IF(VLOOKUP($O30,Lookup!$G$1:$I$182,2,0)="","",VLOOKUP($O30,Lookup!$G$1:$I$182,2,0)),"")</f>
        <v/>
      </c>
      <c r="H30" s="100" t="str">
        <f>IFERROR(IF(VLOOKUP($O30,Lookup!$G$1:$I$182,3,0)="","",VLOOKUP($O30,Lookup!$G$1:$I$182,3,0)),"")</f>
        <v/>
      </c>
      <c r="I30" s="100" t="str">
        <f>IFERROR(IF(VLOOKUP(O30,Lookup!$A$1:$B$200,2,0)="","",VLOOKUP(O30,Lookup!$A$1:$B$200,2,0)),"")</f>
        <v/>
      </c>
      <c r="J30" s="100" t="str">
        <f t="shared" si="11"/>
        <v>5758GISVS</v>
      </c>
      <c r="K30" s="100" t="str">
        <f t="shared" si="3"/>
        <v>5758GISVS</v>
      </c>
      <c r="L30" s="100" t="str">
        <f>D30&amp;" "&amp;IFERROR(IF(VLOOKUP(O30,Lookup!$D$1:$E$201,2,0)="","",VLOOKUP(O30,Lookup!$D$1:$E$201,2,0)),"")</f>
        <v>GISVS Sales (T)</v>
      </c>
      <c r="O30" s="58" t="s">
        <v>614</v>
      </c>
      <c r="P30" s="61"/>
      <c r="Q30" s="146">
        <f>Q28</f>
        <v>883556</v>
      </c>
      <c r="R30" s="150"/>
      <c r="S30" s="59"/>
      <c r="T30" s="146">
        <f>T28</f>
        <v>914226.08786027285</v>
      </c>
      <c r="U30" s="146"/>
      <c r="V30" s="61"/>
      <c r="W30" s="752"/>
      <c r="X30" s="753"/>
      <c r="Y30" s="754"/>
    </row>
    <row r="31" spans="1:25">
      <c r="A31" s="100">
        <v>41030</v>
      </c>
      <c r="B31" s="100">
        <f>'UNSG - ALL RATES'!$B$25</f>
        <v>46082</v>
      </c>
      <c r="C31" s="101" t="str">
        <f t="shared" si="12"/>
        <v>5758</v>
      </c>
      <c r="D31" s="104" t="str">
        <f t="shared" ref="D31:D94" si="21">IF(N31="",D30,IF(N32&lt;&gt;D30,N31))</f>
        <v>GISVS</v>
      </c>
      <c r="E31" s="100" t="str">
        <f t="shared" si="17"/>
        <v>41030GISVS</v>
      </c>
      <c r="F31" s="100" t="str">
        <f t="shared" si="18"/>
        <v>46082GISVS</v>
      </c>
      <c r="G31" s="100" t="str">
        <f>IFERROR(IF(VLOOKUP($O31,Lookup!$G$1:$I$182,2,0)="","",VLOOKUP($O31,Lookup!$G$1:$I$182,2,0)),"")</f>
        <v/>
      </c>
      <c r="H31" s="100" t="str">
        <f>IFERROR(IF(VLOOKUP($O31,Lookup!$G$1:$I$182,3,0)="","",VLOOKUP($O31,Lookup!$G$1:$I$182,3,0)),"")</f>
        <v/>
      </c>
      <c r="I31" s="100" t="str">
        <f>IFERROR(IF(VLOOKUP(O31,Lookup!$A$1:$B$200,2,0)="","",VLOOKUP(O31,Lookup!$A$1:$B$200,2,0)),"")</f>
        <v/>
      </c>
      <c r="J31" s="100" t="str">
        <f t="shared" ref="J31:J55" si="22">C31&amp;D31&amp;G31</f>
        <v>5758GISVS</v>
      </c>
      <c r="K31" s="100" t="str">
        <f t="shared" ref="K31:K55" si="23">C31&amp;D31&amp;H31</f>
        <v>5758GISVS</v>
      </c>
      <c r="L31" s="100" t="str">
        <f>D31&amp;" "&amp;IFERROR(IF(VLOOKUP(O31,Lookup!$D$1:$E$201,2,0)="","",VLOOKUP(O31,Lookup!$D$1:$E$201,2,0)),"")</f>
        <v xml:space="preserve">GISVS </v>
      </c>
      <c r="S31" s="59"/>
      <c r="Y31" s="103"/>
    </row>
    <row r="32" spans="1:25" ht="15.75" thickBot="1">
      <c r="A32" s="100">
        <v>41030</v>
      </c>
      <c r="B32" s="100">
        <f>'UNSG - ALL RATES'!$B$25</f>
        <v>46082</v>
      </c>
      <c r="C32" s="101" t="str">
        <f>M32</f>
        <v>5765</v>
      </c>
      <c r="D32" s="104" t="str">
        <f t="shared" si="21"/>
        <v>GPSVS</v>
      </c>
      <c r="E32" s="100" t="str">
        <f t="shared" si="17"/>
        <v>41030GPSVS</v>
      </c>
      <c r="F32" s="100" t="str">
        <f t="shared" si="18"/>
        <v>46082GPSVS</v>
      </c>
      <c r="G32" s="100" t="str">
        <f>IFERROR(IF(VLOOKUP($O32,Lookup!$G$1:$I$182,2,0)="","",VLOOKUP($O32,Lookup!$G$1:$I$182,2,0)),"")</f>
        <v/>
      </c>
      <c r="H32" s="100" t="str">
        <f>IFERROR(IF(VLOOKUP($O32,Lookup!$G$1:$I$182,3,0)="","",VLOOKUP($O32,Lookup!$G$1:$I$182,3,0)),"")</f>
        <v/>
      </c>
      <c r="I32" s="100" t="str">
        <f>IFERROR(IF(VLOOKUP(O32,Lookup!$A$1:$B$200,2,0)="","",VLOOKUP(O32,Lookup!$A$1:$B$200,2,0)),"")</f>
        <v/>
      </c>
      <c r="J32" s="100" t="str">
        <f t="shared" si="22"/>
        <v>5765GPSVS</v>
      </c>
      <c r="K32" s="100" t="str">
        <f t="shared" si="23"/>
        <v>5765GPSVS</v>
      </c>
      <c r="L32" s="100" t="str">
        <f>D32&amp;" "&amp;IFERROR(IF(VLOOKUP(O32,Lookup!$D$1:$E$201,2,0)="","",VLOOKUP(O32,Lookup!$D$1:$E$201,2,0)),"")</f>
        <v xml:space="preserve">GPSVS </v>
      </c>
      <c r="M32" s="101" t="str">
        <f>VLOOKUP(N32,'UNSG - ALL RATES'!$E$25:$F$41,2,0)</f>
        <v>5765</v>
      </c>
      <c r="N32" s="179" t="str">
        <f>'UNSG - ALL RATES'!F13</f>
        <v>GPSVS</v>
      </c>
      <c r="O32" s="58" t="str">
        <f>VLOOKUP($N32,'UNSG - ALL RATES'!$F$2:$G$383,2,0)</f>
        <v>Small Volume Public Authority Service</v>
      </c>
      <c r="S32" s="59"/>
      <c r="Y32" s="103"/>
    </row>
    <row r="33" spans="1:25">
      <c r="A33" s="100">
        <v>41030</v>
      </c>
      <c r="B33" s="100">
        <f>'UNSG - ALL RATES'!$B$25</f>
        <v>46082</v>
      </c>
      <c r="C33" s="101" t="str">
        <f t="shared" si="12"/>
        <v>5765</v>
      </c>
      <c r="D33" s="104" t="str">
        <f t="shared" si="21"/>
        <v>GPSVS</v>
      </c>
      <c r="E33" s="100" t="str">
        <f t="shared" si="17"/>
        <v>41030GPSVS</v>
      </c>
      <c r="F33" s="100" t="str">
        <f t="shared" si="18"/>
        <v>46082GPSVS</v>
      </c>
      <c r="G33" s="100" t="str">
        <f>IFERROR(IF(VLOOKUP($O33,Lookup!$G$1:$I$182,2,0)="","",VLOOKUP($O33,Lookup!$G$1:$I$182,2,0)),"")</f>
        <v>total_bill_count</v>
      </c>
      <c r="H33" s="100" t="str">
        <f>IFERROR(IF(VLOOKUP($O33,Lookup!$G$1:$I$182,3,0)="","",VLOOKUP($O33,Lookup!$G$1:$I$182,3,0)),"")</f>
        <v>total_adjusted_bill_count</v>
      </c>
      <c r="I33" s="100" t="str">
        <f>IFERROR(IF(VLOOKUP(O33,Lookup!$A$1:$B$200,2,0)="","",VLOOKUP(O33,Lookup!$A$1:$B$200,2,0)),"")</f>
        <v>BASIC_SERVICE_CHARGE</v>
      </c>
      <c r="J33" s="100" t="str">
        <f t="shared" si="22"/>
        <v>5765GPSVStotal_bill_count</v>
      </c>
      <c r="K33" s="100" t="str">
        <f t="shared" si="23"/>
        <v>5765GPSVStotal_adjusted_bill_count</v>
      </c>
      <c r="L33" s="100" t="str">
        <f>D33&amp;" "&amp;IFERROR(IF(VLOOKUP(O33,Lookup!$D$1:$E$201,2,0)="","",VLOOKUP(O33,Lookup!$D$1:$E$201,2,0)),"")</f>
        <v>GPSVS Basic Service Charges</v>
      </c>
      <c r="O33" s="57" t="s">
        <v>607</v>
      </c>
      <c r="P33" s="59">
        <f>VLOOKUP(E33,'UNSG - ALL RATES'!$A$2:$CG$83,MATCH($I33,'UNSG - ALL RATES'!$A$3:$CG$3,0),0)</f>
        <v>20</v>
      </c>
      <c r="Q33" s="146">
        <f>VLOOKUP($C33&amp;$D33,'[4]Billed Annual Billing Det'!$A$2:$N$16,4,0)</f>
        <v>12355</v>
      </c>
      <c r="R33" s="103">
        <f>$P33*Q33</f>
        <v>247100</v>
      </c>
      <c r="S33" s="59"/>
      <c r="T33" s="146">
        <f>VLOOKUP($C33&amp;$D33,'[4]Adjusted Annual Billing Det'!$A$2:$L$16,4,0)</f>
        <v>12321.763072238684</v>
      </c>
      <c r="U33" s="103">
        <f>$P33*T33</f>
        <v>246435.26144477367</v>
      </c>
      <c r="V33" s="59"/>
      <c r="W33" s="746" t="s">
        <v>637</v>
      </c>
      <c r="X33" s="747"/>
      <c r="Y33" s="748"/>
    </row>
    <row r="34" spans="1:25">
      <c r="A34" s="100">
        <v>41030</v>
      </c>
      <c r="B34" s="100">
        <f>'UNSG - ALL RATES'!$B$25</f>
        <v>46082</v>
      </c>
      <c r="C34" s="101" t="str">
        <f t="shared" si="12"/>
        <v>5765</v>
      </c>
      <c r="D34" s="104" t="str">
        <f t="shared" si="21"/>
        <v>GPSVS</v>
      </c>
      <c r="E34" s="100" t="str">
        <f t="shared" si="17"/>
        <v>41030GPSVS</v>
      </c>
      <c r="F34" s="100" t="str">
        <f t="shared" si="18"/>
        <v>46082GPSVS</v>
      </c>
      <c r="G34" s="100" t="str">
        <f>IFERROR(IF(VLOOKUP($O34,Lookup!$G$1:$I$182,2,0)="","",VLOOKUP($O34,Lookup!$G$1:$I$182,2,0)),"")</f>
        <v>total_billed_therms</v>
      </c>
      <c r="H34" s="100" t="str">
        <f>IFERROR(IF(VLOOKUP($O34,Lookup!$G$1:$I$182,3,0)="","",VLOOKUP($O34,Lookup!$G$1:$I$182,3,0)),"")</f>
        <v>total_adjusted_therms</v>
      </c>
      <c r="I34" s="100" t="str">
        <f>IFERROR(IF(VLOOKUP(O34,Lookup!$A$1:$B$200,2,0)="","",VLOOKUP(O34,Lookup!$A$1:$B$200,2,0)),"")</f>
        <v>THERM_DELIVERY_TIER1</v>
      </c>
      <c r="J34" s="100" t="str">
        <f t="shared" si="22"/>
        <v>5765GPSVStotal_billed_therms</v>
      </c>
      <c r="K34" s="100" t="str">
        <f t="shared" si="23"/>
        <v>5765GPSVStotal_adjusted_therms</v>
      </c>
      <c r="L34" s="100" t="str">
        <f>D34&amp;" "&amp;IFERROR(IF(VLOOKUP(O34,Lookup!$D$1:$E$201,2,0)="","",VLOOKUP(O34,Lookup!$D$1:$E$201,2,0)),"")</f>
        <v xml:space="preserve">GPSVS </v>
      </c>
      <c r="O34" s="57" t="s">
        <v>609</v>
      </c>
      <c r="P34" s="194">
        <f>VLOOKUP(E34,'UNSG - ALL RATES'!$A$2:$CG$83,MATCH($I34,'UNSG - ALL RATES'!$A$3:$CG$3,0),0)</f>
        <v>0.28410000000000002</v>
      </c>
      <c r="Q34" s="146">
        <f>VLOOKUP($C34&amp;$D34,'[4]Billed Annual Billing Det'!$A$2:$N$16,5,0)</f>
        <v>4729503</v>
      </c>
      <c r="R34" s="103">
        <f>$P34*Q34</f>
        <v>1343651.8023000001</v>
      </c>
      <c r="S34" s="59"/>
      <c r="T34" s="146">
        <f>VLOOKUP($C34&amp;$D34,'[4]Adjusted Annual Billing Det'!$A$2:$L$16,5,0)</f>
        <v>4738352.0913855983</v>
      </c>
      <c r="U34" s="103">
        <f>$P34*T34</f>
        <v>1346165.8291626486</v>
      </c>
      <c r="V34" s="61"/>
      <c r="W34" s="749"/>
      <c r="X34" s="750"/>
      <c r="Y34" s="751"/>
    </row>
    <row r="35" spans="1:25">
      <c r="A35" s="100">
        <v>41030</v>
      </c>
      <c r="B35" s="100">
        <f>'UNSG - ALL RATES'!$B$25</f>
        <v>46082</v>
      </c>
      <c r="C35" s="101" t="str">
        <f>M32</f>
        <v>5765</v>
      </c>
      <c r="D35" s="104" t="str">
        <f t="shared" si="21"/>
        <v>GPSVS</v>
      </c>
      <c r="E35" s="100" t="str">
        <f t="shared" si="17"/>
        <v>41030GPSVS</v>
      </c>
      <c r="F35" s="100" t="str">
        <f t="shared" si="18"/>
        <v>46082GPSVS</v>
      </c>
      <c r="G35" s="100" t="str">
        <f>IFERROR(IF(VLOOKUP($O35,Lookup!$G$1:$I$182,2,0)="","",VLOOKUP($O35,Lookup!$G$1:$I$182,2,0)),"")</f>
        <v/>
      </c>
      <c r="H35" s="100" t="str">
        <f>IFERROR(IF(VLOOKUP($O35,Lookup!$G$1:$I$182,3,0)="","",VLOOKUP($O35,Lookup!$G$1:$I$182,3,0)),"")</f>
        <v/>
      </c>
      <c r="I35" s="100" t="str">
        <f>IFERROR(IF(VLOOKUP(O35,Lookup!$A$1:$B$200,2,0)="","",VLOOKUP(O35,Lookup!$A$1:$B$200,2,0)),"")</f>
        <v/>
      </c>
      <c r="J35" s="100" t="str">
        <f t="shared" si="22"/>
        <v>5765GPSVS</v>
      </c>
      <c r="K35" s="100" t="str">
        <f t="shared" si="23"/>
        <v>5765GPSVS</v>
      </c>
      <c r="L35" s="100" t="str">
        <f>D35&amp;" "&amp;IFERROR(IF(VLOOKUP(O35,Lookup!$D$1:$E$201,2,0)="","",VLOOKUP(O35,Lookup!$D$1:$E$201,2,0)),"")</f>
        <v>GPSVS Margin Revenues</v>
      </c>
      <c r="O35" s="66" t="s">
        <v>635</v>
      </c>
      <c r="P35"/>
      <c r="R35" s="103">
        <f>SUM(R33:R34)</f>
        <v>1590751.8023000001</v>
      </c>
      <c r="S35" s="59"/>
      <c r="U35" s="103">
        <f>SUM(U33:U34)</f>
        <v>1592601.0906074224</v>
      </c>
      <c r="V35" s="61"/>
      <c r="W35" s="749"/>
      <c r="X35" s="750"/>
      <c r="Y35" s="751"/>
    </row>
    <row r="36" spans="1:25" ht="15.75" thickBot="1">
      <c r="A36" s="100">
        <v>41030</v>
      </c>
      <c r="B36" s="100">
        <f>'UNSG - ALL RATES'!$B$25</f>
        <v>46082</v>
      </c>
      <c r="C36" s="101" t="str">
        <f t="shared" ref="C36" si="24">C35</f>
        <v>5765</v>
      </c>
      <c r="D36" s="104" t="str">
        <f t="shared" si="21"/>
        <v>GPSVS</v>
      </c>
      <c r="E36" s="100" t="str">
        <f t="shared" si="17"/>
        <v>41030GPSVS</v>
      </c>
      <c r="F36" s="100" t="str">
        <f t="shared" si="18"/>
        <v>46082GPSVS</v>
      </c>
      <c r="G36" s="100" t="str">
        <f>IFERROR(IF(VLOOKUP($O36,Lookup!$G$1:$I$182,2,0)="","",VLOOKUP($O36,Lookup!$G$1:$I$182,2,0)),"")</f>
        <v/>
      </c>
      <c r="H36" s="100" t="str">
        <f>IFERROR(IF(VLOOKUP($O36,Lookup!$G$1:$I$182,3,0)="","",VLOOKUP($O36,Lookup!$G$1:$I$182,3,0)),"")</f>
        <v/>
      </c>
      <c r="I36" s="100" t="str">
        <f>IFERROR(IF(VLOOKUP(O36,Lookup!$A$1:$B$200,2,0)="","",VLOOKUP(O36,Lookup!$A$1:$B$200,2,0)),"")</f>
        <v/>
      </c>
      <c r="J36" s="100" t="str">
        <f t="shared" si="22"/>
        <v>5765GPSVS</v>
      </c>
      <c r="K36" s="100" t="str">
        <f t="shared" si="23"/>
        <v>5765GPSVS</v>
      </c>
      <c r="L36" s="100" t="str">
        <f>D36&amp;" "&amp;IFERROR(IF(VLOOKUP(O36,Lookup!$D$1:$E$201,2,0)="","",VLOOKUP(O36,Lookup!$D$1:$E$201,2,0)),"")</f>
        <v>GPSVS Sales (T)</v>
      </c>
      <c r="O36" s="58" t="s">
        <v>614</v>
      </c>
      <c r="P36" s="61"/>
      <c r="Q36" s="146">
        <f>Q34</f>
        <v>4729503</v>
      </c>
      <c r="R36" s="150"/>
      <c r="S36" s="59"/>
      <c r="T36" s="146">
        <f>T34</f>
        <v>4738352.0913855983</v>
      </c>
      <c r="U36" s="146"/>
      <c r="V36" s="61"/>
      <c r="W36" s="752"/>
      <c r="X36" s="753"/>
      <c r="Y36" s="754"/>
    </row>
    <row r="37" spans="1:25">
      <c r="A37" s="100">
        <v>41030</v>
      </c>
      <c r="B37" s="100">
        <f>'UNSG - ALL RATES'!$B$25</f>
        <v>46082</v>
      </c>
      <c r="C37" s="101" t="str">
        <f t="shared" si="12"/>
        <v>5765</v>
      </c>
      <c r="D37" s="104" t="str">
        <f t="shared" si="21"/>
        <v>GPSVS</v>
      </c>
      <c r="E37" s="100" t="str">
        <f t="shared" si="17"/>
        <v>41030GPSVS</v>
      </c>
      <c r="F37" s="100" t="str">
        <f t="shared" si="18"/>
        <v>46082GPSVS</v>
      </c>
      <c r="G37" s="100" t="str">
        <f>IFERROR(IF(VLOOKUP($O37,Lookup!$G$1:$I$182,2,0)="","",VLOOKUP($O37,Lookup!$G$1:$I$182,2,0)),"")</f>
        <v/>
      </c>
      <c r="H37" s="100" t="str">
        <f>IFERROR(IF(VLOOKUP($O37,Lookup!$G$1:$I$182,3,0)="","",VLOOKUP($O37,Lookup!$G$1:$I$182,3,0)),"")</f>
        <v/>
      </c>
      <c r="I37" s="100" t="str">
        <f>IFERROR(IF(VLOOKUP(O37,Lookup!$A$1:$B$200,2,0)="","",VLOOKUP(O37,Lookup!$A$1:$B$200,2,0)),"")</f>
        <v/>
      </c>
      <c r="J37" s="100" t="str">
        <f t="shared" si="22"/>
        <v>5765GPSVS</v>
      </c>
      <c r="K37" s="100" t="str">
        <f t="shared" si="23"/>
        <v>5765GPSVS</v>
      </c>
      <c r="L37" s="100" t="str">
        <f>D37&amp;" "&amp;IFERROR(IF(VLOOKUP(O37,Lookup!$D$1:$E$201,2,0)="","",VLOOKUP(O37,Lookup!$D$1:$E$201,2,0)),"")</f>
        <v xml:space="preserve">GPSVS </v>
      </c>
      <c r="S37" s="59"/>
      <c r="Y37" s="103"/>
    </row>
    <row r="38" spans="1:25" ht="15.75" thickBot="1">
      <c r="A38" s="100">
        <v>41030</v>
      </c>
      <c r="B38" s="100">
        <f>'UNSG - ALL RATES'!$B$25</f>
        <v>46082</v>
      </c>
      <c r="C38" s="101" t="str">
        <f>M38</f>
        <v>5754</v>
      </c>
      <c r="D38" s="104" t="str">
        <f t="shared" si="21"/>
        <v>GGLVS</v>
      </c>
      <c r="E38" s="100" t="str">
        <f t="shared" ref="E38:E101" si="25">IF(D38="","",A38&amp;$D38)</f>
        <v>41030GGLVS</v>
      </c>
      <c r="F38" s="100" t="str">
        <f t="shared" ref="F38:F101" si="26">IF(E38="","",B38&amp;$D38)</f>
        <v>46082GGLVS</v>
      </c>
      <c r="G38" s="100" t="str">
        <f>IFERROR(IF(VLOOKUP($O38,Lookup!$G$1:$I$182,2,0)="","",VLOOKUP($O38,Lookup!$G$1:$I$182,2,0)),"")</f>
        <v/>
      </c>
      <c r="H38" s="100" t="str">
        <f>IFERROR(IF(VLOOKUP($O38,Lookup!$G$1:$I$182,3,0)="","",VLOOKUP($O38,Lookup!$G$1:$I$182,3,0)),"")</f>
        <v/>
      </c>
      <c r="I38" s="100" t="str">
        <f>IFERROR(IF(VLOOKUP(O38,Lookup!$A$1:$B$200,2,0)="","",VLOOKUP(O38,Lookup!$A$1:$B$200,2,0)),"")</f>
        <v/>
      </c>
      <c r="J38" s="100" t="str">
        <f t="shared" si="22"/>
        <v>5754GGLVS</v>
      </c>
      <c r="K38" s="100" t="str">
        <f t="shared" si="23"/>
        <v>5754GGLVS</v>
      </c>
      <c r="L38" s="100" t="str">
        <f>D38&amp;" "&amp;IFERROR(IF(VLOOKUP(O38,Lookup!$D$1:$E$201,2,0)="","",VLOOKUP(O38,Lookup!$D$1:$E$201,2,0)),"")</f>
        <v xml:space="preserve">GGLVS </v>
      </c>
      <c r="M38" s="101" t="str">
        <f>VLOOKUP(N38,'UNSG - ALL RATES'!$E$25:$F$41,2,0)</f>
        <v>5754</v>
      </c>
      <c r="N38" s="179" t="str">
        <f>'UNSG - ALL RATES'!F5</f>
        <v>GGLVS</v>
      </c>
      <c r="O38" s="58" t="str">
        <f>VLOOKUP($N38,'UNSG - ALL RATES'!$F$2:$G$383,2,0)</f>
        <v>Large Volume Commercial Service</v>
      </c>
      <c r="S38" s="59"/>
      <c r="Y38" s="103"/>
    </row>
    <row r="39" spans="1:25">
      <c r="A39" s="100">
        <v>41030</v>
      </c>
      <c r="B39" s="100">
        <f>'UNSG - ALL RATES'!$B$25</f>
        <v>46082</v>
      </c>
      <c r="C39" s="101" t="str">
        <f t="shared" si="12"/>
        <v>5754</v>
      </c>
      <c r="D39" s="104" t="str">
        <f t="shared" si="21"/>
        <v>GGLVS</v>
      </c>
      <c r="E39" s="100" t="str">
        <f t="shared" si="25"/>
        <v>41030GGLVS</v>
      </c>
      <c r="F39" s="100" t="str">
        <f t="shared" si="26"/>
        <v>46082GGLVS</v>
      </c>
      <c r="G39" s="100" t="str">
        <f>IFERROR(IF(VLOOKUP($O39,Lookup!$G$1:$I$182,2,0)="","",VLOOKUP($O39,Lookup!$G$1:$I$182,2,0)),"")</f>
        <v>total_bill_count</v>
      </c>
      <c r="H39" s="100" t="str">
        <f>IFERROR(IF(VLOOKUP($O39,Lookup!$G$1:$I$182,3,0)="","",VLOOKUP($O39,Lookup!$G$1:$I$182,3,0)),"")</f>
        <v>total_adjusted_bill_count</v>
      </c>
      <c r="I39" s="100" t="str">
        <f>IFERROR(IF(VLOOKUP(O39,Lookup!$A$1:$B$200,2,0)="","",VLOOKUP(O39,Lookup!$A$1:$B$200,2,0)),"")</f>
        <v>BASIC_SERVICE_CHARGE</v>
      </c>
      <c r="J39" s="100" t="str">
        <f t="shared" si="22"/>
        <v>5754GGLVStotal_bill_count</v>
      </c>
      <c r="K39" s="100" t="str">
        <f t="shared" si="23"/>
        <v>5754GGLVStotal_adjusted_bill_count</v>
      </c>
      <c r="L39" s="100" t="str">
        <f>D39&amp;" "&amp;IFERROR(IF(VLOOKUP(O39,Lookup!$D$1:$E$201,2,0)="","",VLOOKUP(O39,Lookup!$D$1:$E$201,2,0)),"")</f>
        <v>GGLVS Basic Service Charges</v>
      </c>
      <c r="O39" s="57" t="s">
        <v>607</v>
      </c>
      <c r="P39" s="59">
        <f>VLOOKUP(E39,'UNSG - ALL RATES'!$A$2:$CG$83,MATCH($I39,'UNSG - ALL RATES'!$A$3:$CG$3,0),0)</f>
        <v>225</v>
      </c>
      <c r="Q39" s="146">
        <f>VLOOKUP($C39&amp;$D39,'[4]Billed Annual Billing Det'!$A$2:$N$16,4,0)</f>
        <v>314</v>
      </c>
      <c r="R39" s="103">
        <f>$P39*Q39</f>
        <v>70650</v>
      </c>
      <c r="S39" s="59"/>
      <c r="T39" s="146">
        <f>VLOOKUP($C39&amp;$D39,'[4]Adjusted Annual Billing Det'!$A$2:$L$16,4,0)</f>
        <v>319.42592592592592</v>
      </c>
      <c r="U39" s="103">
        <f>$P39*T39</f>
        <v>71870.833333333328</v>
      </c>
      <c r="V39" s="59"/>
      <c r="W39" s="746" t="s">
        <v>638</v>
      </c>
      <c r="X39" s="747"/>
      <c r="Y39" s="748"/>
    </row>
    <row r="40" spans="1:25">
      <c r="A40" s="100">
        <v>41030</v>
      </c>
      <c r="B40" s="100">
        <f>'UNSG - ALL RATES'!$B$25</f>
        <v>46082</v>
      </c>
      <c r="C40" s="101" t="str">
        <f t="shared" si="12"/>
        <v>5754</v>
      </c>
      <c r="D40" s="104" t="str">
        <f t="shared" si="21"/>
        <v>GGLVS</v>
      </c>
      <c r="E40" s="100" t="str">
        <f t="shared" si="25"/>
        <v>41030GGLVS</v>
      </c>
      <c r="F40" s="100" t="str">
        <f t="shared" si="26"/>
        <v>46082GGLVS</v>
      </c>
      <c r="G40" s="100" t="str">
        <f>IFERROR(IF(VLOOKUP($O40,Lookup!$G$1:$I$182,2,0)="","",VLOOKUP($O40,Lookup!$G$1:$I$182,2,0)),"")</f>
        <v>total_billed_therms</v>
      </c>
      <c r="H40" s="100" t="str">
        <f>IFERROR(IF(VLOOKUP($O40,Lookup!$G$1:$I$182,3,0)="","",VLOOKUP($O40,Lookup!$G$1:$I$182,3,0)),"")</f>
        <v>total_adjusted_therms</v>
      </c>
      <c r="I40" s="100" t="str">
        <f>IFERROR(IF(VLOOKUP(O40,Lookup!$A$1:$B$200,2,0)="","",VLOOKUP(O40,Lookup!$A$1:$B$200,2,0)),"")</f>
        <v>THERM_DELIVERY_TIER1</v>
      </c>
      <c r="J40" s="100" t="str">
        <f t="shared" si="22"/>
        <v>5754GGLVStotal_billed_therms</v>
      </c>
      <c r="K40" s="100" t="str">
        <f t="shared" si="23"/>
        <v>5754GGLVStotal_adjusted_therms</v>
      </c>
      <c r="L40" s="100" t="str">
        <f>D40&amp;" "&amp;IFERROR(IF(VLOOKUP(O40,Lookup!$D$1:$E$201,2,0)="","",VLOOKUP(O40,Lookup!$D$1:$E$201,2,0)),"")</f>
        <v xml:space="preserve">GGLVS </v>
      </c>
      <c r="O40" s="57" t="s">
        <v>609</v>
      </c>
      <c r="P40" s="194">
        <f>VLOOKUP(E40,'UNSG - ALL RATES'!$A$2:$CG$83,MATCH($I40,'UNSG - ALL RATES'!$A$3:$CG$3,0),0)</f>
        <v>0.2104</v>
      </c>
      <c r="Q40" s="146">
        <f>VLOOKUP($C40&amp;$D40,'[4]Billed Annual Billing Det'!$A$2:$N$16,5,0)</f>
        <v>1168672</v>
      </c>
      <c r="R40" s="103">
        <f>$P40*Q40</f>
        <v>245888.5888</v>
      </c>
      <c r="S40" s="59"/>
      <c r="T40" s="146">
        <f>VLOOKUP($C40&amp;$D40,'[4]Adjusted Annual Billing Det'!$A$2:$L$16,5,0)</f>
        <v>1149625.046884174</v>
      </c>
      <c r="U40" s="103">
        <f>$P40*T40</f>
        <v>241881.10986443021</v>
      </c>
      <c r="V40" s="61"/>
      <c r="W40" s="749"/>
      <c r="X40" s="750"/>
      <c r="Y40" s="751"/>
    </row>
    <row r="41" spans="1:25">
      <c r="A41" s="100">
        <v>41030</v>
      </c>
      <c r="B41" s="100">
        <f>'UNSG - ALL RATES'!$B$25</f>
        <v>46082</v>
      </c>
      <c r="C41" s="101" t="str">
        <f t="shared" si="12"/>
        <v>5754</v>
      </c>
      <c r="D41" s="104" t="str">
        <f t="shared" si="21"/>
        <v>GGLVS</v>
      </c>
      <c r="E41" s="100" t="str">
        <f t="shared" si="25"/>
        <v>41030GGLVS</v>
      </c>
      <c r="F41" s="100" t="str">
        <f t="shared" si="26"/>
        <v>46082GGLVS</v>
      </c>
      <c r="G41" s="100" t="str">
        <f>IFERROR(IF(VLOOKUP($O41,Lookup!$G$1:$I$182,2,0)="","",VLOOKUP($O41,Lookup!$G$1:$I$182,2,0)),"")</f>
        <v/>
      </c>
      <c r="H41" s="100" t="str">
        <f>IFERROR(IF(VLOOKUP($O41,Lookup!$G$1:$I$182,3,0)="","",VLOOKUP($O41,Lookup!$G$1:$I$182,3,0)),"")</f>
        <v/>
      </c>
      <c r="I41" s="100" t="str">
        <f>IFERROR(IF(VLOOKUP(O41,Lookup!$A$1:$B$200,2,0)="","",VLOOKUP(O41,Lookup!$A$1:$B$200,2,0)),"")</f>
        <v/>
      </c>
      <c r="J41" s="100" t="str">
        <f t="shared" si="22"/>
        <v>5754GGLVS</v>
      </c>
      <c r="K41" s="100" t="str">
        <f t="shared" si="23"/>
        <v>5754GGLVS</v>
      </c>
      <c r="L41" s="100" t="str">
        <f>D41&amp;" "&amp;IFERROR(IF(VLOOKUP(O41,Lookup!$D$1:$E$201,2,0)="","",VLOOKUP(O41,Lookup!$D$1:$E$201,2,0)),"")</f>
        <v>GGLVS Margin Revenues</v>
      </c>
      <c r="O41" s="66" t="s">
        <v>635</v>
      </c>
      <c r="P41"/>
      <c r="R41" s="103">
        <f>SUM(R39:R40)</f>
        <v>316538.58880000003</v>
      </c>
      <c r="S41" s="59"/>
      <c r="U41" s="103">
        <f>SUM(U39:U40)</f>
        <v>313751.94319776352</v>
      </c>
      <c r="V41" s="61"/>
      <c r="W41" s="749"/>
      <c r="X41" s="750"/>
      <c r="Y41" s="751"/>
    </row>
    <row r="42" spans="1:25" ht="15.75" thickBot="1">
      <c r="A42" s="100">
        <v>41030</v>
      </c>
      <c r="B42" s="100">
        <f>'UNSG - ALL RATES'!$B$25</f>
        <v>46082</v>
      </c>
      <c r="C42" s="101" t="str">
        <f t="shared" si="12"/>
        <v>5754</v>
      </c>
      <c r="D42" s="104" t="str">
        <f t="shared" si="21"/>
        <v>GGLVS</v>
      </c>
      <c r="E42" s="100" t="str">
        <f t="shared" si="25"/>
        <v>41030GGLVS</v>
      </c>
      <c r="F42" s="100" t="str">
        <f t="shared" si="26"/>
        <v>46082GGLVS</v>
      </c>
      <c r="G42" s="100" t="str">
        <f>IFERROR(IF(VLOOKUP($O42,Lookup!$G$1:$I$182,2,0)="","",VLOOKUP($O42,Lookup!$G$1:$I$182,2,0)),"")</f>
        <v/>
      </c>
      <c r="H42" s="100" t="str">
        <f>IFERROR(IF(VLOOKUP($O42,Lookup!$G$1:$I$182,3,0)="","",VLOOKUP($O42,Lookup!$G$1:$I$182,3,0)),"")</f>
        <v/>
      </c>
      <c r="I42" s="100" t="str">
        <f>IFERROR(IF(VLOOKUP(O42,Lookup!$A$1:$B$200,2,0)="","",VLOOKUP(O42,Lookup!$A$1:$B$200,2,0)),"")</f>
        <v/>
      </c>
      <c r="J42" s="100" t="str">
        <f t="shared" si="22"/>
        <v>5754GGLVS</v>
      </c>
      <c r="K42" s="100" t="str">
        <f t="shared" si="23"/>
        <v>5754GGLVS</v>
      </c>
      <c r="L42" s="100" t="str">
        <f>D42&amp;" "&amp;IFERROR(IF(VLOOKUP(O42,Lookup!$D$1:$E$201,2,0)="","",VLOOKUP(O42,Lookup!$D$1:$E$201,2,0)),"")</f>
        <v>GGLVS Sales (T)</v>
      </c>
      <c r="O42" s="58" t="s">
        <v>614</v>
      </c>
      <c r="P42" s="102"/>
      <c r="Q42" s="146">
        <f>Q40</f>
        <v>1168672</v>
      </c>
      <c r="R42" s="150"/>
      <c r="S42" s="59"/>
      <c r="T42" s="146">
        <f>T40</f>
        <v>1149625.046884174</v>
      </c>
      <c r="U42" s="146"/>
      <c r="V42" s="102"/>
      <c r="W42" s="752"/>
      <c r="X42" s="753"/>
      <c r="Y42" s="754"/>
    </row>
    <row r="43" spans="1:25">
      <c r="A43" s="100">
        <v>41030</v>
      </c>
      <c r="B43" s="100">
        <f>'UNSG - ALL RATES'!$B$25</f>
        <v>46082</v>
      </c>
      <c r="C43" s="101" t="str">
        <f>M38</f>
        <v>5754</v>
      </c>
      <c r="D43" s="104" t="str">
        <f t="shared" si="21"/>
        <v>GGLVS</v>
      </c>
      <c r="E43" s="100" t="str">
        <f t="shared" si="25"/>
        <v>41030GGLVS</v>
      </c>
      <c r="F43" s="100" t="str">
        <f t="shared" si="26"/>
        <v>46082GGLVS</v>
      </c>
      <c r="G43" s="100" t="str">
        <f>IFERROR(IF(VLOOKUP($O43,Lookup!$G$1:$I$182,2,0)="","",VLOOKUP($O43,Lookup!$G$1:$I$182,2,0)),"")</f>
        <v/>
      </c>
      <c r="H43" s="100" t="str">
        <f>IFERROR(IF(VLOOKUP($O43,Lookup!$G$1:$I$182,3,0)="","",VLOOKUP($O43,Lookup!$G$1:$I$182,3,0)),"")</f>
        <v/>
      </c>
      <c r="I43" s="100" t="str">
        <f>IFERROR(IF(VLOOKUP(O43,Lookup!$A$1:$B$200,2,0)="","",VLOOKUP(O43,Lookup!$A$1:$B$200,2,0)),"")</f>
        <v/>
      </c>
      <c r="J43" s="100" t="str">
        <f t="shared" si="22"/>
        <v>5754GGLVS</v>
      </c>
      <c r="K43" s="100" t="str">
        <f t="shared" si="23"/>
        <v>5754GGLVS</v>
      </c>
      <c r="L43" s="100" t="str">
        <f>D43&amp;" "&amp;IFERROR(IF(VLOOKUP(O43,Lookup!$D$1:$E$201,2,0)="","",VLOOKUP(O43,Lookup!$D$1:$E$201,2,0)),"")</f>
        <v xml:space="preserve">GGLVS </v>
      </c>
      <c r="S43" s="59"/>
      <c r="Y43" s="103"/>
    </row>
    <row r="44" spans="1:25">
      <c r="A44" s="100">
        <v>41030</v>
      </c>
      <c r="B44" s="100">
        <f>'UNSG - ALL RATES'!$B$25</f>
        <v>46082</v>
      </c>
      <c r="C44" s="101" t="str">
        <f>M44</f>
        <v>5759</v>
      </c>
      <c r="D44" s="104" t="str">
        <f t="shared" si="21"/>
        <v>GILVS</v>
      </c>
      <c r="E44" s="100" t="str">
        <f t="shared" si="25"/>
        <v>41030GILVS</v>
      </c>
      <c r="F44" s="100" t="str">
        <f t="shared" si="26"/>
        <v>46082GILVS</v>
      </c>
      <c r="G44" s="100" t="str">
        <f>IFERROR(IF(VLOOKUP($O44,Lookup!$G$1:$I$182,2,0)="","",VLOOKUP($O44,Lookup!$G$1:$I$182,2,0)),"")</f>
        <v/>
      </c>
      <c r="H44" s="100" t="str">
        <f>IFERROR(IF(VLOOKUP($O44,Lookup!$G$1:$I$182,3,0)="","",VLOOKUP($O44,Lookup!$G$1:$I$182,3,0)),"")</f>
        <v/>
      </c>
      <c r="I44" s="100" t="str">
        <f>IFERROR(IF(VLOOKUP(O44,Lookup!$A$1:$B$200,2,0)="","",VLOOKUP(O44,Lookup!$A$1:$B$200,2,0)),"")</f>
        <v/>
      </c>
      <c r="J44" s="100" t="str">
        <f t="shared" si="22"/>
        <v>5759GILVS</v>
      </c>
      <c r="K44" s="100" t="str">
        <f t="shared" si="23"/>
        <v>5759GILVS</v>
      </c>
      <c r="L44" s="100" t="str">
        <f>D44&amp;" "&amp;IFERROR(IF(VLOOKUP(O44,Lookup!$D$1:$E$201,2,0)="","",VLOOKUP(O44,Lookup!$D$1:$E$201,2,0)),"")</f>
        <v xml:space="preserve">GILVS </v>
      </c>
      <c r="M44" s="101" t="str">
        <f>VLOOKUP(N44,'UNSG - ALL RATES'!$E$25:$F$41,2,0)</f>
        <v>5759</v>
      </c>
      <c r="N44" s="179" t="str">
        <f>'UNSG - ALL RATES'!F11</f>
        <v>GILVS</v>
      </c>
      <c r="O44" s="58" t="str">
        <f>VLOOKUP($N44,'UNSG - ALL RATES'!$F$2:$G$383,2,0)</f>
        <v>Large Volume Industrial Service</v>
      </c>
      <c r="S44" s="59"/>
      <c r="Y44" s="103"/>
    </row>
    <row r="45" spans="1:25">
      <c r="A45" s="100">
        <v>41030</v>
      </c>
      <c r="B45" s="100">
        <f>'UNSG - ALL RATES'!$B$25</f>
        <v>46082</v>
      </c>
      <c r="C45" s="101" t="str">
        <f t="shared" si="12"/>
        <v>5759</v>
      </c>
      <c r="D45" s="104" t="str">
        <f t="shared" si="21"/>
        <v>GILVS</v>
      </c>
      <c r="E45" s="100" t="str">
        <f t="shared" si="25"/>
        <v>41030GILVS</v>
      </c>
      <c r="F45" s="100" t="str">
        <f t="shared" si="26"/>
        <v>46082GILVS</v>
      </c>
      <c r="G45" s="100" t="str">
        <f>IFERROR(IF(VLOOKUP($O45,Lookup!$G$1:$I$182,2,0)="","",VLOOKUP($O45,Lookup!$G$1:$I$182,2,0)),"")</f>
        <v>total_bill_count</v>
      </c>
      <c r="H45" s="100" t="str">
        <f>IFERROR(IF(VLOOKUP($O45,Lookup!$G$1:$I$182,3,0)="","",VLOOKUP($O45,Lookup!$G$1:$I$182,3,0)),"")</f>
        <v>total_adjusted_bill_count</v>
      </c>
      <c r="I45" s="100" t="str">
        <f>IFERROR(IF(VLOOKUP(O45,Lookup!$A$1:$B$200,2,0)="","",VLOOKUP(O45,Lookup!$A$1:$B$200,2,0)),"")</f>
        <v>BASIC_SERVICE_CHARGE</v>
      </c>
      <c r="J45" s="100" t="str">
        <f t="shared" si="22"/>
        <v>5759GILVStotal_bill_count</v>
      </c>
      <c r="K45" s="100" t="str">
        <f t="shared" si="23"/>
        <v>5759GILVStotal_adjusted_bill_count</v>
      </c>
      <c r="L45" s="100" t="str">
        <f>D45&amp;" "&amp;IFERROR(IF(VLOOKUP(O45,Lookup!$D$1:$E$201,2,0)="","",VLOOKUP(O45,Lookup!$D$1:$E$201,2,0)),"")</f>
        <v>GILVS Basic Service Charges</v>
      </c>
      <c r="O45" s="57" t="s">
        <v>607</v>
      </c>
      <c r="P45" s="59">
        <f>VLOOKUP(E45,'UNSG - ALL RATES'!$A$2:$CG$83,MATCH($I45,'UNSG - ALL RATES'!$A$3:$CG$3,0),0)</f>
        <v>225</v>
      </c>
      <c r="Q45" s="146">
        <f>VLOOKUP($C45&amp;$D45,'[4]Billed Annual Billing Det'!$A$2:$N$16,4,0)</f>
        <v>86</v>
      </c>
      <c r="R45" s="103">
        <f>$P45*Q45</f>
        <v>19350</v>
      </c>
      <c r="S45" s="59"/>
      <c r="T45" s="146">
        <f>VLOOKUP($C45&amp;$D45,'[4]Adjusted Annual Billing Det'!$A$2:$L$16,4,0)</f>
        <v>87.083333333333329</v>
      </c>
      <c r="U45" s="103">
        <f>$P45*T45</f>
        <v>19593.75</v>
      </c>
      <c r="V45" s="59"/>
      <c r="W45" s="59">
        <f>VLOOKUP(F45,'UNSG - ALL RATES'!$A$2:$CG$83,MATCH($I45,'UNSG - ALL RATES'!$A$3:$CG$3,0),0)</f>
        <v>285.73</v>
      </c>
      <c r="X45" s="295">
        <f>VLOOKUP($C45&amp;$D45,'[4]Proposed Annual Billing Det'!$A$2:$N$16,4,0)</f>
        <v>506.50925925925924</v>
      </c>
      <c r="Y45" s="103">
        <f>$W45*X45</f>
        <v>144724.89064814814</v>
      </c>
    </row>
    <row r="46" spans="1:25">
      <c r="A46" s="100">
        <v>41030</v>
      </c>
      <c r="B46" s="100">
        <f>'UNSG - ALL RATES'!$B$25</f>
        <v>46082</v>
      </c>
      <c r="C46" s="101" t="str">
        <f t="shared" si="12"/>
        <v>5759</v>
      </c>
      <c r="D46" s="104" t="str">
        <f t="shared" si="21"/>
        <v>GILVS</v>
      </c>
      <c r="E46" s="100" t="str">
        <f t="shared" si="25"/>
        <v>41030GILVS</v>
      </c>
      <c r="F46" s="100" t="str">
        <f t="shared" si="26"/>
        <v>46082GILVS</v>
      </c>
      <c r="G46" s="100" t="str">
        <f>IFERROR(IF(VLOOKUP($O46,Lookup!$G$1:$I$182,2,0)="","",VLOOKUP($O46,Lookup!$G$1:$I$182,2,0)),"")</f>
        <v>total_billed_therms</v>
      </c>
      <c r="H46" s="100" t="str">
        <f>IFERROR(IF(VLOOKUP($O46,Lookup!$G$1:$I$182,3,0)="","",VLOOKUP($O46,Lookup!$G$1:$I$182,3,0)),"")</f>
        <v>total_adjusted_therms</v>
      </c>
      <c r="I46" s="100" t="str">
        <f>IFERROR(IF(VLOOKUP(O46,Lookup!$A$1:$B$200,2,0)="","",VLOOKUP(O46,Lookup!$A$1:$B$200,2,0)),"")</f>
        <v>THERM_DELIVERY_TIER1</v>
      </c>
      <c r="J46" s="100" t="str">
        <f t="shared" si="22"/>
        <v>5759GILVStotal_billed_therms</v>
      </c>
      <c r="K46" s="100" t="str">
        <f t="shared" si="23"/>
        <v>5759GILVStotal_adjusted_therms</v>
      </c>
      <c r="L46" s="100" t="str">
        <f>D46&amp;" "&amp;IFERROR(IF(VLOOKUP(O46,Lookup!$D$1:$E$201,2,0)="","",VLOOKUP(O46,Lookup!$D$1:$E$201,2,0)),"")</f>
        <v xml:space="preserve">GILVS </v>
      </c>
      <c r="O46" s="57" t="s">
        <v>609</v>
      </c>
      <c r="P46" s="194">
        <f>VLOOKUP(E46,'UNSG - ALL RATES'!$A$2:$CG$83,MATCH($I46,'UNSG - ALL RATES'!$A$3:$CG$3,0),0)</f>
        <v>0.12479999999999999</v>
      </c>
      <c r="Q46" s="146">
        <f>VLOOKUP($C46&amp;$D46,'[4]Billed Annual Billing Det'!$A$2:$N$16,5,0)</f>
        <v>1699928</v>
      </c>
      <c r="R46" s="103">
        <f>$P46*Q46</f>
        <v>212151.01439999999</v>
      </c>
      <c r="S46" s="59"/>
      <c r="T46" s="146">
        <f>VLOOKUP($C46&amp;$D46,'[4]Adjusted Annual Billing Det'!$A$2:$L$16,5,0)</f>
        <v>1695093.4627493734</v>
      </c>
      <c r="U46" s="103">
        <f>$P46*T46</f>
        <v>211547.6641511218</v>
      </c>
      <c r="V46" s="59"/>
      <c r="W46" s="194">
        <f>VLOOKUP(F46,'UNSG - ALL RATES'!$A$2:$CG$83,MATCH($I46,'UNSG - ALL RATES'!$A$3:$CG$3,0),0)</f>
        <v>0.16200000000000001</v>
      </c>
      <c r="X46" s="295">
        <f>VLOOKUP($C46&amp;$D46,'[4]Proposed Annual Billing Det'!$A$2:$N$16,5,0)</f>
        <v>7053235.6826057564</v>
      </c>
      <c r="Y46" s="103">
        <f>$W46*X46</f>
        <v>1142624.1805821327</v>
      </c>
    </row>
    <row r="47" spans="1:25">
      <c r="A47" s="100">
        <v>41030</v>
      </c>
      <c r="B47" s="100">
        <f>'UNSG - ALL RATES'!$B$25</f>
        <v>46082</v>
      </c>
      <c r="C47" s="101" t="str">
        <f t="shared" si="12"/>
        <v>5759</v>
      </c>
      <c r="D47" s="104" t="str">
        <f t="shared" si="21"/>
        <v>GILVS</v>
      </c>
      <c r="E47" s="100" t="str">
        <f t="shared" si="25"/>
        <v>41030GILVS</v>
      </c>
      <c r="F47" s="100" t="str">
        <f t="shared" si="26"/>
        <v>46082GILVS</v>
      </c>
      <c r="G47" s="100" t="str">
        <f>IFERROR(IF(VLOOKUP($O47,Lookup!$G$1:$I$182,2,0)="","",VLOOKUP($O47,Lookup!$G$1:$I$182,2,0)),"")</f>
        <v/>
      </c>
      <c r="H47" s="100" t="str">
        <f>IFERROR(IF(VLOOKUP($O47,Lookup!$G$1:$I$182,3,0)="","",VLOOKUP($O47,Lookup!$G$1:$I$182,3,0)),"")</f>
        <v/>
      </c>
      <c r="I47" s="100" t="str">
        <f>IFERROR(IF(VLOOKUP(O47,Lookup!$A$1:$B$200,2,0)="","",VLOOKUP(O47,Lookup!$A$1:$B$200,2,0)),"")</f>
        <v/>
      </c>
      <c r="J47" s="100" t="str">
        <f t="shared" si="22"/>
        <v>5759GILVS</v>
      </c>
      <c r="K47" s="100" t="str">
        <f t="shared" si="23"/>
        <v>5759GILVS</v>
      </c>
      <c r="L47" s="100" t="str">
        <f>D47&amp;" "&amp;IFERROR(IF(VLOOKUP(O47,Lookup!$D$1:$E$201,2,0)="","",VLOOKUP(O47,Lookup!$D$1:$E$201,2,0)),"")</f>
        <v>GILVS Margin Revenues</v>
      </c>
      <c r="O47" s="66" t="s">
        <v>635</v>
      </c>
      <c r="P47"/>
      <c r="R47" s="103">
        <f>SUM(R45:R46)</f>
        <v>231501.01439999999</v>
      </c>
      <c r="S47" s="59"/>
      <c r="U47" s="103">
        <f>SUM(U45:U46)</f>
        <v>231141.4141511218</v>
      </c>
      <c r="V47" s="59"/>
      <c r="W47" s="59"/>
      <c r="Y47" s="103">
        <f>SUM(Y45:Y46)</f>
        <v>1287349.0712302807</v>
      </c>
    </row>
    <row r="48" spans="1:25">
      <c r="A48" s="100">
        <v>41030</v>
      </c>
      <c r="B48" s="100">
        <f>'UNSG - ALL RATES'!$B$25</f>
        <v>46082</v>
      </c>
      <c r="C48" s="101" t="str">
        <f t="shared" si="12"/>
        <v>5759</v>
      </c>
      <c r="D48" s="104" t="str">
        <f t="shared" si="21"/>
        <v>GILVS</v>
      </c>
      <c r="E48" s="100" t="str">
        <f t="shared" si="25"/>
        <v>41030GILVS</v>
      </c>
      <c r="F48" s="100" t="str">
        <f t="shared" si="26"/>
        <v>46082GILVS</v>
      </c>
      <c r="G48" s="100" t="str">
        <f>IFERROR(IF(VLOOKUP($O48,Lookup!$G$1:$I$182,2,0)="","",VLOOKUP($O48,Lookup!$G$1:$I$182,2,0)),"")</f>
        <v/>
      </c>
      <c r="H48" s="100" t="str">
        <f>IFERROR(IF(VLOOKUP($O48,Lookup!$G$1:$I$182,3,0)="","",VLOOKUP($O48,Lookup!$G$1:$I$182,3,0)),"")</f>
        <v/>
      </c>
      <c r="I48" s="100" t="str">
        <f>IFERROR(IF(VLOOKUP(O48,Lookup!$A$1:$B$200,2,0)="","",VLOOKUP(O48,Lookup!$A$1:$B$200,2,0)),"")</f>
        <v/>
      </c>
      <c r="J48" s="100" t="str">
        <f t="shared" si="22"/>
        <v>5759GILVS</v>
      </c>
      <c r="K48" s="100" t="str">
        <f t="shared" si="23"/>
        <v>5759GILVS</v>
      </c>
      <c r="L48" s="100" t="str">
        <f>D48&amp;" "&amp;IFERROR(IF(VLOOKUP(O48,Lookup!$D$1:$E$201,2,0)="","",VLOOKUP(O48,Lookup!$D$1:$E$201,2,0)),"")</f>
        <v>GILVS Sales (T)</v>
      </c>
      <c r="O48" s="58" t="s">
        <v>614</v>
      </c>
      <c r="P48" s="102"/>
      <c r="Q48" s="146">
        <f>Q46</f>
        <v>1699928</v>
      </c>
      <c r="R48" s="150"/>
      <c r="S48" s="59"/>
      <c r="T48" s="146">
        <f>T46</f>
        <v>1695093.4627493734</v>
      </c>
      <c r="U48" s="146"/>
      <c r="V48" s="102"/>
      <c r="W48" s="102"/>
      <c r="X48" s="146">
        <f>X46</f>
        <v>7053235.6826057564</v>
      </c>
      <c r="Y48" s="150"/>
    </row>
    <row r="49" spans="1:25">
      <c r="A49" s="100">
        <v>41030</v>
      </c>
      <c r="B49" s="100">
        <f>'UNSG - ALL RATES'!$B$25</f>
        <v>46082</v>
      </c>
      <c r="C49" s="101" t="str">
        <f t="shared" si="12"/>
        <v>5759</v>
      </c>
      <c r="D49" s="104" t="str">
        <f t="shared" si="21"/>
        <v>GILVS</v>
      </c>
      <c r="E49" s="100" t="str">
        <f t="shared" si="25"/>
        <v>41030GILVS</v>
      </c>
      <c r="F49" s="100" t="str">
        <f t="shared" si="26"/>
        <v>46082GILVS</v>
      </c>
      <c r="G49" s="100" t="str">
        <f>IFERROR(IF(VLOOKUP($O49,Lookup!$G$1:$I$182,2,0)="","",VLOOKUP($O49,Lookup!$G$1:$I$182,2,0)),"")</f>
        <v/>
      </c>
      <c r="H49" s="100" t="str">
        <f>IFERROR(IF(VLOOKUP($O49,Lookup!$G$1:$I$182,3,0)="","",VLOOKUP($O49,Lookup!$G$1:$I$182,3,0)),"")</f>
        <v/>
      </c>
      <c r="I49" s="100" t="str">
        <f>IFERROR(IF(VLOOKUP(O49,Lookup!$A$1:$B$200,2,0)="","",VLOOKUP(O49,Lookup!$A$1:$B$200,2,0)),"")</f>
        <v/>
      </c>
      <c r="J49" s="100" t="str">
        <f t="shared" si="22"/>
        <v>5759GILVS</v>
      </c>
      <c r="K49" s="100" t="str">
        <f t="shared" si="23"/>
        <v>5759GILVS</v>
      </c>
      <c r="L49" s="100" t="str">
        <f>D49&amp;" "&amp;IFERROR(IF(VLOOKUP(O49,Lookup!$D$1:$E$201,2,0)="","",VLOOKUP(O49,Lookup!$D$1:$E$201,2,0)),"")</f>
        <v xml:space="preserve">GILVS </v>
      </c>
      <c r="S49" s="59"/>
      <c r="Y49" s="103"/>
    </row>
    <row r="50" spans="1:25" ht="15.75" thickBot="1">
      <c r="A50" s="100">
        <v>41030</v>
      </c>
      <c r="B50" s="100">
        <f>'UNSG - ALL RATES'!$B$25</f>
        <v>46082</v>
      </c>
      <c r="C50" s="101" t="str">
        <f>M50</f>
        <v>5766</v>
      </c>
      <c r="D50" s="104" t="str">
        <f t="shared" si="21"/>
        <v>GPLVS</v>
      </c>
      <c r="E50" s="100" t="str">
        <f t="shared" si="25"/>
        <v>41030GPLVS</v>
      </c>
      <c r="F50" s="100" t="str">
        <f t="shared" si="26"/>
        <v>46082GPLVS</v>
      </c>
      <c r="G50" s="100" t="str">
        <f>IFERROR(IF(VLOOKUP($O50,Lookup!$G$1:$I$182,2,0)="","",VLOOKUP($O50,Lookup!$G$1:$I$182,2,0)),"")</f>
        <v/>
      </c>
      <c r="H50" s="100" t="str">
        <f>IFERROR(IF(VLOOKUP($O50,Lookup!$G$1:$I$182,3,0)="","",VLOOKUP($O50,Lookup!$G$1:$I$182,3,0)),"")</f>
        <v/>
      </c>
      <c r="I50" s="100" t="str">
        <f>IFERROR(IF(VLOOKUP(O50,Lookup!$A$1:$B$200,2,0)="","",VLOOKUP(O50,Lookup!$A$1:$B$200,2,0)),"")</f>
        <v/>
      </c>
      <c r="J50" s="100" t="str">
        <f t="shared" si="22"/>
        <v>5766GPLVS</v>
      </c>
      <c r="K50" s="100" t="str">
        <f t="shared" si="23"/>
        <v>5766GPLVS</v>
      </c>
      <c r="L50" s="100" t="str">
        <f>D50&amp;" "&amp;IFERROR(IF(VLOOKUP(O50,Lookup!$D$1:$E$201,2,0)="","",VLOOKUP(O50,Lookup!$D$1:$E$201,2,0)),"")</f>
        <v xml:space="preserve">GPLVS </v>
      </c>
      <c r="M50" s="101" t="str">
        <f>VLOOKUP(N50,'UNSG - ALL RATES'!$E$25:$F$41,2,0)</f>
        <v>5766</v>
      </c>
      <c r="N50" s="179" t="str">
        <f>'UNSG - ALL RATES'!F14</f>
        <v>GPLVS</v>
      </c>
      <c r="O50" s="58" t="str">
        <f>VLOOKUP($N50,'UNSG - ALL RATES'!$F$2:$G$383,2,0)</f>
        <v>Large Volume Public Authority Service</v>
      </c>
      <c r="S50" s="59"/>
      <c r="Y50" s="103"/>
    </row>
    <row r="51" spans="1:25">
      <c r="A51" s="100">
        <v>41030</v>
      </c>
      <c r="B51" s="100">
        <f>'UNSG - ALL RATES'!$B$25</f>
        <v>46082</v>
      </c>
      <c r="C51" s="101" t="str">
        <f>C50</f>
        <v>5766</v>
      </c>
      <c r="D51" s="104" t="str">
        <f t="shared" si="21"/>
        <v>GPLVS</v>
      </c>
      <c r="E51" s="100" t="str">
        <f t="shared" si="25"/>
        <v>41030GPLVS</v>
      </c>
      <c r="F51" s="100" t="str">
        <f t="shared" si="26"/>
        <v>46082GPLVS</v>
      </c>
      <c r="G51" s="100" t="str">
        <f>IFERROR(IF(VLOOKUP($O51,Lookup!$G$1:$I$182,2,0)="","",VLOOKUP($O51,Lookup!$G$1:$I$182,2,0)),"")</f>
        <v>total_bill_count</v>
      </c>
      <c r="H51" s="100" t="str">
        <f>IFERROR(IF(VLOOKUP($O51,Lookup!$G$1:$I$182,3,0)="","",VLOOKUP($O51,Lookup!$G$1:$I$182,3,0)),"")</f>
        <v>total_adjusted_bill_count</v>
      </c>
      <c r="I51" s="100" t="str">
        <f>IFERROR(IF(VLOOKUP(O51,Lookup!$A$1:$B$200,2,0)="","",VLOOKUP(O51,Lookup!$A$1:$B$200,2,0)),"")</f>
        <v>BASIC_SERVICE_CHARGE</v>
      </c>
      <c r="J51" s="100" t="str">
        <f t="shared" si="22"/>
        <v>5766GPLVStotal_bill_count</v>
      </c>
      <c r="K51" s="100" t="str">
        <f t="shared" si="23"/>
        <v>5766GPLVStotal_adjusted_bill_count</v>
      </c>
      <c r="L51" s="100" t="str">
        <f>D51&amp;" "&amp;IFERROR(IF(VLOOKUP(O51,Lookup!$D$1:$E$201,2,0)="","",VLOOKUP(O51,Lookup!$D$1:$E$201,2,0)),"")</f>
        <v>GPLVS Basic Service Charges</v>
      </c>
      <c r="O51" s="57" t="s">
        <v>607</v>
      </c>
      <c r="P51" s="59">
        <f>VLOOKUP(E51,'UNSG - ALL RATES'!$A$2:$CG$83,MATCH($I51,'UNSG - ALL RATES'!$A$3:$CG$3,0),0)</f>
        <v>225</v>
      </c>
      <c r="Q51" s="146">
        <f>VLOOKUP($C51&amp;$D51,'[4]Billed Annual Billing Det'!$A$2:$N$16,4,0)</f>
        <v>83</v>
      </c>
      <c r="R51" s="103">
        <f>$P51*Q51</f>
        <v>18675</v>
      </c>
      <c r="S51" s="59"/>
      <c r="T51" s="146">
        <f>VLOOKUP($C51&amp;$D51,'[4]Adjusted Annual Billing Det'!$A$2:$L$16,4,0)</f>
        <v>83</v>
      </c>
      <c r="U51" s="103">
        <f>$P51*T51</f>
        <v>18675</v>
      </c>
      <c r="V51" s="59"/>
      <c r="W51" s="746" t="s">
        <v>638</v>
      </c>
      <c r="X51" s="747"/>
      <c r="Y51" s="748"/>
    </row>
    <row r="52" spans="1:25">
      <c r="A52" s="100">
        <v>41030</v>
      </c>
      <c r="B52" s="100">
        <f>'UNSG - ALL RATES'!$B$25</f>
        <v>46082</v>
      </c>
      <c r="C52" s="101" t="str">
        <f t="shared" ref="C52" si="27">C51</f>
        <v>5766</v>
      </c>
      <c r="D52" s="104" t="str">
        <f t="shared" si="21"/>
        <v>GPLVS</v>
      </c>
      <c r="E52" s="100" t="str">
        <f t="shared" si="25"/>
        <v>41030GPLVS</v>
      </c>
      <c r="F52" s="100" t="str">
        <f t="shared" si="26"/>
        <v>46082GPLVS</v>
      </c>
      <c r="G52" s="100" t="str">
        <f>IFERROR(IF(VLOOKUP($O52,Lookup!$G$1:$I$182,2,0)="","",VLOOKUP($O52,Lookup!$G$1:$I$182,2,0)),"")</f>
        <v>total_billed_therms</v>
      </c>
      <c r="H52" s="100" t="str">
        <f>IFERROR(IF(VLOOKUP($O52,Lookup!$G$1:$I$182,3,0)="","",VLOOKUP($O52,Lookup!$G$1:$I$182,3,0)),"")</f>
        <v>total_adjusted_therms</v>
      </c>
      <c r="I52" s="100" t="str">
        <f>IFERROR(IF(VLOOKUP(O52,Lookup!$A$1:$B$200,2,0)="","",VLOOKUP(O52,Lookup!$A$1:$B$200,2,0)),"")</f>
        <v>THERM_DELIVERY_TIER1</v>
      </c>
      <c r="J52" s="100" t="str">
        <f t="shared" si="22"/>
        <v>5766GPLVStotal_billed_therms</v>
      </c>
      <c r="K52" s="100" t="str">
        <f t="shared" si="23"/>
        <v>5766GPLVStotal_adjusted_therms</v>
      </c>
      <c r="L52" s="100" t="str">
        <f>D52&amp;" "&amp;IFERROR(IF(VLOOKUP(O52,Lookup!$D$1:$E$201,2,0)="","",VLOOKUP(O52,Lookup!$D$1:$E$201,2,0)),"")</f>
        <v xml:space="preserve">GPLVS </v>
      </c>
      <c r="O52" s="57" t="s">
        <v>609</v>
      </c>
      <c r="P52" s="194">
        <f>VLOOKUP(E52,'UNSG - ALL RATES'!$A$2:$CG$83,MATCH($I52,'UNSG - ALL RATES'!$A$3:$CG$3,0),0)</f>
        <v>0.1527</v>
      </c>
      <c r="Q52" s="146">
        <f>VLOOKUP($C52&amp;$D52,'[4]Billed Annual Billing Det'!$A$2:$N$16,5,0)</f>
        <v>1036504</v>
      </c>
      <c r="R52" s="103">
        <f>$P52*Q52</f>
        <v>158274.16080000001</v>
      </c>
      <c r="S52" s="59"/>
      <c r="T52" s="146">
        <f>VLOOKUP($C52&amp;$D52,'[4]Adjusted Annual Billing Det'!$A$2:$L$16,5,0)</f>
        <v>1013261.7770737136</v>
      </c>
      <c r="U52" s="103">
        <f>$P52*T52</f>
        <v>154725.07335915606</v>
      </c>
      <c r="V52" s="59"/>
      <c r="W52" s="749"/>
      <c r="X52" s="750"/>
      <c r="Y52" s="751"/>
    </row>
    <row r="53" spans="1:25">
      <c r="A53" s="100">
        <v>41030</v>
      </c>
      <c r="B53" s="100">
        <f>'UNSG - ALL RATES'!$B$25</f>
        <v>46082</v>
      </c>
      <c r="C53" s="101" t="str">
        <f t="shared" si="12"/>
        <v>5766</v>
      </c>
      <c r="D53" s="104" t="str">
        <f t="shared" si="21"/>
        <v>GPLVS</v>
      </c>
      <c r="E53" s="100" t="str">
        <f t="shared" si="25"/>
        <v>41030GPLVS</v>
      </c>
      <c r="F53" s="100" t="str">
        <f t="shared" si="26"/>
        <v>46082GPLVS</v>
      </c>
      <c r="G53" s="100" t="str">
        <f>IFERROR(IF(VLOOKUP($O53,Lookup!$G$1:$I$182,2,0)="","",VLOOKUP($O53,Lookup!$G$1:$I$182,2,0)),"")</f>
        <v/>
      </c>
      <c r="H53" s="100" t="str">
        <f>IFERROR(IF(VLOOKUP($O53,Lookup!$G$1:$I$182,3,0)="","",VLOOKUP($O53,Lookup!$G$1:$I$182,3,0)),"")</f>
        <v/>
      </c>
      <c r="I53" s="100" t="str">
        <f>IFERROR(IF(VLOOKUP(O53,Lookup!$A$1:$B$200,2,0)="","",VLOOKUP(O53,Lookup!$A$1:$B$200,2,0)),"")</f>
        <v/>
      </c>
      <c r="J53" s="100" t="str">
        <f t="shared" si="22"/>
        <v>5766GPLVS</v>
      </c>
      <c r="K53" s="100" t="str">
        <f t="shared" si="23"/>
        <v>5766GPLVS</v>
      </c>
      <c r="L53" s="100" t="str">
        <f>D53&amp;" "&amp;IFERROR(IF(VLOOKUP(O53,Lookup!$D$1:$E$201,2,0)="","",VLOOKUP(O53,Lookup!$D$1:$E$201,2,0)),"")</f>
        <v>GPLVS Margin Revenues</v>
      </c>
      <c r="O53" s="66" t="s">
        <v>635</v>
      </c>
      <c r="P53"/>
      <c r="R53" s="103">
        <f>SUM(R51:R52)</f>
        <v>176949.16080000001</v>
      </c>
      <c r="S53" s="59"/>
      <c r="U53" s="103">
        <f>SUM(U51:U52)</f>
        <v>173400.07335915606</v>
      </c>
      <c r="V53" s="59"/>
      <c r="W53" s="749"/>
      <c r="X53" s="750"/>
      <c r="Y53" s="751"/>
    </row>
    <row r="54" spans="1:25" ht="15.75" thickBot="1">
      <c r="A54" s="100">
        <v>41030</v>
      </c>
      <c r="B54" s="100">
        <f>'UNSG - ALL RATES'!$B$25</f>
        <v>46082</v>
      </c>
      <c r="C54" s="101" t="str">
        <f t="shared" si="12"/>
        <v>5766</v>
      </c>
      <c r="D54" s="104" t="str">
        <f t="shared" si="21"/>
        <v>GPLVS</v>
      </c>
      <c r="E54" s="100" t="str">
        <f t="shared" si="25"/>
        <v>41030GPLVS</v>
      </c>
      <c r="F54" s="100" t="str">
        <f t="shared" si="26"/>
        <v>46082GPLVS</v>
      </c>
      <c r="G54" s="100" t="str">
        <f>IFERROR(IF(VLOOKUP($O54,Lookup!$G$1:$I$182,2,0)="","",VLOOKUP($O54,Lookup!$G$1:$I$182,2,0)),"")</f>
        <v/>
      </c>
      <c r="H54" s="100" t="str">
        <f>IFERROR(IF(VLOOKUP($O54,Lookup!$G$1:$I$182,3,0)="","",VLOOKUP($O54,Lookup!$G$1:$I$182,3,0)),"")</f>
        <v/>
      </c>
      <c r="I54" s="100" t="str">
        <f>IFERROR(IF(VLOOKUP(O54,Lookup!$A$1:$B$200,2,0)="","",VLOOKUP(O54,Lookup!$A$1:$B$200,2,0)),"")</f>
        <v/>
      </c>
      <c r="J54" s="100" t="str">
        <f t="shared" si="22"/>
        <v>5766GPLVS</v>
      </c>
      <c r="K54" s="100" t="str">
        <f t="shared" si="23"/>
        <v>5766GPLVS</v>
      </c>
      <c r="L54" s="100" t="str">
        <f>D54&amp;" "&amp;IFERROR(IF(VLOOKUP(O54,Lookup!$D$1:$E$201,2,0)="","",VLOOKUP(O54,Lookup!$D$1:$E$201,2,0)),"")</f>
        <v>GPLVS Sales (T)</v>
      </c>
      <c r="O54" s="58" t="s">
        <v>614</v>
      </c>
      <c r="P54" s="102"/>
      <c r="Q54" s="146">
        <f>Q52</f>
        <v>1036504</v>
      </c>
      <c r="R54" s="150"/>
      <c r="S54" s="59"/>
      <c r="T54" s="146">
        <f>T52</f>
        <v>1013261.7770737136</v>
      </c>
      <c r="U54" s="146"/>
      <c r="V54" s="102"/>
      <c r="W54" s="752"/>
      <c r="X54" s="753"/>
      <c r="Y54" s="754"/>
    </row>
    <row r="55" spans="1:25">
      <c r="A55" s="100">
        <v>41030</v>
      </c>
      <c r="B55" s="100">
        <f>'UNSG - ALL RATES'!$B$25</f>
        <v>46082</v>
      </c>
      <c r="C55" s="101" t="str">
        <f t="shared" si="12"/>
        <v>5766</v>
      </c>
      <c r="D55" s="104" t="str">
        <f t="shared" si="21"/>
        <v>GPLVS</v>
      </c>
      <c r="E55" s="100" t="str">
        <f t="shared" si="25"/>
        <v>41030GPLVS</v>
      </c>
      <c r="F55" s="100" t="str">
        <f t="shared" si="26"/>
        <v>46082GPLVS</v>
      </c>
      <c r="G55" s="100" t="str">
        <f>IFERROR(IF(VLOOKUP($O55,Lookup!$G$1:$I$182,2,0)="","",VLOOKUP($O55,Lookup!$G$1:$I$182,2,0)),"")</f>
        <v/>
      </c>
      <c r="H55" s="100" t="str">
        <f>IFERROR(IF(VLOOKUP($O55,Lookup!$G$1:$I$182,3,0)="","",VLOOKUP($O55,Lookup!$G$1:$I$182,3,0)),"")</f>
        <v/>
      </c>
      <c r="I55" s="100" t="str">
        <f>IFERROR(IF(VLOOKUP(O55,Lookup!$A$1:$B$200,2,0)="","",VLOOKUP(O55,Lookup!$A$1:$B$200,2,0)),"")</f>
        <v/>
      </c>
      <c r="J55" s="100" t="str">
        <f t="shared" si="22"/>
        <v>5766GPLVS</v>
      </c>
      <c r="K55" s="100" t="str">
        <f t="shared" si="23"/>
        <v>5766GPLVS</v>
      </c>
      <c r="L55" s="100" t="str">
        <f>D55&amp;" "&amp;IFERROR(IF(VLOOKUP(O55,Lookup!$D$1:$E$201,2,0)="","",VLOOKUP(O55,Lookup!$D$1:$E$201,2,0)),"")</f>
        <v xml:space="preserve">GPLVS </v>
      </c>
      <c r="S55" s="59"/>
      <c r="Y55" s="103"/>
    </row>
    <row r="56" spans="1:25" ht="15.75" thickBot="1">
      <c r="A56" s="100">
        <v>41030</v>
      </c>
      <c r="B56" s="100">
        <f>'UNSG - ALL RATES'!$B$25</f>
        <v>46082</v>
      </c>
      <c r="C56" s="101" t="str">
        <f>M56</f>
        <v>5763</v>
      </c>
      <c r="D56" s="104" t="str">
        <f t="shared" si="21"/>
        <v>GPCNGSV</v>
      </c>
      <c r="E56" s="100" t="str">
        <f t="shared" si="25"/>
        <v>41030GPCNGSV</v>
      </c>
      <c r="F56" s="100" t="str">
        <f t="shared" si="26"/>
        <v>46082GPCNGSV</v>
      </c>
      <c r="G56" s="100" t="str">
        <f>IFERROR(IF(VLOOKUP($O56,Lookup!$G$1:$I$182,2,0)="","",VLOOKUP($O56,Lookup!$G$1:$I$182,2,0)),"")</f>
        <v/>
      </c>
      <c r="H56" s="100" t="str">
        <f>IFERROR(IF(VLOOKUP($O56,Lookup!$G$1:$I$182,3,0)="","",VLOOKUP($O56,Lookup!$G$1:$I$182,3,0)),"")</f>
        <v/>
      </c>
      <c r="I56" s="100" t="str">
        <f>IFERROR(IF(VLOOKUP(O56,Lookup!$A$1:$B$200,2,0)="","",VLOOKUP(O56,Lookup!$A$1:$B$200,2,0)),"")</f>
        <v/>
      </c>
      <c r="J56" s="100" t="str">
        <f t="shared" ref="J56:J78" si="28">C56&amp;D56&amp;G56</f>
        <v>5763GPCNGSV</v>
      </c>
      <c r="K56" s="100" t="str">
        <f t="shared" ref="K56:K78" si="29">C56&amp;D56&amp;H56</f>
        <v>5763GPCNGSV</v>
      </c>
      <c r="L56" s="100" t="str">
        <f>D56&amp;" "&amp;IFERROR(IF(VLOOKUP(O56,Lookup!$D$1:$E$201,2,0)="","",VLOOKUP(O56,Lookup!$D$1:$E$201,2,0)),"")</f>
        <v xml:space="preserve">GPCNGSV </v>
      </c>
      <c r="M56" s="101" t="str">
        <f>VLOOKUP(N56,'UNSG - ALL RATES'!$E$25:$F$41,2,0)</f>
        <v>5763</v>
      </c>
      <c r="N56" s="179" t="str">
        <f>'UNSG - ALL RATES'!F6</f>
        <v>GPCNGSV</v>
      </c>
      <c r="O56" s="58" t="str">
        <f>VLOOKUP($N56,'UNSG - ALL RATES'!$F$2:$G$383,2,0)</f>
        <v>Compressed Natural Gas-Public Auth</v>
      </c>
      <c r="S56" s="59"/>
      <c r="Y56" s="103"/>
    </row>
    <row r="57" spans="1:25">
      <c r="A57" s="100">
        <v>41030</v>
      </c>
      <c r="B57" s="100">
        <f>'UNSG - ALL RATES'!$B$25</f>
        <v>46082</v>
      </c>
      <c r="C57" s="101" t="str">
        <f t="shared" si="12"/>
        <v>5763</v>
      </c>
      <c r="D57" s="104" t="str">
        <f t="shared" si="21"/>
        <v>GPCNGSV</v>
      </c>
      <c r="E57" s="100" t="str">
        <f t="shared" si="25"/>
        <v>41030GPCNGSV</v>
      </c>
      <c r="F57" s="100" t="str">
        <f t="shared" si="26"/>
        <v>46082GPCNGSV</v>
      </c>
      <c r="G57" s="100" t="str">
        <f>IFERROR(IF(VLOOKUP($O57,Lookup!$G$1:$I$182,2,0)="","",VLOOKUP($O57,Lookup!$G$1:$I$182,2,0)),"")</f>
        <v>total_bill_count</v>
      </c>
      <c r="H57" s="100" t="str">
        <f>IFERROR(IF(VLOOKUP($O57,Lookup!$G$1:$I$182,3,0)="","",VLOOKUP($O57,Lookup!$G$1:$I$182,3,0)),"")</f>
        <v>total_adjusted_bill_count</v>
      </c>
      <c r="I57" s="100" t="str">
        <f>IFERROR(IF(VLOOKUP(O57,Lookup!$A$1:$B$200,2,0)="","",VLOOKUP(O57,Lookup!$A$1:$B$200,2,0)),"")</f>
        <v>BASIC_SERVICE_CHARGE</v>
      </c>
      <c r="J57" s="100" t="str">
        <f t="shared" si="28"/>
        <v>5763GPCNGSVtotal_bill_count</v>
      </c>
      <c r="K57" s="100" t="str">
        <f t="shared" si="29"/>
        <v>5763GPCNGSVtotal_adjusted_bill_count</v>
      </c>
      <c r="L57" s="100" t="str">
        <f>D57&amp;" "&amp;IFERROR(IF(VLOOKUP(O57,Lookup!$D$1:$E$201,2,0)="","",VLOOKUP(O57,Lookup!$D$1:$E$201,2,0)),"")</f>
        <v>GPCNGSV Basic Service Charges</v>
      </c>
      <c r="O57" s="57" t="s">
        <v>607</v>
      </c>
      <c r="P57" s="59">
        <f>VLOOKUP(E57,'UNSG - ALL RATES'!$A$2:$CG$83,MATCH($I57,'UNSG - ALL RATES'!$A$3:$CG$3,0),0)</f>
        <v>20</v>
      </c>
      <c r="Q57" s="146">
        <f>VLOOKUP($C57&amp;$D57,'[4]Billed Annual Billing Det'!$A$2:$N$16,4,0)</f>
        <v>36</v>
      </c>
      <c r="R57" s="103">
        <f>$P57*Q57</f>
        <v>720</v>
      </c>
      <c r="S57" s="59"/>
      <c r="T57" s="146">
        <f>VLOOKUP($C57&amp;$D57,'[4]Adjusted Annual Billing Det'!$A$2:$L$16,4,0)</f>
        <v>36</v>
      </c>
      <c r="U57" s="103">
        <f>$P57*T57</f>
        <v>720</v>
      </c>
      <c r="V57" s="59"/>
      <c r="W57" s="746" t="s">
        <v>637</v>
      </c>
      <c r="X57" s="747"/>
      <c r="Y57" s="748"/>
    </row>
    <row r="58" spans="1:25">
      <c r="A58" s="100">
        <v>41030</v>
      </c>
      <c r="B58" s="100">
        <f>'UNSG - ALL RATES'!$B$25</f>
        <v>46082</v>
      </c>
      <c r="C58" s="101" t="str">
        <f t="shared" si="12"/>
        <v>5763</v>
      </c>
      <c r="D58" s="104" t="str">
        <f t="shared" si="21"/>
        <v>GPCNGSV</v>
      </c>
      <c r="E58" s="100" t="str">
        <f t="shared" si="25"/>
        <v>41030GPCNGSV</v>
      </c>
      <c r="F58" s="100" t="str">
        <f t="shared" si="26"/>
        <v>46082GPCNGSV</v>
      </c>
      <c r="G58" s="100" t="str">
        <f>IFERROR(IF(VLOOKUP($O58,Lookup!$G$1:$I$182,2,0)="","",VLOOKUP($O58,Lookup!$G$1:$I$182,2,0)),"")</f>
        <v>total_billed_therms</v>
      </c>
      <c r="H58" s="100" t="str">
        <f>IFERROR(IF(VLOOKUP($O58,Lookup!$G$1:$I$182,3,0)="","",VLOOKUP($O58,Lookup!$G$1:$I$182,3,0)),"")</f>
        <v>total_adjusted_therms</v>
      </c>
      <c r="I58" s="100" t="str">
        <f>IFERROR(IF(VLOOKUP(O58,Lookup!$A$1:$B$200,2,0)="","",VLOOKUP(O58,Lookup!$A$1:$B$200,2,0)),"")</f>
        <v>THERM_DELIVERY_TIER1</v>
      </c>
      <c r="J58" s="100" t="str">
        <f t="shared" si="28"/>
        <v>5763GPCNGSVtotal_billed_therms</v>
      </c>
      <c r="K58" s="100" t="str">
        <f t="shared" si="29"/>
        <v>5763GPCNGSVtotal_adjusted_therms</v>
      </c>
      <c r="L58" s="100" t="str">
        <f>D58&amp;" "&amp;IFERROR(IF(VLOOKUP(O58,Lookup!$D$1:$E$201,2,0)="","",VLOOKUP(O58,Lookup!$D$1:$E$201,2,0)),"")</f>
        <v xml:space="preserve">GPCNGSV </v>
      </c>
      <c r="O58" s="57" t="s">
        <v>609</v>
      </c>
      <c r="P58" s="194">
        <f>VLOOKUP(E58,'UNSG - ALL RATES'!$A$2:$CG$83,MATCH($I58,'UNSG - ALL RATES'!$A$3:$CG$3,0),0)</f>
        <v>0.28410000000000002</v>
      </c>
      <c r="Q58" s="146">
        <f>VLOOKUP($C58&amp;$D58,'[4]Billed Annual Billing Det'!$A$2:$N$16,5,0)</f>
        <v>0</v>
      </c>
      <c r="R58" s="103">
        <f>$P58*Q58</f>
        <v>0</v>
      </c>
      <c r="S58" s="59"/>
      <c r="T58" s="146">
        <f>VLOOKUP($C58&amp;$D58,'[4]Adjusted Annual Billing Det'!$A$2:$L$16,5,0)</f>
        <v>0</v>
      </c>
      <c r="U58" s="103">
        <f>$P58*T58</f>
        <v>0</v>
      </c>
      <c r="V58" s="59"/>
      <c r="W58" s="749"/>
      <c r="X58" s="750"/>
      <c r="Y58" s="751"/>
    </row>
    <row r="59" spans="1:25">
      <c r="A59" s="100">
        <v>41030</v>
      </c>
      <c r="B59" s="100">
        <f>'UNSG - ALL RATES'!$B$25</f>
        <v>46082</v>
      </c>
      <c r="C59" s="101" t="str">
        <f t="shared" ref="C59" si="30">M56</f>
        <v>5763</v>
      </c>
      <c r="D59" s="104" t="str">
        <f t="shared" si="21"/>
        <v>GPCNGSV</v>
      </c>
      <c r="E59" s="100" t="str">
        <f t="shared" si="25"/>
        <v>41030GPCNGSV</v>
      </c>
      <c r="F59" s="100" t="str">
        <f t="shared" si="26"/>
        <v>46082GPCNGSV</v>
      </c>
      <c r="G59" s="100" t="str">
        <f>IFERROR(IF(VLOOKUP($O59,Lookup!$G$1:$I$182,2,0)="","",VLOOKUP($O59,Lookup!$G$1:$I$182,2,0)),"")</f>
        <v/>
      </c>
      <c r="H59" s="100" t="str">
        <f>IFERROR(IF(VLOOKUP($O59,Lookup!$G$1:$I$182,3,0)="","",VLOOKUP($O59,Lookup!$G$1:$I$182,3,0)),"")</f>
        <v/>
      </c>
      <c r="I59" s="100" t="str">
        <f>IFERROR(IF(VLOOKUP(O59,Lookup!$A$1:$B$200,2,0)="","",VLOOKUP(O59,Lookup!$A$1:$B$200,2,0)),"")</f>
        <v/>
      </c>
      <c r="J59" s="100" t="str">
        <f t="shared" si="28"/>
        <v>5763GPCNGSV</v>
      </c>
      <c r="K59" s="100" t="str">
        <f t="shared" si="29"/>
        <v>5763GPCNGSV</v>
      </c>
      <c r="L59" s="100" t="str">
        <f>D59&amp;" "&amp;IFERROR(IF(VLOOKUP(O59,Lookup!$D$1:$E$201,2,0)="","",VLOOKUP(O59,Lookup!$D$1:$E$201,2,0)),"")</f>
        <v>GPCNGSV Margin Revenues</v>
      </c>
      <c r="O59" s="66" t="s">
        <v>635</v>
      </c>
      <c r="P59"/>
      <c r="R59" s="103">
        <f>SUM(R57:R58)</f>
        <v>720</v>
      </c>
      <c r="S59" s="59"/>
      <c r="U59" s="103">
        <f>SUM(U57:U58)</f>
        <v>720</v>
      </c>
      <c r="V59" s="59"/>
      <c r="W59" s="749"/>
      <c r="X59" s="750"/>
      <c r="Y59" s="751"/>
    </row>
    <row r="60" spans="1:25" ht="15.75" thickBot="1">
      <c r="A60" s="100">
        <v>41030</v>
      </c>
      <c r="B60" s="100">
        <f>'UNSG - ALL RATES'!$B$25</f>
        <v>46082</v>
      </c>
      <c r="C60" s="101" t="str">
        <f t="shared" ref="C60" si="31">C59</f>
        <v>5763</v>
      </c>
      <c r="D60" s="104" t="str">
        <f t="shared" si="21"/>
        <v>GPCNGSV</v>
      </c>
      <c r="E60" s="100" t="str">
        <f t="shared" si="25"/>
        <v>41030GPCNGSV</v>
      </c>
      <c r="F60" s="100" t="str">
        <f t="shared" si="26"/>
        <v>46082GPCNGSV</v>
      </c>
      <c r="G60" s="100" t="str">
        <f>IFERROR(IF(VLOOKUP($O60,Lookup!$G$1:$I$182,2,0)="","",VLOOKUP($O60,Lookup!$G$1:$I$182,2,0)),"")</f>
        <v/>
      </c>
      <c r="H60" s="100" t="str">
        <f>IFERROR(IF(VLOOKUP($O60,Lookup!$G$1:$I$182,3,0)="","",VLOOKUP($O60,Lookup!$G$1:$I$182,3,0)),"")</f>
        <v/>
      </c>
      <c r="I60" s="100" t="str">
        <f>IFERROR(IF(VLOOKUP(O60,Lookup!$A$1:$B$200,2,0)="","",VLOOKUP(O60,Lookup!$A$1:$B$200,2,0)),"")</f>
        <v/>
      </c>
      <c r="J60" s="100" t="str">
        <f t="shared" si="28"/>
        <v>5763GPCNGSV</v>
      </c>
      <c r="K60" s="100" t="str">
        <f t="shared" si="29"/>
        <v>5763GPCNGSV</v>
      </c>
      <c r="L60" s="100" t="str">
        <f>D60&amp;" "&amp;IFERROR(IF(VLOOKUP(O60,Lookup!$D$1:$E$201,2,0)="","",VLOOKUP(O60,Lookup!$D$1:$E$201,2,0)),"")</f>
        <v>GPCNGSV Sales (T)</v>
      </c>
      <c r="O60" s="58" t="s">
        <v>614</v>
      </c>
      <c r="P60" s="102"/>
      <c r="Q60" s="146">
        <f>Q58</f>
        <v>0</v>
      </c>
      <c r="R60" s="150"/>
      <c r="S60" s="59"/>
      <c r="T60" s="146">
        <f>T58</f>
        <v>0</v>
      </c>
      <c r="U60" s="146"/>
      <c r="V60" s="102"/>
      <c r="W60" s="752"/>
      <c r="X60" s="753"/>
      <c r="Y60" s="754"/>
    </row>
    <row r="61" spans="1:25">
      <c r="A61" s="100">
        <v>41030</v>
      </c>
      <c r="B61" s="100">
        <f>'UNSG - ALL RATES'!$B$25</f>
        <v>46082</v>
      </c>
      <c r="C61" s="101" t="str">
        <f t="shared" si="12"/>
        <v>5763</v>
      </c>
      <c r="D61" s="104" t="str">
        <f t="shared" si="21"/>
        <v>GPCNGSV</v>
      </c>
      <c r="E61" s="100" t="str">
        <f t="shared" si="25"/>
        <v>41030GPCNGSV</v>
      </c>
      <c r="F61" s="100" t="str">
        <f t="shared" si="26"/>
        <v>46082GPCNGSV</v>
      </c>
      <c r="G61" s="100" t="str">
        <f>IFERROR(IF(VLOOKUP($O61,Lookup!$G$1:$I$182,2,0)="","",VLOOKUP($O61,Lookup!$G$1:$I$182,2,0)),"")</f>
        <v/>
      </c>
      <c r="H61" s="100" t="str">
        <f>IFERROR(IF(VLOOKUP($O61,Lookup!$G$1:$I$182,3,0)="","",VLOOKUP($O61,Lookup!$G$1:$I$182,3,0)),"")</f>
        <v/>
      </c>
      <c r="I61" s="100" t="str">
        <f>IFERROR(IF(VLOOKUP(O61,Lookup!$A$1:$B$200,2,0)="","",VLOOKUP(O61,Lookup!$A$1:$B$200,2,0)),"")</f>
        <v/>
      </c>
      <c r="J61" s="100" t="str">
        <f t="shared" si="28"/>
        <v>5763GPCNGSV</v>
      </c>
      <c r="K61" s="100" t="str">
        <f t="shared" si="29"/>
        <v>5763GPCNGSV</v>
      </c>
      <c r="L61" s="100" t="str">
        <f>D61&amp;" "&amp;IFERROR(IF(VLOOKUP(O61,Lookup!$D$1:$E$201,2,0)="","",VLOOKUP(O61,Lookup!$D$1:$E$201,2,0)),"")</f>
        <v xml:space="preserve">GPCNGSV </v>
      </c>
      <c r="S61" s="59"/>
      <c r="Y61" s="103"/>
    </row>
    <row r="62" spans="1:25" ht="15.75" thickBot="1">
      <c r="A62" s="100">
        <v>41030</v>
      </c>
      <c r="B62" s="100">
        <f>'UNSG - ALL RATES'!$B$25</f>
        <v>46082</v>
      </c>
      <c r="C62" s="101" t="str">
        <f>M62</f>
        <v>5763</v>
      </c>
      <c r="D62" s="104" t="str">
        <f t="shared" si="21"/>
        <v>GRCNG</v>
      </c>
      <c r="E62" s="100" t="str">
        <f t="shared" si="25"/>
        <v>41030GRCNG</v>
      </c>
      <c r="F62" s="100" t="str">
        <f t="shared" si="26"/>
        <v>46082GRCNG</v>
      </c>
      <c r="G62" s="100" t="str">
        <f>IFERROR(IF(VLOOKUP($O62,Lookup!$G$1:$I$182,2,0)="","",VLOOKUP($O62,Lookup!$G$1:$I$182,2,0)),"")</f>
        <v/>
      </c>
      <c r="H62" s="100" t="str">
        <f>IFERROR(IF(VLOOKUP($O62,Lookup!$G$1:$I$182,3,0)="","",VLOOKUP($O62,Lookup!$G$1:$I$182,3,0)),"")</f>
        <v/>
      </c>
      <c r="I62" s="100" t="str">
        <f>IFERROR(IF(VLOOKUP(O62,Lookup!$A$1:$B$200,2,0)="","",VLOOKUP(O62,Lookup!$A$1:$B$200,2,0)),"")</f>
        <v/>
      </c>
      <c r="J62" s="100" t="str">
        <f t="shared" si="28"/>
        <v>5763GRCNG</v>
      </c>
      <c r="K62" s="100" t="str">
        <f t="shared" si="29"/>
        <v>5763GRCNG</v>
      </c>
      <c r="L62" s="100" t="str">
        <f>D62&amp;" "&amp;IFERROR(IF(VLOOKUP(O62,Lookup!$D$1:$E$201,2,0)="","",VLOOKUP(O62,Lookup!$D$1:$E$201,2,0)),"")</f>
        <v xml:space="preserve">GRCNG </v>
      </c>
      <c r="M62" s="101" t="str">
        <f>VLOOKUP(N62,'UNSG - ALL RATES'!$E$25:$F$41,2,0)</f>
        <v>5763</v>
      </c>
      <c r="N62" s="179" t="str">
        <f>'UNSG - ALL RATES'!F7</f>
        <v>GRCNG</v>
      </c>
      <c r="O62" s="58" t="str">
        <f>VLOOKUP($N62,'UNSG - ALL RATES'!$F$2:$G$383,2,0)</f>
        <v>Compressed Natural Gas-Residential Service</v>
      </c>
      <c r="S62" s="59"/>
      <c r="Y62" s="103"/>
    </row>
    <row r="63" spans="1:25">
      <c r="A63" s="100">
        <v>41030</v>
      </c>
      <c r="B63" s="100">
        <f>'UNSG - ALL RATES'!$B$25</f>
        <v>46082</v>
      </c>
      <c r="C63" s="101" t="str">
        <f t="shared" si="12"/>
        <v>5763</v>
      </c>
      <c r="D63" s="104" t="str">
        <f t="shared" si="21"/>
        <v>GRCNG</v>
      </c>
      <c r="E63" s="100" t="str">
        <f t="shared" si="25"/>
        <v>41030GRCNG</v>
      </c>
      <c r="F63" s="100" t="str">
        <f t="shared" si="26"/>
        <v>46082GRCNG</v>
      </c>
      <c r="G63" s="100" t="str">
        <f>IFERROR(IF(VLOOKUP($O63,Lookup!$G$1:$I$182,2,0)="","",VLOOKUP($O63,Lookup!$G$1:$I$182,2,0)),"")</f>
        <v>total_bill_count</v>
      </c>
      <c r="H63" s="100" t="str">
        <f>IFERROR(IF(VLOOKUP($O63,Lookup!$G$1:$I$182,3,0)="","",VLOOKUP($O63,Lookup!$G$1:$I$182,3,0)),"")</f>
        <v>total_adjusted_bill_count</v>
      </c>
      <c r="I63" s="100" t="str">
        <f>IFERROR(IF(VLOOKUP(O63,Lookup!$A$1:$B$200,2,0)="","",VLOOKUP(O63,Lookup!$A$1:$B$200,2,0)),"")</f>
        <v>BASIC_SERVICE_CHARGE</v>
      </c>
      <c r="J63" s="100" t="str">
        <f t="shared" si="28"/>
        <v>5763GRCNGtotal_bill_count</v>
      </c>
      <c r="K63" s="100" t="str">
        <f t="shared" si="29"/>
        <v>5763GRCNGtotal_adjusted_bill_count</v>
      </c>
      <c r="L63" s="100" t="str">
        <f>D63&amp;" "&amp;IFERROR(IF(VLOOKUP(O63,Lookup!$D$1:$E$201,2,0)="","",VLOOKUP(O63,Lookup!$D$1:$E$201,2,0)),"")</f>
        <v>GRCNG Basic Service Charges</v>
      </c>
      <c r="O63" s="57" t="s">
        <v>607</v>
      </c>
      <c r="P63" s="59">
        <f>VLOOKUP(E63,'UNSG - ALL RATES'!$A$2:$CG$83,MATCH($I63,'UNSG - ALL RATES'!$A$3:$CG$3,0),0)</f>
        <v>10</v>
      </c>
      <c r="Q63" s="146">
        <f>VLOOKUP($C63&amp;$D63,'[4]Billed Annual Billing Det'!$A$2:$N$16,4,0)</f>
        <v>24</v>
      </c>
      <c r="R63" s="103">
        <f>$P63*Q63</f>
        <v>240</v>
      </c>
      <c r="S63" s="59"/>
      <c r="T63" s="146">
        <f>VLOOKUP($C63&amp;$D63,'[4]Adjusted Annual Billing Det'!$A$2:$L$16,4,0)</f>
        <v>24</v>
      </c>
      <c r="U63" s="103">
        <f>$P63*T63</f>
        <v>240</v>
      </c>
      <c r="V63" s="59"/>
      <c r="W63" s="746" t="s">
        <v>639</v>
      </c>
      <c r="X63" s="747"/>
      <c r="Y63" s="748"/>
    </row>
    <row r="64" spans="1:25">
      <c r="A64" s="100">
        <v>41030</v>
      </c>
      <c r="B64" s="100">
        <f>'UNSG - ALL RATES'!$B$25</f>
        <v>46082</v>
      </c>
      <c r="C64" s="101" t="str">
        <f t="shared" si="12"/>
        <v>5763</v>
      </c>
      <c r="D64" s="104" t="str">
        <f t="shared" si="21"/>
        <v>GRCNG</v>
      </c>
      <c r="E64" s="100" t="str">
        <f t="shared" si="25"/>
        <v>41030GRCNG</v>
      </c>
      <c r="F64" s="100" t="str">
        <f t="shared" si="26"/>
        <v>46082GRCNG</v>
      </c>
      <c r="G64" s="100" t="str">
        <f>IFERROR(IF(VLOOKUP($O64,Lookup!$G$1:$I$182,2,0)="","",VLOOKUP($O64,Lookup!$G$1:$I$182,2,0)),"")</f>
        <v>total_billed_therms</v>
      </c>
      <c r="H64" s="100" t="str">
        <f>IFERROR(IF(VLOOKUP($O64,Lookup!$G$1:$I$182,3,0)="","",VLOOKUP($O64,Lookup!$G$1:$I$182,3,0)),"")</f>
        <v>total_adjusted_therms</v>
      </c>
      <c r="I64" s="100" t="str">
        <f>IFERROR(IF(VLOOKUP(O64,Lookup!$A$1:$B$200,2,0)="","",VLOOKUP(O64,Lookup!$A$1:$B$200,2,0)),"")</f>
        <v>THERM_DELIVERY_TIER1</v>
      </c>
      <c r="J64" s="100" t="str">
        <f t="shared" si="28"/>
        <v>5763GRCNGtotal_billed_therms</v>
      </c>
      <c r="K64" s="100" t="str">
        <f t="shared" si="29"/>
        <v>5763GRCNGtotal_adjusted_therms</v>
      </c>
      <c r="L64" s="100" t="str">
        <f>D64&amp;" "&amp;IFERROR(IF(VLOOKUP(O64,Lookup!$D$1:$E$201,2,0)="","",VLOOKUP(O64,Lookup!$D$1:$E$201,2,0)),"")</f>
        <v xml:space="preserve">GRCNG </v>
      </c>
      <c r="O64" s="57" t="s">
        <v>609</v>
      </c>
      <c r="P64" s="194">
        <f>VLOOKUP(E64,'UNSG - ALL RATES'!$A$2:$CG$83,MATCH($I64,'UNSG - ALL RATES'!$A$3:$CG$3,0),0)</f>
        <v>0.34339999999999998</v>
      </c>
      <c r="Q64" s="146">
        <f>VLOOKUP($C64&amp;$D64,'[4]Billed Annual Billing Det'!$A$2:$N$16,5,0)</f>
        <v>791</v>
      </c>
      <c r="R64" s="103">
        <f>$P64*Q64</f>
        <v>271.62939999999998</v>
      </c>
      <c r="S64" s="59"/>
      <c r="T64" s="146">
        <f>VLOOKUP($C64&amp;$D64,'[4]Adjusted Annual Billing Det'!$A$2:$L$16,5,0)</f>
        <v>777.65685028069288</v>
      </c>
      <c r="U64" s="103">
        <f>$P64*T64</f>
        <v>267.04736238638992</v>
      </c>
      <c r="V64" s="61"/>
      <c r="W64" s="749"/>
      <c r="X64" s="750"/>
      <c r="Y64" s="751"/>
    </row>
    <row r="65" spans="1:25">
      <c r="A65" s="100">
        <v>41030</v>
      </c>
      <c r="B65" s="100">
        <f>'UNSG - ALL RATES'!$B$25</f>
        <v>46082</v>
      </c>
      <c r="C65" s="101" t="str">
        <f t="shared" si="12"/>
        <v>5763</v>
      </c>
      <c r="D65" s="104" t="str">
        <f t="shared" si="21"/>
        <v>GRCNG</v>
      </c>
      <c r="E65" s="100" t="str">
        <f t="shared" si="25"/>
        <v>41030GRCNG</v>
      </c>
      <c r="F65" s="100" t="str">
        <f t="shared" si="26"/>
        <v>46082GRCNG</v>
      </c>
      <c r="G65" s="100" t="str">
        <f>IFERROR(IF(VLOOKUP($O65,Lookup!$G$1:$I$182,2,0)="","",VLOOKUP($O65,Lookup!$G$1:$I$182,2,0)),"")</f>
        <v/>
      </c>
      <c r="H65" s="100" t="str">
        <f>IFERROR(IF(VLOOKUP($O65,Lookup!$G$1:$I$182,3,0)="","",VLOOKUP($O65,Lookup!$G$1:$I$182,3,0)),"")</f>
        <v/>
      </c>
      <c r="I65" s="100" t="str">
        <f>IFERROR(IF(VLOOKUP(O65,Lookup!$A$1:$B$200,2,0)="","",VLOOKUP(O65,Lookup!$A$1:$B$200,2,0)),"")</f>
        <v/>
      </c>
      <c r="J65" s="100" t="str">
        <f t="shared" si="28"/>
        <v>5763GRCNG</v>
      </c>
      <c r="K65" s="100" t="str">
        <f t="shared" si="29"/>
        <v>5763GRCNG</v>
      </c>
      <c r="L65" s="100" t="str">
        <f>D65&amp;" "&amp;IFERROR(IF(VLOOKUP(O65,Lookup!$D$1:$E$201,2,0)="","",VLOOKUP(O65,Lookup!$D$1:$E$201,2,0)),"")</f>
        <v>GRCNG Margin Revenues</v>
      </c>
      <c r="O65" s="66" t="s">
        <v>635</v>
      </c>
      <c r="P65"/>
      <c r="Q65"/>
      <c r="R65" s="103">
        <f>SUM(R63:R64)</f>
        <v>511.62939999999998</v>
      </c>
      <c r="S65" s="59"/>
      <c r="T65"/>
      <c r="U65" s="103">
        <f>SUM(U63:U64)</f>
        <v>507.04736238638992</v>
      </c>
      <c r="V65" s="61"/>
      <c r="W65" s="749"/>
      <c r="X65" s="750"/>
      <c r="Y65" s="751"/>
    </row>
    <row r="66" spans="1:25" ht="15.75" thickBot="1">
      <c r="A66" s="100">
        <v>41030</v>
      </c>
      <c r="B66" s="100">
        <f>'UNSG - ALL RATES'!$B$25</f>
        <v>46082</v>
      </c>
      <c r="C66" s="101" t="str">
        <f t="shared" si="12"/>
        <v>5763</v>
      </c>
      <c r="D66" s="104" t="str">
        <f t="shared" si="21"/>
        <v>GRCNG</v>
      </c>
      <c r="E66" s="100" t="str">
        <f t="shared" si="25"/>
        <v>41030GRCNG</v>
      </c>
      <c r="F66" s="100" t="str">
        <f t="shared" si="26"/>
        <v>46082GRCNG</v>
      </c>
      <c r="G66" s="100" t="str">
        <f>IFERROR(IF(VLOOKUP($O66,Lookup!$G$1:$I$182,2,0)="","",VLOOKUP($O66,Lookup!$G$1:$I$182,2,0)),"")</f>
        <v/>
      </c>
      <c r="H66" s="100" t="str">
        <f>IFERROR(IF(VLOOKUP($O66,Lookup!$G$1:$I$182,3,0)="","",VLOOKUP($O66,Lookup!$G$1:$I$182,3,0)),"")</f>
        <v/>
      </c>
      <c r="I66" s="100" t="str">
        <f>IFERROR(IF(VLOOKUP(O66,Lookup!$A$1:$B$200,2,0)="","",VLOOKUP(O66,Lookup!$A$1:$B$200,2,0)),"")</f>
        <v/>
      </c>
      <c r="J66" s="100" t="str">
        <f t="shared" si="28"/>
        <v>5763GRCNG</v>
      </c>
      <c r="K66" s="100" t="str">
        <f t="shared" si="29"/>
        <v>5763GRCNG</v>
      </c>
      <c r="L66" s="100" t="str">
        <f>D66&amp;" "&amp;IFERROR(IF(VLOOKUP(O66,Lookup!$D$1:$E$201,2,0)="","",VLOOKUP(O66,Lookup!$D$1:$E$201,2,0)),"")</f>
        <v>GRCNG Sales (T)</v>
      </c>
      <c r="O66" s="58" t="s">
        <v>614</v>
      </c>
      <c r="P66" s="102"/>
      <c r="Q66" s="146">
        <f>Q64</f>
        <v>791</v>
      </c>
      <c r="R66" s="150"/>
      <c r="S66" s="103"/>
      <c r="T66" s="146">
        <f>T64</f>
        <v>777.65685028069288</v>
      </c>
      <c r="U66" s="146"/>
      <c r="V66" s="102"/>
      <c r="W66" s="752"/>
      <c r="X66" s="753"/>
      <c r="Y66" s="754"/>
    </row>
    <row r="67" spans="1:25">
      <c r="A67" s="100">
        <v>41030</v>
      </c>
      <c r="B67" s="100">
        <f>'UNSG - ALL RATES'!$B$25</f>
        <v>46082</v>
      </c>
      <c r="C67" s="101" t="str">
        <f>C66</f>
        <v>5763</v>
      </c>
      <c r="D67" s="104" t="str">
        <f t="shared" si="21"/>
        <v>GRCNG</v>
      </c>
      <c r="E67" s="100" t="str">
        <f t="shared" si="25"/>
        <v>41030GRCNG</v>
      </c>
      <c r="F67" s="100" t="str">
        <f t="shared" si="26"/>
        <v>46082GRCNG</v>
      </c>
      <c r="G67" s="100" t="str">
        <f>IFERROR(IF(VLOOKUP($O67,Lookup!$G$1:$I$182,2,0)="","",VLOOKUP($O67,Lookup!$G$1:$I$182,2,0)),"")</f>
        <v/>
      </c>
      <c r="H67" s="100" t="str">
        <f>IFERROR(IF(VLOOKUP($O67,Lookup!$G$1:$I$182,3,0)="","",VLOOKUP($O67,Lookup!$G$1:$I$182,3,0)),"")</f>
        <v/>
      </c>
      <c r="I67" s="100" t="str">
        <f>IFERROR(IF(VLOOKUP(O67,Lookup!$A$1:$B$200,2,0)="","",VLOOKUP(O67,Lookup!$A$1:$B$200,2,0)),"")</f>
        <v/>
      </c>
      <c r="J67" s="100" t="str">
        <f t="shared" si="28"/>
        <v>5763GRCNG</v>
      </c>
      <c r="K67" s="100" t="str">
        <f t="shared" si="29"/>
        <v>5763GRCNG</v>
      </c>
      <c r="L67" s="100" t="str">
        <f>D67&amp;" "&amp;IFERROR(IF(VLOOKUP(O67,Lookup!$D$1:$E$201,2,0)="","",VLOOKUP(O67,Lookup!$D$1:$E$201,2,0)),"")</f>
        <v xml:space="preserve">GRCNG </v>
      </c>
      <c r="S67" s="59"/>
      <c r="Y67" s="103"/>
    </row>
    <row r="68" spans="1:25" ht="15.75" thickBot="1">
      <c r="A68" s="100">
        <v>41030</v>
      </c>
      <c r="B68" s="100">
        <f>'UNSG - ALL RATES'!$B$25</f>
        <v>46082</v>
      </c>
      <c r="C68" s="101" t="str">
        <f>M68</f>
        <v>5763</v>
      </c>
      <c r="D68" s="104" t="str">
        <f t="shared" si="21"/>
        <v>GCNGLVS</v>
      </c>
      <c r="E68" s="100" t="str">
        <f t="shared" si="25"/>
        <v>41030GCNGLVS</v>
      </c>
      <c r="F68" s="100" t="str">
        <f t="shared" si="26"/>
        <v>46082GCNGLVS</v>
      </c>
      <c r="G68" s="100" t="str">
        <f>IFERROR(IF(VLOOKUP($O68,Lookup!$G$1:$I$182,2,0)="","",VLOOKUP($O68,Lookup!$G$1:$I$182,2,0)),"")</f>
        <v/>
      </c>
      <c r="H68" s="100" t="str">
        <f>IFERROR(IF(VLOOKUP($O68,Lookup!$G$1:$I$182,3,0)="","",VLOOKUP($O68,Lookup!$G$1:$I$182,3,0)),"")</f>
        <v/>
      </c>
      <c r="I68" s="100" t="str">
        <f>IFERROR(IF(VLOOKUP(O68,Lookup!$A$1:$B$200,2,0)="","",VLOOKUP(O68,Lookup!$A$1:$B$200,2,0)),"")</f>
        <v/>
      </c>
      <c r="J68" s="100" t="str">
        <f t="shared" si="28"/>
        <v>5763GCNGLVS</v>
      </c>
      <c r="K68" s="100" t="str">
        <f t="shared" si="29"/>
        <v>5763GCNGLVS</v>
      </c>
      <c r="L68" s="100" t="str">
        <f>D68&amp;" "&amp;IFERROR(IF(VLOOKUP(O68,Lookup!$D$1:$E$201,2,0)="","",VLOOKUP(O68,Lookup!$D$1:$E$201,2,0)),"")</f>
        <v xml:space="preserve">GCNGLVS </v>
      </c>
      <c r="M68" s="101" t="str">
        <f>VLOOKUP(N68,'UNSG - ALL RATES'!$E$25:$F$41,2,0)</f>
        <v>5763</v>
      </c>
      <c r="N68" s="179" t="str">
        <f>'UNSG - ALL RATES'!F8</f>
        <v>GCNGLVS</v>
      </c>
      <c r="O68" s="58" t="str">
        <f>VLOOKUP($N68,'UNSG - ALL RATES'!$F$2:$G$383,2,0)</f>
        <v>Compressed Natural Gas-Large Volume Service</v>
      </c>
      <c r="P68" s="96"/>
      <c r="S68" s="59"/>
      <c r="V68" s="96"/>
      <c r="W68" s="96"/>
      <c r="Y68" s="103"/>
    </row>
    <row r="69" spans="1:25">
      <c r="A69" s="100">
        <v>41030</v>
      </c>
      <c r="B69" s="100">
        <f>'UNSG - ALL RATES'!$B$25</f>
        <v>46082</v>
      </c>
      <c r="C69" s="101" t="str">
        <f t="shared" si="12"/>
        <v>5763</v>
      </c>
      <c r="D69" s="104" t="str">
        <f t="shared" si="21"/>
        <v>GCNGLVS</v>
      </c>
      <c r="E69" s="100" t="str">
        <f t="shared" si="25"/>
        <v>41030GCNGLVS</v>
      </c>
      <c r="F69" s="100" t="str">
        <f t="shared" si="26"/>
        <v>46082GCNGLVS</v>
      </c>
      <c r="G69" s="100" t="str">
        <f>IFERROR(IF(VLOOKUP($O69,Lookup!$G$1:$I$182,2,0)="","",VLOOKUP($O69,Lookup!$G$1:$I$182,2,0)),"")</f>
        <v>total_bill_count</v>
      </c>
      <c r="H69" s="100" t="str">
        <f>IFERROR(IF(VLOOKUP($O69,Lookup!$G$1:$I$182,3,0)="","",VLOOKUP($O69,Lookup!$G$1:$I$182,3,0)),"")</f>
        <v>total_adjusted_bill_count</v>
      </c>
      <c r="I69" s="100" t="str">
        <f>IFERROR(IF(VLOOKUP(O69,Lookup!$A$1:$B$200,2,0)="","",VLOOKUP(O69,Lookup!$A$1:$B$200,2,0)),"")</f>
        <v>BASIC_SERVICE_CHARGE</v>
      </c>
      <c r="J69" s="100" t="str">
        <f t="shared" si="28"/>
        <v>5763GCNGLVStotal_bill_count</v>
      </c>
      <c r="K69" s="100" t="str">
        <f t="shared" si="29"/>
        <v>5763GCNGLVStotal_adjusted_bill_count</v>
      </c>
      <c r="L69" s="100" t="str">
        <f>D69&amp;" "&amp;IFERROR(IF(VLOOKUP(O69,Lookup!$D$1:$E$201,2,0)="","",VLOOKUP(O69,Lookup!$D$1:$E$201,2,0)),"")</f>
        <v>GCNGLVS Basic Service Charges</v>
      </c>
      <c r="O69" s="57" t="s">
        <v>607</v>
      </c>
      <c r="P69" s="59">
        <f>VLOOKUP(E69,'UNSG - ALL RATES'!$A$2:$CG$83,MATCH($I69,'UNSG - ALL RATES'!$A$3:$CG$3,0),0)</f>
        <v>225</v>
      </c>
      <c r="Q69" s="146">
        <v>0</v>
      </c>
      <c r="R69" s="103">
        <f>$P69*Q69</f>
        <v>0</v>
      </c>
      <c r="S69" s="59"/>
      <c r="T69" s="146">
        <f>Q69</f>
        <v>0</v>
      </c>
      <c r="U69" s="103">
        <f>$P69*T69</f>
        <v>0</v>
      </c>
      <c r="V69" s="59"/>
      <c r="W69" s="746" t="s">
        <v>638</v>
      </c>
      <c r="X69" s="747"/>
      <c r="Y69" s="748"/>
    </row>
    <row r="70" spans="1:25">
      <c r="A70" s="100">
        <v>41030</v>
      </c>
      <c r="B70" s="100">
        <f>'UNSG - ALL RATES'!$B$25</f>
        <v>46082</v>
      </c>
      <c r="C70" s="101" t="str">
        <f t="shared" si="12"/>
        <v>5763</v>
      </c>
      <c r="D70" s="104" t="str">
        <f t="shared" si="21"/>
        <v>GCNGLVS</v>
      </c>
      <c r="E70" s="100" t="str">
        <f t="shared" si="25"/>
        <v>41030GCNGLVS</v>
      </c>
      <c r="F70" s="100" t="str">
        <f t="shared" si="26"/>
        <v>46082GCNGLVS</v>
      </c>
      <c r="G70" s="100" t="str">
        <f>IFERROR(IF(VLOOKUP($O70,Lookup!$G$1:$I$182,2,0)="","",VLOOKUP($O70,Lookup!$G$1:$I$182,2,0)),"")</f>
        <v>total_billed_therms</v>
      </c>
      <c r="H70" s="100" t="str">
        <f>IFERROR(IF(VLOOKUP($O70,Lookup!$G$1:$I$182,3,0)="","",VLOOKUP($O70,Lookup!$G$1:$I$182,3,0)),"")</f>
        <v>total_adjusted_therms</v>
      </c>
      <c r="I70" s="100" t="str">
        <f>IFERROR(IF(VLOOKUP(O70,Lookup!$A$1:$B$200,2,0)="","",VLOOKUP(O70,Lookup!$A$1:$B$200,2,0)),"")</f>
        <v>THERM_DELIVERY_TIER1</v>
      </c>
      <c r="J70" s="100" t="str">
        <f t="shared" si="28"/>
        <v>5763GCNGLVStotal_billed_therms</v>
      </c>
      <c r="K70" s="100" t="str">
        <f t="shared" si="29"/>
        <v>5763GCNGLVStotal_adjusted_therms</v>
      </c>
      <c r="L70" s="100" t="str">
        <f>D70&amp;" "&amp;IFERROR(IF(VLOOKUP(O70,Lookup!$D$1:$E$201,2,0)="","",VLOOKUP(O70,Lookup!$D$1:$E$201,2,0)),"")</f>
        <v xml:space="preserve">GCNGLVS </v>
      </c>
      <c r="O70" s="57" t="s">
        <v>609</v>
      </c>
      <c r="P70" s="194">
        <f>VLOOKUP(E70,'UNSG - ALL RATES'!$A$2:$CG$83,MATCH($I70,'UNSG - ALL RATES'!$A$3:$CG$3,0),0)</f>
        <v>0.2104</v>
      </c>
      <c r="Q70" s="146">
        <v>0</v>
      </c>
      <c r="R70" s="103">
        <f>$P70*Q70</f>
        <v>0</v>
      </c>
      <c r="S70" s="59"/>
      <c r="T70" s="146">
        <f>Q70</f>
        <v>0</v>
      </c>
      <c r="U70" s="103">
        <f>$P70*T70</f>
        <v>0</v>
      </c>
      <c r="V70" s="61"/>
      <c r="W70" s="749"/>
      <c r="X70" s="750"/>
      <c r="Y70" s="751"/>
    </row>
    <row r="71" spans="1:25">
      <c r="A71" s="100">
        <v>41030</v>
      </c>
      <c r="B71" s="100">
        <f>'UNSG - ALL RATES'!$B$25</f>
        <v>46082</v>
      </c>
      <c r="C71" s="101" t="str">
        <f t="shared" si="12"/>
        <v>5763</v>
      </c>
      <c r="D71" s="104" t="str">
        <f t="shared" si="21"/>
        <v>GCNGLVS</v>
      </c>
      <c r="E71" s="100" t="str">
        <f t="shared" si="25"/>
        <v>41030GCNGLVS</v>
      </c>
      <c r="F71" s="100" t="str">
        <f t="shared" si="26"/>
        <v>46082GCNGLVS</v>
      </c>
      <c r="G71" s="100" t="str">
        <f>IFERROR(IF(VLOOKUP($O71,Lookup!$G$1:$I$182,2,0)="","",VLOOKUP($O71,Lookup!$G$1:$I$182,2,0)),"")</f>
        <v/>
      </c>
      <c r="H71" s="100" t="str">
        <f>IFERROR(IF(VLOOKUP($O71,Lookup!$G$1:$I$182,3,0)="","",VLOOKUP($O71,Lookup!$G$1:$I$182,3,0)),"")</f>
        <v/>
      </c>
      <c r="I71" s="100" t="str">
        <f>IFERROR(IF(VLOOKUP(O71,Lookup!$A$1:$B$200,2,0)="","",VLOOKUP(O71,Lookup!$A$1:$B$200,2,0)),"")</f>
        <v/>
      </c>
      <c r="J71" s="100" t="str">
        <f t="shared" si="28"/>
        <v>5763GCNGLVS</v>
      </c>
      <c r="K71" s="100" t="str">
        <f t="shared" si="29"/>
        <v>5763GCNGLVS</v>
      </c>
      <c r="L71" s="100" t="str">
        <f>D71&amp;" "&amp;IFERROR(IF(VLOOKUP(O71,Lookup!$D$1:$E$201,2,0)="","",VLOOKUP(O71,Lookup!$D$1:$E$201,2,0)),"")</f>
        <v>GCNGLVS Margin Revenues</v>
      </c>
      <c r="O71" s="66" t="s">
        <v>635</v>
      </c>
      <c r="P71"/>
      <c r="Q71"/>
      <c r="R71" s="103">
        <f>SUM(R69:R70)</f>
        <v>0</v>
      </c>
      <c r="S71" s="59"/>
      <c r="T71"/>
      <c r="U71" s="103">
        <f>SUM(U69:U70)</f>
        <v>0</v>
      </c>
      <c r="V71" s="61"/>
      <c r="W71" s="749"/>
      <c r="X71" s="750"/>
      <c r="Y71" s="751"/>
    </row>
    <row r="72" spans="1:25" ht="15.75" thickBot="1">
      <c r="A72" s="100">
        <v>41030</v>
      </c>
      <c r="B72" s="100">
        <f>'UNSG - ALL RATES'!$B$25</f>
        <v>46082</v>
      </c>
      <c r="C72" s="101" t="str">
        <f t="shared" si="12"/>
        <v>5763</v>
      </c>
      <c r="D72" s="104" t="str">
        <f t="shared" si="21"/>
        <v>GCNGLVS</v>
      </c>
      <c r="E72" s="100" t="str">
        <f t="shared" si="25"/>
        <v>41030GCNGLVS</v>
      </c>
      <c r="F72" s="100" t="str">
        <f t="shared" si="26"/>
        <v>46082GCNGLVS</v>
      </c>
      <c r="G72" s="100" t="str">
        <f>IFERROR(IF(VLOOKUP($O72,Lookup!$G$1:$I$182,2,0)="","",VLOOKUP($O72,Lookup!$G$1:$I$182,2,0)),"")</f>
        <v/>
      </c>
      <c r="H72" s="100" t="str">
        <f>IFERROR(IF(VLOOKUP($O72,Lookup!$G$1:$I$182,3,0)="","",VLOOKUP($O72,Lookup!$G$1:$I$182,3,0)),"")</f>
        <v/>
      </c>
      <c r="I72" s="100" t="str">
        <f>IFERROR(IF(VLOOKUP(O72,Lookup!$A$1:$B$200,2,0)="","",VLOOKUP(O72,Lookup!$A$1:$B$200,2,0)),"")</f>
        <v/>
      </c>
      <c r="J72" s="100" t="str">
        <f t="shared" si="28"/>
        <v>5763GCNGLVS</v>
      </c>
      <c r="K72" s="100" t="str">
        <f t="shared" si="29"/>
        <v>5763GCNGLVS</v>
      </c>
      <c r="L72" s="100" t="str">
        <f>D72&amp;" "&amp;IFERROR(IF(VLOOKUP(O72,Lookup!$D$1:$E$201,2,0)="","",VLOOKUP(O72,Lookup!$D$1:$E$201,2,0)),"")</f>
        <v>GCNGLVS Sales (T)</v>
      </c>
      <c r="O72" s="58" t="s">
        <v>614</v>
      </c>
      <c r="P72" s="61"/>
      <c r="Q72" s="146">
        <f>Q70</f>
        <v>0</v>
      </c>
      <c r="R72" s="150"/>
      <c r="S72" s="59"/>
      <c r="T72" s="146">
        <f>T70</f>
        <v>0</v>
      </c>
      <c r="U72" s="146"/>
      <c r="V72" s="61"/>
      <c r="W72" s="752"/>
      <c r="X72" s="753"/>
      <c r="Y72" s="754"/>
    </row>
    <row r="73" spans="1:25">
      <c r="A73" s="100">
        <v>41030</v>
      </c>
      <c r="B73" s="100">
        <f>'UNSG - ALL RATES'!$B$25</f>
        <v>46082</v>
      </c>
      <c r="C73" s="101" t="str">
        <f t="shared" si="12"/>
        <v>5763</v>
      </c>
      <c r="D73" s="104" t="str">
        <f t="shared" si="21"/>
        <v>GCNGLVS</v>
      </c>
      <c r="E73" s="100" t="str">
        <f t="shared" si="25"/>
        <v>41030GCNGLVS</v>
      </c>
      <c r="F73" s="100" t="str">
        <f t="shared" si="26"/>
        <v>46082GCNGLVS</v>
      </c>
      <c r="G73" s="100" t="str">
        <f>IFERROR(IF(VLOOKUP($O73,Lookup!$G$1:$I$182,2,0)="","",VLOOKUP($O73,Lookup!$G$1:$I$182,2,0)),"")</f>
        <v/>
      </c>
      <c r="H73" s="100" t="str">
        <f>IFERROR(IF(VLOOKUP($O73,Lookup!$G$1:$I$182,3,0)="","",VLOOKUP($O73,Lookup!$G$1:$I$182,3,0)),"")</f>
        <v/>
      </c>
      <c r="I73" s="100" t="str">
        <f>IFERROR(IF(VLOOKUP(O73,Lookup!$A$1:$B$200,2,0)="","",VLOOKUP(O73,Lookup!$A$1:$B$200,2,0)),"")</f>
        <v/>
      </c>
      <c r="J73" s="100" t="str">
        <f t="shared" si="28"/>
        <v>5763GCNGLVS</v>
      </c>
      <c r="K73" s="100" t="str">
        <f t="shared" si="29"/>
        <v>5763GCNGLVS</v>
      </c>
      <c r="L73" s="100" t="str">
        <f>D73&amp;" "&amp;IFERROR(IF(VLOOKUP(O73,Lookup!$D$1:$E$201,2,0)="","",VLOOKUP(O73,Lookup!$D$1:$E$201,2,0)),"")</f>
        <v xml:space="preserve">GCNGLVS </v>
      </c>
      <c r="S73" s="59"/>
      <c r="Y73" s="103"/>
    </row>
    <row r="74" spans="1:25" ht="15.75" thickBot="1">
      <c r="A74" s="100">
        <v>41030</v>
      </c>
      <c r="B74" s="100">
        <f>'UNSG - ALL RATES'!$B$25</f>
        <v>46082</v>
      </c>
      <c r="C74" s="101" t="str">
        <f>M74</f>
        <v>5756</v>
      </c>
      <c r="D74" s="104" t="str">
        <f t="shared" si="21"/>
        <v>GTCNGGLV</v>
      </c>
      <c r="E74" s="100" t="str">
        <f t="shared" si="25"/>
        <v>41030GTCNGGLV</v>
      </c>
      <c r="F74" s="100" t="str">
        <f t="shared" si="26"/>
        <v>46082GTCNGGLV</v>
      </c>
      <c r="G74" s="100" t="str">
        <f>IFERROR(IF(VLOOKUP($O74,Lookup!$G$1:$I$182,2,0)="","",VLOOKUP($O74,Lookup!$G$1:$I$182,2,0)),"")</f>
        <v/>
      </c>
      <c r="H74" s="100" t="str">
        <f>IFERROR(IF(VLOOKUP($O74,Lookup!$G$1:$I$182,3,0)="","",VLOOKUP($O74,Lookup!$G$1:$I$182,3,0)),"")</f>
        <v/>
      </c>
      <c r="I74" s="100" t="str">
        <f>IFERROR(IF(VLOOKUP(O74,Lookup!$A$1:$B$200,2,0)="","",VLOOKUP(O74,Lookup!$A$1:$B$200,2,0)),"")</f>
        <v/>
      </c>
      <c r="J74" s="100" t="str">
        <f t="shared" si="28"/>
        <v>5756GTCNGGLV</v>
      </c>
      <c r="K74" s="100" t="str">
        <f t="shared" si="29"/>
        <v>5756GTCNGGLV</v>
      </c>
      <c r="L74" s="100" t="str">
        <f>D74&amp;" "&amp;IFERROR(IF(VLOOKUP(O74,Lookup!$D$1:$E$201,2,0)="","",VLOOKUP(O74,Lookup!$D$1:$E$201,2,0)),"")</f>
        <v xml:space="preserve">GTCNGGLV </v>
      </c>
      <c r="M74" s="101" t="str">
        <f>VLOOKUP(N74,'UNSG - ALL RATES'!$E$25:$F$41,2,0)</f>
        <v>5756</v>
      </c>
      <c r="N74" s="179" t="str">
        <f>'UNSG - ALL RATES'!F9</f>
        <v>GTCNGGLV</v>
      </c>
      <c r="O74" s="58" t="str">
        <f>VLOOKUP($N74,'UNSG - ALL RATES'!$F$2:$G$383,2,0)</f>
        <v>Transportation Compressed Natural Gas-Large Volume Service</v>
      </c>
      <c r="S74" s="59"/>
      <c r="Y74" s="103"/>
    </row>
    <row r="75" spans="1:25">
      <c r="A75" s="100">
        <v>41030</v>
      </c>
      <c r="B75" s="100">
        <f>'UNSG - ALL RATES'!$B$25</f>
        <v>46082</v>
      </c>
      <c r="C75" s="101" t="str">
        <f>C74</f>
        <v>5756</v>
      </c>
      <c r="D75" s="104" t="str">
        <f t="shared" si="21"/>
        <v>GTCNGGLV</v>
      </c>
      <c r="E75" s="100" t="str">
        <f t="shared" si="25"/>
        <v>41030GTCNGGLV</v>
      </c>
      <c r="F75" s="100" t="str">
        <f t="shared" si="26"/>
        <v>46082GTCNGGLV</v>
      </c>
      <c r="G75" s="100" t="str">
        <f>IFERROR(IF(VLOOKUP($O75,Lookup!$G$1:$I$182,2,0)="","",VLOOKUP($O75,Lookup!$G$1:$I$182,2,0)),"")</f>
        <v>total_bill_count</v>
      </c>
      <c r="H75" s="100" t="str">
        <f>IFERROR(IF(VLOOKUP($O75,Lookup!$G$1:$I$182,3,0)="","",VLOOKUP($O75,Lookup!$G$1:$I$182,3,0)),"")</f>
        <v>total_adjusted_bill_count</v>
      </c>
      <c r="I75" s="100" t="str">
        <f>IFERROR(IF(VLOOKUP(O75,Lookup!$A$1:$B$200,2,0)="","",VLOOKUP(O75,Lookup!$A$1:$B$200,2,0)),"")</f>
        <v>BASIC_SERVICE_CHARGE</v>
      </c>
      <c r="J75" s="100" t="str">
        <f t="shared" si="28"/>
        <v>5756GTCNGGLVtotal_bill_count</v>
      </c>
      <c r="K75" s="100" t="str">
        <f t="shared" si="29"/>
        <v>5756GTCNGGLVtotal_adjusted_bill_count</v>
      </c>
      <c r="L75" s="100" t="str">
        <f>D75&amp;" "&amp;IFERROR(IF(VLOOKUP(O75,Lookup!$D$1:$E$201,2,0)="","",VLOOKUP(O75,Lookup!$D$1:$E$201,2,0)),"")</f>
        <v>GTCNGGLV Basic Service Charges</v>
      </c>
      <c r="O75" s="57" t="s">
        <v>607</v>
      </c>
      <c r="P75" s="59">
        <f>VLOOKUP(E75,'UNSG - ALL RATES'!$A$2:$CG$83,MATCH($I75,'UNSG - ALL RATES'!$A$3:$CG$3,0),0)</f>
        <v>225</v>
      </c>
      <c r="Q75" s="146">
        <v>0</v>
      </c>
      <c r="R75" s="103">
        <f>$P75*Q75</f>
        <v>0</v>
      </c>
      <c r="S75" s="59"/>
      <c r="T75" s="146">
        <f>Q75</f>
        <v>0</v>
      </c>
      <c r="U75" s="103">
        <f>$P75*T75</f>
        <v>0</v>
      </c>
      <c r="V75" s="59"/>
      <c r="W75" s="746" t="s">
        <v>640</v>
      </c>
      <c r="X75" s="747"/>
      <c r="Y75" s="748"/>
    </row>
    <row r="76" spans="1:25">
      <c r="A76" s="100">
        <v>41030</v>
      </c>
      <c r="B76" s="100">
        <f>'UNSG - ALL RATES'!$B$25</f>
        <v>46082</v>
      </c>
      <c r="C76" s="101" t="str">
        <f t="shared" ref="C76:C106" si="32">C75</f>
        <v>5756</v>
      </c>
      <c r="D76" s="104" t="str">
        <f t="shared" si="21"/>
        <v>GTCNGGLV</v>
      </c>
      <c r="E76" s="100" t="str">
        <f t="shared" si="25"/>
        <v>41030GTCNGGLV</v>
      </c>
      <c r="F76" s="100" t="str">
        <f t="shared" si="26"/>
        <v>46082GTCNGGLV</v>
      </c>
      <c r="G76" s="100" t="str">
        <f>IFERROR(IF(VLOOKUP($O76,Lookup!$G$1:$I$182,2,0)="","",VLOOKUP($O76,Lookup!$G$1:$I$182,2,0)),"")</f>
        <v>total_billed_therms</v>
      </c>
      <c r="H76" s="100" t="str">
        <f>IFERROR(IF(VLOOKUP($O76,Lookup!$G$1:$I$182,3,0)="","",VLOOKUP($O76,Lookup!$G$1:$I$182,3,0)),"")</f>
        <v>total_adjusted_therms</v>
      </c>
      <c r="I76" s="100" t="str">
        <f>IFERROR(IF(VLOOKUP(O76,Lookup!$A$1:$B$200,2,0)="","",VLOOKUP(O76,Lookup!$A$1:$B$200,2,0)),"")</f>
        <v>THERM_DELIVERY_TIER1</v>
      </c>
      <c r="J76" s="100" t="str">
        <f t="shared" si="28"/>
        <v>5756GTCNGGLVtotal_billed_therms</v>
      </c>
      <c r="K76" s="100" t="str">
        <f t="shared" si="29"/>
        <v>5756GTCNGGLVtotal_adjusted_therms</v>
      </c>
      <c r="L76" s="100" t="str">
        <f>D76&amp;" "&amp;IFERROR(IF(VLOOKUP(O76,Lookup!$D$1:$E$201,2,0)="","",VLOOKUP(O76,Lookup!$D$1:$E$201,2,0)),"")</f>
        <v xml:space="preserve">GTCNGGLV </v>
      </c>
      <c r="O76" s="57" t="s">
        <v>609</v>
      </c>
      <c r="P76" s="194">
        <f>VLOOKUP(E76,'UNSG - ALL RATES'!$A$2:$CG$83,MATCH($I76,'UNSG - ALL RATES'!$A$3:$CG$3,0),0)</f>
        <v>0.2104</v>
      </c>
      <c r="Q76" s="146">
        <v>0</v>
      </c>
      <c r="R76" s="103">
        <f>$P76*Q76</f>
        <v>0</v>
      </c>
      <c r="S76" s="59"/>
      <c r="T76" s="146">
        <f>Q76</f>
        <v>0</v>
      </c>
      <c r="U76" s="103">
        <f>$P76*T76</f>
        <v>0</v>
      </c>
      <c r="V76" s="59"/>
      <c r="W76" s="749"/>
      <c r="X76" s="750"/>
      <c r="Y76" s="751"/>
    </row>
    <row r="77" spans="1:25">
      <c r="A77" s="100">
        <v>41030</v>
      </c>
      <c r="B77" s="100">
        <f>'UNSG - ALL RATES'!$B$25</f>
        <v>46082</v>
      </c>
      <c r="C77" s="101" t="str">
        <f t="shared" si="32"/>
        <v>5756</v>
      </c>
      <c r="D77" s="104" t="str">
        <f t="shared" si="21"/>
        <v>GTCNGGLV</v>
      </c>
      <c r="E77" s="100" t="str">
        <f t="shared" si="25"/>
        <v>41030GTCNGGLV</v>
      </c>
      <c r="F77" s="100" t="str">
        <f t="shared" si="26"/>
        <v>46082GTCNGGLV</v>
      </c>
      <c r="G77" s="100" t="str">
        <f>IFERROR(IF(VLOOKUP($O77,Lookup!$G$1:$I$182,2,0)="","",VLOOKUP($O77,Lookup!$G$1:$I$182,2,0)),"")</f>
        <v/>
      </c>
      <c r="H77" s="100" t="str">
        <f>IFERROR(IF(VLOOKUP($O77,Lookup!$G$1:$I$182,3,0)="","",VLOOKUP($O77,Lookup!$G$1:$I$182,3,0)),"")</f>
        <v/>
      </c>
      <c r="I77" s="100" t="str">
        <f>IFERROR(IF(VLOOKUP(O77,Lookup!$A$1:$B$200,2,0)="","",VLOOKUP(O77,Lookup!$A$1:$B$200,2,0)),"")</f>
        <v/>
      </c>
      <c r="J77" s="100" t="str">
        <f t="shared" si="28"/>
        <v>5756GTCNGGLV</v>
      </c>
      <c r="K77" s="100" t="str">
        <f t="shared" si="29"/>
        <v>5756GTCNGGLV</v>
      </c>
      <c r="L77" s="100" t="str">
        <f>D77&amp;" "&amp;IFERROR(IF(VLOOKUP(O77,Lookup!$D$1:$E$201,2,0)="","",VLOOKUP(O77,Lookup!$D$1:$E$201,2,0)),"")</f>
        <v>GTCNGGLV Margin Revenues</v>
      </c>
      <c r="O77" s="66" t="s">
        <v>635</v>
      </c>
      <c r="P77"/>
      <c r="Q77"/>
      <c r="R77" s="103">
        <f>SUM(R75:R76)</f>
        <v>0</v>
      </c>
      <c r="S77" s="59"/>
      <c r="T77"/>
      <c r="U77" s="103">
        <f>SUM(U75:U76)</f>
        <v>0</v>
      </c>
      <c r="V77" s="59"/>
      <c r="W77" s="749"/>
      <c r="X77" s="750"/>
      <c r="Y77" s="751"/>
    </row>
    <row r="78" spans="1:25" ht="15.75" thickBot="1">
      <c r="A78" s="100">
        <v>41030</v>
      </c>
      <c r="B78" s="100">
        <f>'UNSG - ALL RATES'!$B$25</f>
        <v>46082</v>
      </c>
      <c r="C78" s="101" t="str">
        <f t="shared" si="32"/>
        <v>5756</v>
      </c>
      <c r="D78" s="104" t="str">
        <f t="shared" si="21"/>
        <v>GTCNGGLV</v>
      </c>
      <c r="E78" s="100" t="str">
        <f t="shared" si="25"/>
        <v>41030GTCNGGLV</v>
      </c>
      <c r="F78" s="100" t="str">
        <f t="shared" si="26"/>
        <v>46082GTCNGGLV</v>
      </c>
      <c r="G78" s="100" t="str">
        <f>IFERROR(IF(VLOOKUP($O78,Lookup!$G$1:$I$182,2,0)="","",VLOOKUP($O78,Lookup!$G$1:$I$182,2,0)),"")</f>
        <v/>
      </c>
      <c r="H78" s="100" t="str">
        <f>IFERROR(IF(VLOOKUP($O78,Lookup!$G$1:$I$182,3,0)="","",VLOOKUP($O78,Lookup!$G$1:$I$182,3,0)),"")</f>
        <v/>
      </c>
      <c r="I78" s="100" t="str">
        <f>IFERROR(IF(VLOOKUP(O78,Lookup!$A$1:$B$200,2,0)="","",VLOOKUP(O78,Lookup!$A$1:$B$200,2,0)),"")</f>
        <v/>
      </c>
      <c r="J78" s="100" t="str">
        <f t="shared" si="28"/>
        <v>5756GTCNGGLV</v>
      </c>
      <c r="K78" s="100" t="str">
        <f t="shared" si="29"/>
        <v>5756GTCNGGLV</v>
      </c>
      <c r="L78" s="100" t="str">
        <f>D78&amp;" "&amp;IFERROR(IF(VLOOKUP(O78,Lookup!$D$1:$E$201,2,0)="","",VLOOKUP(O78,Lookup!$D$1:$E$201,2,0)),"")</f>
        <v>GTCNGGLV Sales (T)</v>
      </c>
      <c r="O78" s="58" t="s">
        <v>614</v>
      </c>
      <c r="P78" s="102"/>
      <c r="Q78" s="146">
        <f>Q76</f>
        <v>0</v>
      </c>
      <c r="R78" s="150"/>
      <c r="S78" s="59"/>
      <c r="T78" s="146">
        <f>T76</f>
        <v>0</v>
      </c>
      <c r="U78" s="146"/>
      <c r="V78" s="102"/>
      <c r="W78" s="752"/>
      <c r="X78" s="753"/>
      <c r="Y78" s="754"/>
    </row>
    <row r="79" spans="1:25">
      <c r="A79" s="100">
        <v>41030</v>
      </c>
      <c r="B79" s="100">
        <f>'UNSG - ALL RATES'!$B$25</f>
        <v>46082</v>
      </c>
      <c r="C79" s="101" t="str">
        <f t="shared" si="32"/>
        <v>5756</v>
      </c>
      <c r="D79" s="104" t="str">
        <f t="shared" si="21"/>
        <v>GTCNGGLV</v>
      </c>
      <c r="E79" s="100" t="str">
        <f t="shared" si="25"/>
        <v>41030GTCNGGLV</v>
      </c>
      <c r="F79" s="100" t="str">
        <f t="shared" si="26"/>
        <v>46082GTCNGGLV</v>
      </c>
      <c r="G79" s="100" t="str">
        <f>IFERROR(IF(VLOOKUP($O79,Lookup!$G$1:$I$182,2,0)="","",VLOOKUP($O79,Lookup!$G$1:$I$182,2,0)),"")</f>
        <v/>
      </c>
      <c r="H79" s="100" t="str">
        <f>IFERROR(IF(VLOOKUP($O79,Lookup!$G$1:$I$182,3,0)="","",VLOOKUP($O79,Lookup!$G$1:$I$182,3,0)),"")</f>
        <v/>
      </c>
      <c r="I79" s="100" t="str">
        <f>IFERROR(IF(VLOOKUP(O79,Lookup!$A$1:$B$200,2,0)="","",VLOOKUP(O79,Lookup!$A$1:$B$200,2,0)),"")</f>
        <v/>
      </c>
      <c r="J79" s="100" t="str">
        <f t="shared" ref="J79:J101" si="33">C79&amp;D79&amp;G79</f>
        <v>5756GTCNGGLV</v>
      </c>
      <c r="K79" s="100" t="str">
        <f t="shared" ref="K79:K101" si="34">C79&amp;D79&amp;H79</f>
        <v>5756GTCNGGLV</v>
      </c>
      <c r="L79" s="100" t="str">
        <f>D79&amp;" "&amp;IFERROR(IF(VLOOKUP(O79,Lookup!$D$1:$E$201,2,0)="","",VLOOKUP(O79,Lookup!$D$1:$E$201,2,0)),"")</f>
        <v xml:space="preserve">GTCNGGLV </v>
      </c>
      <c r="S79" s="59"/>
      <c r="Y79" s="103"/>
    </row>
    <row r="80" spans="1:25" ht="15.75" thickBot="1">
      <c r="A80" s="100">
        <v>41030</v>
      </c>
      <c r="B80" s="100">
        <f>'UNSG - ALL RATES'!$B$25</f>
        <v>46082</v>
      </c>
      <c r="C80" s="101" t="str">
        <f>M80</f>
        <v>5755</v>
      </c>
      <c r="D80" s="104" t="str">
        <f t="shared" si="21"/>
        <v>GGIRS</v>
      </c>
      <c r="E80" s="100" t="str">
        <f t="shared" si="25"/>
        <v>41030GGIRS</v>
      </c>
      <c r="F80" s="100" t="str">
        <f t="shared" si="26"/>
        <v>46082GGIRS</v>
      </c>
      <c r="G80" s="100" t="str">
        <f>IFERROR(IF(VLOOKUP($O80,Lookup!$G$1:$I$182,2,0)="","",VLOOKUP($O80,Lookup!$G$1:$I$182,2,0)),"")</f>
        <v/>
      </c>
      <c r="H80" s="100" t="str">
        <f>IFERROR(IF(VLOOKUP($O80,Lookup!$G$1:$I$182,3,0)="","",VLOOKUP($O80,Lookup!$G$1:$I$182,3,0)),"")</f>
        <v/>
      </c>
      <c r="I80" s="100" t="str">
        <f>IFERROR(IF(VLOOKUP(O80,Lookup!$A$1:$B$200,2,0)="","",VLOOKUP(O80,Lookup!$A$1:$B$200,2,0)),"")</f>
        <v/>
      </c>
      <c r="J80" s="100" t="str">
        <f t="shared" si="33"/>
        <v>5755GGIRS</v>
      </c>
      <c r="K80" s="100" t="str">
        <f t="shared" si="34"/>
        <v>5755GGIRS</v>
      </c>
      <c r="L80" s="100" t="str">
        <f>D80&amp;" "&amp;IFERROR(IF(VLOOKUP(O80,Lookup!$D$1:$E$201,2,0)="","",VLOOKUP(O80,Lookup!$D$1:$E$201,2,0)),"")</f>
        <v xml:space="preserve">GGIRS </v>
      </c>
      <c r="M80" s="101" t="str">
        <f>VLOOKUP(N80,'UNSG - ALL RATES'!$E$25:$F$41,2,0)</f>
        <v>5755</v>
      </c>
      <c r="N80" s="179" t="str">
        <f>'UNSG - ALL RATES'!F12</f>
        <v>GGIRS</v>
      </c>
      <c r="O80" s="58" t="str">
        <f>VLOOKUP($N80,'UNSG - ALL RATES'!$F$2:$G$383,2,0)</f>
        <v>Irrigation Service</v>
      </c>
      <c r="S80" s="59"/>
      <c r="Y80" s="103"/>
    </row>
    <row r="81" spans="1:25">
      <c r="A81" s="100">
        <v>41030</v>
      </c>
      <c r="B81" s="100">
        <f>'UNSG - ALL RATES'!$B$25</f>
        <v>46082</v>
      </c>
      <c r="C81" s="101" t="str">
        <f t="shared" si="32"/>
        <v>5755</v>
      </c>
      <c r="D81" s="104" t="str">
        <f t="shared" si="21"/>
        <v>GGIRS</v>
      </c>
      <c r="E81" s="100" t="str">
        <f t="shared" si="25"/>
        <v>41030GGIRS</v>
      </c>
      <c r="F81" s="100" t="str">
        <f t="shared" si="26"/>
        <v>46082GGIRS</v>
      </c>
      <c r="G81" s="100" t="str">
        <f>IFERROR(IF(VLOOKUP($O81,Lookup!$G$1:$I$182,2,0)="","",VLOOKUP($O81,Lookup!$G$1:$I$182,2,0)),"")</f>
        <v>total_bill_count</v>
      </c>
      <c r="H81" s="100" t="str">
        <f>IFERROR(IF(VLOOKUP($O81,Lookup!$G$1:$I$182,3,0)="","",VLOOKUP($O81,Lookup!$G$1:$I$182,3,0)),"")</f>
        <v>total_adjusted_bill_count</v>
      </c>
      <c r="I81" s="100" t="str">
        <f>IFERROR(IF(VLOOKUP(O81,Lookup!$A$1:$B$200,2,0)="","",VLOOKUP(O81,Lookup!$A$1:$B$200,2,0)),"")</f>
        <v>BASIC_SERVICE_CHARGE</v>
      </c>
      <c r="J81" s="100" t="str">
        <f t="shared" si="33"/>
        <v>5755GGIRStotal_bill_count</v>
      </c>
      <c r="K81" s="100" t="str">
        <f t="shared" si="34"/>
        <v>5755GGIRStotal_adjusted_bill_count</v>
      </c>
      <c r="L81" s="100" t="str">
        <f>D81&amp;" "&amp;IFERROR(IF(VLOOKUP(O81,Lookup!$D$1:$E$201,2,0)="","",VLOOKUP(O81,Lookup!$D$1:$E$201,2,0)),"")</f>
        <v>GGIRS Basic Service Charges</v>
      </c>
      <c r="O81" s="57" t="s">
        <v>607</v>
      </c>
      <c r="P81" s="59">
        <f>VLOOKUP(E81,'UNSG - ALL RATES'!$A$2:$CG$83,MATCH($I81,'UNSG - ALL RATES'!$A$3:$CG$3,0),0)</f>
        <v>20</v>
      </c>
      <c r="Q81" s="146">
        <f>VLOOKUP($C81&amp;$D81,'[4]Billed Annual Billing Det'!$A$2:$N$16,4,0)</f>
        <v>47</v>
      </c>
      <c r="R81" s="103">
        <f>$P81*Q81</f>
        <v>940</v>
      </c>
      <c r="S81" s="59"/>
      <c r="T81" s="146">
        <f>VLOOKUP($C81&amp;$D81,'[4]Adjusted Annual Billing Det'!$A$2:$L$16,4,0)</f>
        <v>47</v>
      </c>
      <c r="U81" s="103">
        <f>$P81*T81</f>
        <v>940</v>
      </c>
      <c r="V81" s="59"/>
      <c r="W81" s="746" t="s">
        <v>637</v>
      </c>
      <c r="X81" s="747"/>
      <c r="Y81" s="748"/>
    </row>
    <row r="82" spans="1:25">
      <c r="A82" s="100">
        <v>41030</v>
      </c>
      <c r="B82" s="100">
        <f>'UNSG - ALL RATES'!$B$25</f>
        <v>46082</v>
      </c>
      <c r="C82" s="101" t="str">
        <f t="shared" si="32"/>
        <v>5755</v>
      </c>
      <c r="D82" s="104" t="str">
        <f t="shared" si="21"/>
        <v>GGIRS</v>
      </c>
      <c r="E82" s="100" t="str">
        <f t="shared" si="25"/>
        <v>41030GGIRS</v>
      </c>
      <c r="F82" s="100" t="str">
        <f t="shared" si="26"/>
        <v>46082GGIRS</v>
      </c>
      <c r="G82" s="100" t="str">
        <f>IFERROR(IF(VLOOKUP($O82,Lookup!$G$1:$I$182,2,0)="","",VLOOKUP($O82,Lookup!$G$1:$I$182,2,0)),"")</f>
        <v>total_billed_therms</v>
      </c>
      <c r="H82" s="100" t="str">
        <f>IFERROR(IF(VLOOKUP($O82,Lookup!$G$1:$I$182,3,0)="","",VLOOKUP($O82,Lookup!$G$1:$I$182,3,0)),"")</f>
        <v>total_adjusted_therms</v>
      </c>
      <c r="I82" s="100" t="str">
        <f>IFERROR(IF(VLOOKUP(O82,Lookup!$A$1:$B$200,2,0)="","",VLOOKUP(O82,Lookup!$A$1:$B$200,2,0)),"")</f>
        <v>THERM_DELIVERY_TIER1</v>
      </c>
      <c r="J82" s="100" t="str">
        <f t="shared" si="33"/>
        <v>5755GGIRStotal_billed_therms</v>
      </c>
      <c r="K82" s="100" t="str">
        <f t="shared" si="34"/>
        <v>5755GGIRStotal_adjusted_therms</v>
      </c>
      <c r="L82" s="100" t="str">
        <f>D82&amp;" "&amp;IFERROR(IF(VLOOKUP(O82,Lookup!$D$1:$E$201,2,0)="","",VLOOKUP(O82,Lookup!$D$1:$E$201,2,0)),"")</f>
        <v xml:space="preserve">GGIRS </v>
      </c>
      <c r="O82" s="57" t="s">
        <v>609</v>
      </c>
      <c r="P82" s="194">
        <f>VLOOKUP(E82,'UNSG - ALL RATES'!$A$2:$CG$83,MATCH($I82,'UNSG - ALL RATES'!$A$3:$CG$3,0),0)</f>
        <v>0.35320000000000001</v>
      </c>
      <c r="Q82" s="146">
        <f>VLOOKUP($C82&amp;$D82,'[4]Billed Annual Billing Det'!$A$2:$N$16,5,0)</f>
        <v>7495</v>
      </c>
      <c r="R82" s="103">
        <f>$P82*Q82</f>
        <v>2647.2339999999999</v>
      </c>
      <c r="S82" s="59"/>
      <c r="T82" s="146">
        <f>VLOOKUP($C82&amp;$D82,'[4]Adjusted Annual Billing Det'!$A$2:$L$16,5,0)</f>
        <v>6405.3024178991363</v>
      </c>
      <c r="U82" s="103">
        <f>$P82*T82</f>
        <v>2262.3528140019748</v>
      </c>
      <c r="V82" s="59"/>
      <c r="W82" s="749"/>
      <c r="X82" s="750"/>
      <c r="Y82" s="751"/>
    </row>
    <row r="83" spans="1:25">
      <c r="A83" s="100">
        <v>41030</v>
      </c>
      <c r="B83" s="100">
        <f>'UNSG - ALL RATES'!$B$25</f>
        <v>46082</v>
      </c>
      <c r="C83" s="101" t="str">
        <f t="shared" ref="C83" si="35">M80</f>
        <v>5755</v>
      </c>
      <c r="D83" s="104" t="str">
        <f t="shared" si="21"/>
        <v>GGIRS</v>
      </c>
      <c r="E83" s="100" t="str">
        <f t="shared" si="25"/>
        <v>41030GGIRS</v>
      </c>
      <c r="F83" s="100" t="str">
        <f t="shared" si="26"/>
        <v>46082GGIRS</v>
      </c>
      <c r="G83" s="100" t="str">
        <f>IFERROR(IF(VLOOKUP($O83,Lookup!$G$1:$I$182,2,0)="","",VLOOKUP($O83,Lookup!$G$1:$I$182,2,0)),"")</f>
        <v/>
      </c>
      <c r="H83" s="100" t="str">
        <f>IFERROR(IF(VLOOKUP($O83,Lookup!$G$1:$I$182,3,0)="","",VLOOKUP($O83,Lookup!$G$1:$I$182,3,0)),"")</f>
        <v/>
      </c>
      <c r="I83" s="100" t="str">
        <f>IFERROR(IF(VLOOKUP(O83,Lookup!$A$1:$B$200,2,0)="","",VLOOKUP(O83,Lookup!$A$1:$B$200,2,0)),"")</f>
        <v/>
      </c>
      <c r="J83" s="100" t="str">
        <f t="shared" si="33"/>
        <v>5755GGIRS</v>
      </c>
      <c r="K83" s="100" t="str">
        <f t="shared" si="34"/>
        <v>5755GGIRS</v>
      </c>
      <c r="L83" s="100" t="str">
        <f>D83&amp;" "&amp;IFERROR(IF(VLOOKUP(O83,Lookup!$D$1:$E$201,2,0)="","",VLOOKUP(O83,Lookup!$D$1:$E$201,2,0)),"")</f>
        <v>GGIRS Margin Revenues</v>
      </c>
      <c r="O83" s="66" t="s">
        <v>635</v>
      </c>
      <c r="P83"/>
      <c r="R83" s="103">
        <f>SUM(R81:R82)</f>
        <v>3587.2339999999999</v>
      </c>
      <c r="S83" s="59"/>
      <c r="U83" s="103">
        <f>SUM(U81:U82)</f>
        <v>3202.3528140019748</v>
      </c>
      <c r="V83" s="59"/>
      <c r="W83" s="749"/>
      <c r="X83" s="750"/>
      <c r="Y83" s="751"/>
    </row>
    <row r="84" spans="1:25" ht="15.75" thickBot="1">
      <c r="A84" s="100">
        <v>41030</v>
      </c>
      <c r="B84" s="100">
        <f>'UNSG - ALL RATES'!$B$25</f>
        <v>46082</v>
      </c>
      <c r="C84" s="101" t="str">
        <f t="shared" ref="C84" si="36">C83</f>
        <v>5755</v>
      </c>
      <c r="D84" s="104" t="str">
        <f t="shared" si="21"/>
        <v>GGIRS</v>
      </c>
      <c r="E84" s="100" t="str">
        <f t="shared" si="25"/>
        <v>41030GGIRS</v>
      </c>
      <c r="F84" s="100" t="str">
        <f t="shared" si="26"/>
        <v>46082GGIRS</v>
      </c>
      <c r="G84" s="100" t="str">
        <f>IFERROR(IF(VLOOKUP($O84,Lookup!$G$1:$I$182,2,0)="","",VLOOKUP($O84,Lookup!$G$1:$I$182,2,0)),"")</f>
        <v/>
      </c>
      <c r="H84" s="100" t="str">
        <f>IFERROR(IF(VLOOKUP($O84,Lookup!$G$1:$I$182,3,0)="","",VLOOKUP($O84,Lookup!$G$1:$I$182,3,0)),"")</f>
        <v/>
      </c>
      <c r="I84" s="100" t="str">
        <f>IFERROR(IF(VLOOKUP(O84,Lookup!$A$1:$B$200,2,0)="","",VLOOKUP(O84,Lookup!$A$1:$B$200,2,0)),"")</f>
        <v/>
      </c>
      <c r="J84" s="100" t="str">
        <f t="shared" si="33"/>
        <v>5755GGIRS</v>
      </c>
      <c r="K84" s="100" t="str">
        <f t="shared" si="34"/>
        <v>5755GGIRS</v>
      </c>
      <c r="L84" s="100" t="str">
        <f>D84&amp;" "&amp;IFERROR(IF(VLOOKUP(O84,Lookup!$D$1:$E$201,2,0)="","",VLOOKUP(O84,Lookup!$D$1:$E$201,2,0)),"")</f>
        <v>GGIRS Sales (T)</v>
      </c>
      <c r="O84" s="58" t="s">
        <v>614</v>
      </c>
      <c r="P84" s="102"/>
      <c r="Q84" s="146">
        <f>Q82</f>
        <v>7495</v>
      </c>
      <c r="R84" s="150"/>
      <c r="S84" s="59"/>
      <c r="T84" s="146">
        <f>T82</f>
        <v>6405.3024178991363</v>
      </c>
      <c r="U84" s="146"/>
      <c r="V84" s="102"/>
      <c r="W84" s="752"/>
      <c r="X84" s="753"/>
      <c r="Y84" s="754"/>
    </row>
    <row r="85" spans="1:25">
      <c r="A85" s="100">
        <v>41030</v>
      </c>
      <c r="B85" s="100">
        <f>'UNSG - ALL RATES'!$B$25</f>
        <v>46082</v>
      </c>
      <c r="C85" s="101" t="str">
        <f t="shared" si="32"/>
        <v>5755</v>
      </c>
      <c r="D85" s="104" t="str">
        <f t="shared" si="21"/>
        <v>GGIRS</v>
      </c>
      <c r="E85" s="100" t="str">
        <f t="shared" si="25"/>
        <v>41030GGIRS</v>
      </c>
      <c r="F85" s="100" t="str">
        <f t="shared" si="26"/>
        <v>46082GGIRS</v>
      </c>
      <c r="G85" s="100"/>
      <c r="H85" s="100" t="str">
        <f>IFERROR(IF(VLOOKUP($O85,Lookup!$G$1:$I$182,3,0)="","",VLOOKUP($O85,Lookup!$G$1:$I$182,3,0)),"")</f>
        <v/>
      </c>
      <c r="I85" s="100"/>
      <c r="J85" s="100" t="str">
        <f t="shared" si="33"/>
        <v>5755GGIRS</v>
      </c>
      <c r="K85" s="100" t="str">
        <f t="shared" si="34"/>
        <v>5755GGIRS</v>
      </c>
      <c r="L85" s="100"/>
      <c r="O85" s="58"/>
      <c r="P85" s="102"/>
      <c r="Y85" s="103"/>
    </row>
    <row r="86" spans="1:25" ht="15.75" thickBot="1">
      <c r="A86" s="100">
        <v>41030</v>
      </c>
      <c r="B86" s="100">
        <f>'UNSG - ALL RATES'!$B$25</f>
        <v>46082</v>
      </c>
      <c r="C86" s="101" t="str">
        <f>M86</f>
        <v>5756</v>
      </c>
      <c r="D86" s="104" t="str">
        <f t="shared" si="21"/>
        <v>GTGLVS</v>
      </c>
      <c r="E86" s="100" t="str">
        <f t="shared" si="25"/>
        <v>41030GTGLVS</v>
      </c>
      <c r="F86" s="100" t="str">
        <f t="shared" si="26"/>
        <v>46082GTGLVS</v>
      </c>
      <c r="G86" s="100" t="str">
        <f>IFERROR(IF(VLOOKUP($O86,Lookup!$G$1:$I$182,2,0)="","",VLOOKUP($O86,Lookup!$G$1:$I$182,2,0)),"")</f>
        <v/>
      </c>
      <c r="H86" s="100" t="str">
        <f>IFERROR(IF(VLOOKUP($O86,Lookup!$G$1:$I$182,3,0)="","",VLOOKUP($O86,Lookup!$G$1:$I$182,3,0)),"")</f>
        <v/>
      </c>
      <c r="I86" s="100" t="str">
        <f>IFERROR(IF(VLOOKUP(O86,Lookup!$A$1:$B$200,2,0)="","",VLOOKUP(O86,Lookup!$A$1:$B$200,2,0)),"")</f>
        <v/>
      </c>
      <c r="J86" s="100" t="str">
        <f t="shared" si="33"/>
        <v>5756GTGLVS</v>
      </c>
      <c r="K86" s="100" t="str">
        <f t="shared" si="34"/>
        <v>5756GTGLVS</v>
      </c>
      <c r="L86" s="100" t="str">
        <f>D86&amp;" "&amp;IFERROR(IF(VLOOKUP(O86,Lookup!$D$1:$E$201,2,0)="","",VLOOKUP(O86,Lookup!$D$1:$E$201,2,0)),"")</f>
        <v xml:space="preserve">GTGLVS </v>
      </c>
      <c r="M86" s="101" t="str">
        <f>VLOOKUP(N86,'UNSG - ALL RATES'!$E$25:$F$41,2,0)</f>
        <v>5756</v>
      </c>
      <c r="N86" s="179" t="str">
        <f>'UNSG - ALL RATES'!F17</f>
        <v>GTGLVS</v>
      </c>
      <c r="O86" s="58" t="str">
        <f>VLOOKUP($N86,'UNSG - ALL RATES'!$F$2:$G$383,2,0)</f>
        <v>Transportation LV Large Commercial</v>
      </c>
      <c r="S86" s="59"/>
      <c r="Y86" s="103"/>
    </row>
    <row r="87" spans="1:25">
      <c r="A87" s="100">
        <v>41030</v>
      </c>
      <c r="B87" s="100">
        <f>'UNSG - ALL RATES'!$B$25</f>
        <v>46082</v>
      </c>
      <c r="C87" s="101" t="str">
        <f t="shared" si="32"/>
        <v>5756</v>
      </c>
      <c r="D87" s="104" t="str">
        <f t="shared" si="21"/>
        <v>GTGLVS</v>
      </c>
      <c r="E87" s="100" t="str">
        <f t="shared" si="25"/>
        <v>41030GTGLVS</v>
      </c>
      <c r="F87" s="100" t="str">
        <f t="shared" si="26"/>
        <v>46082GTGLVS</v>
      </c>
      <c r="G87" s="100" t="str">
        <f>IFERROR(IF(VLOOKUP($O87,Lookup!$G$1:$I$182,2,0)="","",VLOOKUP($O87,Lookup!$G$1:$I$182,2,0)),"")</f>
        <v>total_bill_count</v>
      </c>
      <c r="H87" s="100" t="str">
        <f>IFERROR(IF(VLOOKUP($O87,Lookup!$G$1:$I$182,3,0)="","",VLOOKUP($O87,Lookup!$G$1:$I$182,3,0)),"")</f>
        <v>total_adjusted_bill_count</v>
      </c>
      <c r="I87" s="100" t="str">
        <f>IFERROR(IF(VLOOKUP(O87,Lookup!$A$1:$B$200,2,0)="","",VLOOKUP(O87,Lookup!$A$1:$B$200,2,0)),"")</f>
        <v>BASIC_SERVICE_CHARGE</v>
      </c>
      <c r="J87" s="100" t="str">
        <f t="shared" si="33"/>
        <v>5756GTGLVStotal_bill_count</v>
      </c>
      <c r="K87" s="100" t="str">
        <f t="shared" si="34"/>
        <v>5756GTGLVStotal_adjusted_bill_count</v>
      </c>
      <c r="L87" s="100" t="str">
        <f>D87&amp;" "&amp;IFERROR(IF(VLOOKUP(O87,Lookup!$D$1:$E$201,2,0)="","",VLOOKUP(O87,Lookup!$D$1:$E$201,2,0)),"")</f>
        <v>GTGLVS Basic Service Charges</v>
      </c>
      <c r="O87" s="57" t="s">
        <v>607</v>
      </c>
      <c r="P87" s="59">
        <f>VLOOKUP(E87,'UNSG - ALL RATES'!$A$2:$CG$83,MATCH($I87,'UNSG - ALL RATES'!$A$3:$CG$3,0),0)</f>
        <v>225</v>
      </c>
      <c r="Q87" s="146">
        <f>VLOOKUP($C87&amp;$D87,'[4]Billed Annual Billing Det'!$A$2:$N$16,4,0)</f>
        <v>96</v>
      </c>
      <c r="R87" s="103">
        <f>$P87*Q87</f>
        <v>21600</v>
      </c>
      <c r="S87" s="59"/>
      <c r="T87" s="146">
        <f>VLOOKUP($C87&amp;$D87,'[4]Adjusted Annual Billing Det'!$A$2:$L$16,4,0)</f>
        <v>96</v>
      </c>
      <c r="U87" s="103">
        <f>$P87*T87</f>
        <v>21600</v>
      </c>
      <c r="V87" s="59"/>
      <c r="W87" s="746" t="s">
        <v>640</v>
      </c>
      <c r="X87" s="747"/>
      <c r="Y87" s="748"/>
    </row>
    <row r="88" spans="1:25">
      <c r="A88" s="100">
        <v>41030</v>
      </c>
      <c r="B88" s="100">
        <f>'UNSG - ALL RATES'!$B$25</f>
        <v>46082</v>
      </c>
      <c r="C88" s="101" t="str">
        <f t="shared" si="32"/>
        <v>5756</v>
      </c>
      <c r="D88" s="104" t="str">
        <f t="shared" si="21"/>
        <v>GTGLVS</v>
      </c>
      <c r="E88" s="100" t="str">
        <f t="shared" si="25"/>
        <v>41030GTGLVS</v>
      </c>
      <c r="F88" s="100" t="str">
        <f t="shared" si="26"/>
        <v>46082GTGLVS</v>
      </c>
      <c r="G88" s="100" t="str">
        <f>IFERROR(IF(VLOOKUP($O88,Lookup!$G$1:$I$182,2,0)="","",VLOOKUP($O88,Lookup!$G$1:$I$182,2,0)),"")</f>
        <v>total_billed_therms</v>
      </c>
      <c r="H88" s="100" t="str">
        <f>IFERROR(IF(VLOOKUP($O88,Lookup!$G$1:$I$182,3,0)="","",VLOOKUP($O88,Lookup!$G$1:$I$182,3,0)),"")</f>
        <v>total_adjusted_therms</v>
      </c>
      <c r="I88" s="100" t="str">
        <f>IFERROR(IF(VLOOKUP(O88,Lookup!$A$1:$B$200,2,0)="","",VLOOKUP(O88,Lookup!$A$1:$B$200,2,0)),"")</f>
        <v>THERM_DELIVERY_TIER1</v>
      </c>
      <c r="J88" s="100" t="str">
        <f t="shared" si="33"/>
        <v>5756GTGLVStotal_billed_therms</v>
      </c>
      <c r="K88" s="100" t="str">
        <f t="shared" si="34"/>
        <v>5756GTGLVStotal_adjusted_therms</v>
      </c>
      <c r="L88" s="100" t="str">
        <f>D88&amp;" "&amp;IFERROR(IF(VLOOKUP(O88,Lookup!$D$1:$E$201,2,0)="","",VLOOKUP(O88,Lookup!$D$1:$E$201,2,0)),"")</f>
        <v xml:space="preserve">GTGLVS </v>
      </c>
      <c r="O88" s="57" t="s">
        <v>609</v>
      </c>
      <c r="P88" s="194">
        <f>VLOOKUP(E88,'UNSG - ALL RATES'!$A$2:$CG$83,MATCH($I88,'UNSG - ALL RATES'!$A$3:$CG$3,0),0)</f>
        <v>0.2104</v>
      </c>
      <c r="Q88" s="146">
        <f>VLOOKUP($C88&amp;$D88,'[4]Billed Annual Billing Det'!$A$2:$N$16,5,0)</f>
        <v>1545731</v>
      </c>
      <c r="R88" s="103">
        <f>$P88*Q88</f>
        <v>325221.80239999999</v>
      </c>
      <c r="S88" s="59"/>
      <c r="T88" s="146">
        <f>VLOOKUP($C88&amp;$D88,'[4]Adjusted Annual Billing Det'!$A$2:$L$16,5,0)</f>
        <v>1545731</v>
      </c>
      <c r="U88" s="103">
        <f>$P88*T88</f>
        <v>325221.80239999999</v>
      </c>
      <c r="V88" s="61"/>
      <c r="W88" s="749"/>
      <c r="X88" s="750"/>
      <c r="Y88" s="751"/>
    </row>
    <row r="89" spans="1:25">
      <c r="A89" s="100">
        <v>41030</v>
      </c>
      <c r="B89" s="100">
        <f>'UNSG - ALL RATES'!$B$25</f>
        <v>46082</v>
      </c>
      <c r="C89" s="101" t="str">
        <f t="shared" si="32"/>
        <v>5756</v>
      </c>
      <c r="D89" s="104" t="str">
        <f t="shared" si="21"/>
        <v>GTGLVS</v>
      </c>
      <c r="E89" s="100" t="str">
        <f t="shared" si="25"/>
        <v>41030GTGLVS</v>
      </c>
      <c r="F89" s="100" t="str">
        <f t="shared" si="26"/>
        <v>46082GTGLVS</v>
      </c>
      <c r="G89" s="100" t="str">
        <f>IFERROR(IF(VLOOKUP($O89,Lookup!$G$1:$I$182,2,0)="","",VLOOKUP($O89,Lookup!$G$1:$I$182,2,0)),"")</f>
        <v/>
      </c>
      <c r="H89" s="100" t="str">
        <f>IFERROR(IF(VLOOKUP($O89,Lookup!$G$1:$I$182,3,0)="","",VLOOKUP($O89,Lookup!$G$1:$I$182,3,0)),"")</f>
        <v/>
      </c>
      <c r="I89" s="100" t="str">
        <f>IFERROR(IF(VLOOKUP(O89,Lookup!$A$1:$B$200,2,0)="","",VLOOKUP(O89,Lookup!$A$1:$B$200,2,0)),"")</f>
        <v/>
      </c>
      <c r="J89" s="100" t="str">
        <f t="shared" si="33"/>
        <v>5756GTGLVS</v>
      </c>
      <c r="K89" s="100" t="str">
        <f t="shared" si="34"/>
        <v>5756GTGLVS</v>
      </c>
      <c r="L89" s="100" t="str">
        <f>D89&amp;" "&amp;IFERROR(IF(VLOOKUP(O89,Lookup!$D$1:$E$201,2,0)="","",VLOOKUP(O89,Lookup!$D$1:$E$201,2,0)),"")</f>
        <v>GTGLVS Margin Revenues</v>
      </c>
      <c r="O89" s="66" t="s">
        <v>635</v>
      </c>
      <c r="P89"/>
      <c r="Q89"/>
      <c r="R89" s="103">
        <f>SUM(R87:R88)</f>
        <v>346821.80239999999</v>
      </c>
      <c r="S89" s="59"/>
      <c r="T89"/>
      <c r="U89" s="103">
        <f>SUM(U87:U88)</f>
        <v>346821.80239999999</v>
      </c>
      <c r="V89" s="61"/>
      <c r="W89" s="749"/>
      <c r="X89" s="750"/>
      <c r="Y89" s="751"/>
    </row>
    <row r="90" spans="1:25" ht="15.75" thickBot="1">
      <c r="A90" s="100">
        <v>41030</v>
      </c>
      <c r="B90" s="100">
        <f>'UNSG - ALL RATES'!$B$25</f>
        <v>46082</v>
      </c>
      <c r="C90" s="101" t="str">
        <f t="shared" si="32"/>
        <v>5756</v>
      </c>
      <c r="D90" s="104" t="str">
        <f t="shared" si="21"/>
        <v>GTGLVS</v>
      </c>
      <c r="E90" s="100" t="str">
        <f t="shared" si="25"/>
        <v>41030GTGLVS</v>
      </c>
      <c r="F90" s="100" t="str">
        <f t="shared" si="26"/>
        <v>46082GTGLVS</v>
      </c>
      <c r="G90" s="100" t="str">
        <f>IFERROR(IF(VLOOKUP($O90,Lookup!$G$1:$I$182,2,0)="","",VLOOKUP($O90,Lookup!$G$1:$I$182,2,0)),"")</f>
        <v/>
      </c>
      <c r="H90" s="100" t="str">
        <f>IFERROR(IF(VLOOKUP($O90,Lookup!$G$1:$I$182,3,0)="","",VLOOKUP($O90,Lookup!$G$1:$I$182,3,0)),"")</f>
        <v/>
      </c>
      <c r="I90" s="100" t="str">
        <f>IFERROR(IF(VLOOKUP(O90,Lookup!$A$1:$B$200,2,0)="","",VLOOKUP(O90,Lookup!$A$1:$B$200,2,0)),"")</f>
        <v/>
      </c>
      <c r="J90" s="100" t="str">
        <f t="shared" si="33"/>
        <v>5756GTGLVS</v>
      </c>
      <c r="K90" s="100" t="str">
        <f t="shared" si="34"/>
        <v>5756GTGLVS</v>
      </c>
      <c r="L90" s="100" t="str">
        <f>D90&amp;" "&amp;IFERROR(IF(VLOOKUP(O90,Lookup!$D$1:$E$201,2,0)="","",VLOOKUP(O90,Lookup!$D$1:$E$201,2,0)),"")</f>
        <v>GTGLVS Sales (T)</v>
      </c>
      <c r="O90" s="58" t="s">
        <v>614</v>
      </c>
      <c r="P90" s="102"/>
      <c r="Q90" s="146">
        <f>Q88</f>
        <v>1545731</v>
      </c>
      <c r="R90" s="150"/>
      <c r="S90" s="103"/>
      <c r="T90" s="146">
        <f>T88</f>
        <v>1545731</v>
      </c>
      <c r="U90" s="146"/>
      <c r="V90" s="102"/>
      <c r="W90" s="752"/>
      <c r="X90" s="753"/>
      <c r="Y90" s="754"/>
    </row>
    <row r="91" spans="1:25">
      <c r="A91" s="100">
        <v>41030</v>
      </c>
      <c r="B91" s="100">
        <f>'UNSG - ALL RATES'!$B$25</f>
        <v>46082</v>
      </c>
      <c r="C91" s="101" t="str">
        <f>C90</f>
        <v>5756</v>
      </c>
      <c r="D91" s="104" t="str">
        <f t="shared" si="21"/>
        <v>GTGLVS</v>
      </c>
      <c r="E91" s="100" t="str">
        <f t="shared" si="25"/>
        <v>41030GTGLVS</v>
      </c>
      <c r="F91" s="100" t="str">
        <f t="shared" si="26"/>
        <v>46082GTGLVS</v>
      </c>
      <c r="G91" s="100" t="str">
        <f>IFERROR(IF(VLOOKUP($O91,Lookup!$G$1:$I$182,2,0)="","",VLOOKUP($O91,Lookup!$G$1:$I$182,2,0)),"")</f>
        <v/>
      </c>
      <c r="H91" s="100" t="str">
        <f>IFERROR(IF(VLOOKUP($O91,Lookup!$G$1:$I$182,3,0)="","",VLOOKUP($O91,Lookup!$G$1:$I$182,3,0)),"")</f>
        <v/>
      </c>
      <c r="I91" s="100" t="str">
        <f>IFERROR(IF(VLOOKUP(O91,Lookup!$A$1:$B$200,2,0)="","",VLOOKUP(O91,Lookup!$A$1:$B$200,2,0)),"")</f>
        <v/>
      </c>
      <c r="J91" s="100" t="str">
        <f t="shared" si="33"/>
        <v>5756GTGLVS</v>
      </c>
      <c r="K91" s="100" t="str">
        <f t="shared" si="34"/>
        <v>5756GTGLVS</v>
      </c>
      <c r="L91" s="100" t="str">
        <f>D91&amp;" "&amp;IFERROR(IF(VLOOKUP(O91,Lookup!$D$1:$E$201,2,0)="","",VLOOKUP(O91,Lookup!$D$1:$E$201,2,0)),"")</f>
        <v xml:space="preserve">GTGLVS </v>
      </c>
      <c r="O91" s="58"/>
      <c r="P91" s="102"/>
      <c r="Y91" s="103"/>
    </row>
    <row r="92" spans="1:25" ht="15.75" thickBot="1">
      <c r="A92" s="100">
        <v>41030</v>
      </c>
      <c r="B92" s="100">
        <f>'UNSG - ALL RATES'!$B$25</f>
        <v>46082</v>
      </c>
      <c r="C92" s="101" t="str">
        <f>M92</f>
        <v>5756</v>
      </c>
      <c r="D92" s="104" t="str">
        <f t="shared" si="21"/>
        <v>GTGSVS</v>
      </c>
      <c r="E92" s="100" t="str">
        <f t="shared" si="25"/>
        <v>41030GTGSVS</v>
      </c>
      <c r="F92" s="100" t="str">
        <f t="shared" si="26"/>
        <v>46082GTGSVS</v>
      </c>
      <c r="G92" s="100" t="str">
        <f>IFERROR(IF(VLOOKUP($O92,Lookup!$G$1:$I$182,2,0)="","",VLOOKUP($O92,Lookup!$G$1:$I$182,2,0)),"")</f>
        <v/>
      </c>
      <c r="H92" s="100" t="str">
        <f>IFERROR(IF(VLOOKUP($O92,Lookup!$G$1:$I$182,3,0)="","",VLOOKUP($O92,Lookup!$G$1:$I$182,3,0)),"")</f>
        <v/>
      </c>
      <c r="I92" s="100" t="str">
        <f>IFERROR(IF(VLOOKUP(O92,Lookup!$A$1:$B$200,2,0)="","",VLOOKUP(O92,Lookup!$A$1:$B$200,2,0)),"")</f>
        <v/>
      </c>
      <c r="J92" s="100" t="str">
        <f t="shared" si="33"/>
        <v>5756GTGSVS</v>
      </c>
      <c r="K92" s="100" t="str">
        <f t="shared" si="34"/>
        <v>5756GTGSVS</v>
      </c>
      <c r="L92" s="100" t="str">
        <f>D92&amp;" "&amp;IFERROR(IF(VLOOKUP(O92,Lookup!$D$1:$E$201,2,0)="","",VLOOKUP(O92,Lookup!$D$1:$E$201,2,0)),"")</f>
        <v xml:space="preserve">GTGSVS </v>
      </c>
      <c r="M92" s="101" t="str">
        <f>VLOOKUP(N92,'UNSG - ALL RATES'!$E$25:$F$41,2,0)</f>
        <v>5756</v>
      </c>
      <c r="N92" s="179" t="str">
        <f>'UNSG - ALL RATES'!F18</f>
        <v>GTGSVS</v>
      </c>
      <c r="O92" s="58" t="str">
        <f>VLOOKUP($N92,'UNSG - ALL RATES'!$F$2:$G$383,2,0)</f>
        <v>Transportation Competitive Gas Sales</v>
      </c>
      <c r="S92" s="59"/>
      <c r="Y92" s="103"/>
    </row>
    <row r="93" spans="1:25">
      <c r="A93" s="100">
        <v>41030</v>
      </c>
      <c r="B93" s="100">
        <f>'UNSG - ALL RATES'!$B$25</f>
        <v>46082</v>
      </c>
      <c r="C93" s="101" t="str">
        <f t="shared" si="32"/>
        <v>5756</v>
      </c>
      <c r="D93" s="104" t="str">
        <f t="shared" si="21"/>
        <v>GTGSVS</v>
      </c>
      <c r="E93" s="100" t="str">
        <f t="shared" si="25"/>
        <v>41030GTGSVS</v>
      </c>
      <c r="F93" s="100" t="str">
        <f t="shared" si="26"/>
        <v>46082GTGSVS</v>
      </c>
      <c r="G93" s="100" t="str">
        <f>IFERROR(IF(VLOOKUP($O93,Lookup!$G$1:$I$182,2,0)="","",VLOOKUP($O93,Lookup!$G$1:$I$182,2,0)),"")</f>
        <v>total_bill_count</v>
      </c>
      <c r="H93" s="100" t="str">
        <f>IFERROR(IF(VLOOKUP($O93,Lookup!$G$1:$I$182,3,0)="","",VLOOKUP($O93,Lookup!$G$1:$I$182,3,0)),"")</f>
        <v>total_adjusted_bill_count</v>
      </c>
      <c r="I93" s="100" t="str">
        <f>IFERROR(IF(VLOOKUP(O93,Lookup!$A$1:$B$200,2,0)="","",VLOOKUP(O93,Lookup!$A$1:$B$200,2,0)),"")</f>
        <v>BASIC_SERVICE_CHARGE</v>
      </c>
      <c r="J93" s="100" t="str">
        <f t="shared" si="33"/>
        <v>5756GTGSVStotal_bill_count</v>
      </c>
      <c r="K93" s="100" t="str">
        <f t="shared" si="34"/>
        <v>5756GTGSVStotal_adjusted_bill_count</v>
      </c>
      <c r="L93" s="100" t="str">
        <f>D93&amp;" "&amp;IFERROR(IF(VLOOKUP(O93,Lookup!$D$1:$E$201,2,0)="","",VLOOKUP(O93,Lookup!$D$1:$E$201,2,0)),"")</f>
        <v>GTGSVS Basic Service Charges</v>
      </c>
      <c r="O93" s="57" t="s">
        <v>607</v>
      </c>
      <c r="P93" s="59">
        <f>VLOOKUP(E93,'UNSG - ALL RATES'!$A$2:$CG$83,MATCH($I93,'UNSG - ALL RATES'!$A$3:$CG$3,0),0)</f>
        <v>20</v>
      </c>
      <c r="Q93" s="146">
        <v>0</v>
      </c>
      <c r="R93" s="103">
        <f>$P93*Q93</f>
        <v>0</v>
      </c>
      <c r="S93" s="59"/>
      <c r="T93" s="146">
        <f>Q93</f>
        <v>0</v>
      </c>
      <c r="U93" s="103">
        <f>$P93*T93</f>
        <v>0</v>
      </c>
      <c r="V93" s="59"/>
      <c r="W93" s="746" t="s">
        <v>640</v>
      </c>
      <c r="X93" s="747"/>
      <c r="Y93" s="748"/>
    </row>
    <row r="94" spans="1:25">
      <c r="A94" s="100">
        <v>41030</v>
      </c>
      <c r="B94" s="100">
        <f>'UNSG - ALL RATES'!$B$25</f>
        <v>46082</v>
      </c>
      <c r="C94" s="101" t="str">
        <f t="shared" si="32"/>
        <v>5756</v>
      </c>
      <c r="D94" s="104" t="str">
        <f t="shared" si="21"/>
        <v>GTGSVS</v>
      </c>
      <c r="E94" s="100" t="str">
        <f t="shared" si="25"/>
        <v>41030GTGSVS</v>
      </c>
      <c r="F94" s="100" t="str">
        <f t="shared" si="26"/>
        <v>46082GTGSVS</v>
      </c>
      <c r="G94" s="100" t="str">
        <f>IFERROR(IF(VLOOKUP($O94,Lookup!$G$1:$I$182,2,0)="","",VLOOKUP($O94,Lookup!$G$1:$I$182,2,0)),"")</f>
        <v>total_billed_therms</v>
      </c>
      <c r="H94" s="100" t="str">
        <f>IFERROR(IF(VLOOKUP($O94,Lookup!$G$1:$I$182,3,0)="","",VLOOKUP($O94,Lookup!$G$1:$I$182,3,0)),"")</f>
        <v>total_adjusted_therms</v>
      </c>
      <c r="I94" s="100" t="str">
        <f>IFERROR(IF(VLOOKUP(O94,Lookup!$A$1:$B$200,2,0)="","",VLOOKUP(O94,Lookup!$A$1:$B$200,2,0)),"")</f>
        <v>THERM_DELIVERY_TIER1</v>
      </c>
      <c r="J94" s="100" t="str">
        <f t="shared" si="33"/>
        <v>5756GTGSVStotal_billed_therms</v>
      </c>
      <c r="K94" s="100" t="str">
        <f t="shared" si="34"/>
        <v>5756GTGSVStotal_adjusted_therms</v>
      </c>
      <c r="L94" s="100" t="str">
        <f>D94&amp;" "&amp;IFERROR(IF(VLOOKUP(O94,Lookup!$D$1:$E$201,2,0)="","",VLOOKUP(O94,Lookup!$D$1:$E$201,2,0)),"")</f>
        <v xml:space="preserve">GTGSVS </v>
      </c>
      <c r="O94" s="57" t="s">
        <v>609</v>
      </c>
      <c r="P94" s="194">
        <f>VLOOKUP(E94,'UNSG - ALL RATES'!$A$2:$CG$83,MATCH($I94,'UNSG - ALL RATES'!$A$3:$CG$3,0),0)</f>
        <v>0.28410000000000002</v>
      </c>
      <c r="Q94" s="146">
        <v>0</v>
      </c>
      <c r="R94" s="103">
        <f>$P94*Q94</f>
        <v>0</v>
      </c>
      <c r="S94" s="59"/>
      <c r="T94" s="146">
        <f>Q94</f>
        <v>0</v>
      </c>
      <c r="U94" s="103">
        <f>$P94*T94</f>
        <v>0</v>
      </c>
      <c r="V94" s="61"/>
      <c r="W94" s="749"/>
      <c r="X94" s="750"/>
      <c r="Y94" s="751"/>
    </row>
    <row r="95" spans="1:25">
      <c r="A95" s="100">
        <v>41030</v>
      </c>
      <c r="B95" s="100">
        <f>'UNSG - ALL RATES'!$B$25</f>
        <v>46082</v>
      </c>
      <c r="C95" s="101" t="str">
        <f t="shared" si="32"/>
        <v>5756</v>
      </c>
      <c r="D95" s="104" t="str">
        <f t="shared" ref="D95:D109" si="37">IF(N95="",D94,IF(N96&lt;&gt;D94,N95))</f>
        <v>GTGSVS</v>
      </c>
      <c r="E95" s="100" t="str">
        <f t="shared" si="25"/>
        <v>41030GTGSVS</v>
      </c>
      <c r="F95" s="100" t="str">
        <f t="shared" si="26"/>
        <v>46082GTGSVS</v>
      </c>
      <c r="G95" s="100" t="str">
        <f>IFERROR(IF(VLOOKUP($O95,Lookup!$G$1:$I$182,2,0)="","",VLOOKUP($O95,Lookup!$G$1:$I$182,2,0)),"")</f>
        <v/>
      </c>
      <c r="H95" s="100" t="str">
        <f>IFERROR(IF(VLOOKUP($O95,Lookup!$G$1:$I$182,3,0)="","",VLOOKUP($O95,Lookup!$G$1:$I$182,3,0)),"")</f>
        <v/>
      </c>
      <c r="I95" s="100" t="str">
        <f>IFERROR(IF(VLOOKUP(O95,Lookup!$A$1:$B$200,2,0)="","",VLOOKUP(O95,Lookup!$A$1:$B$200,2,0)),"")</f>
        <v/>
      </c>
      <c r="J95" s="100" t="str">
        <f t="shared" si="33"/>
        <v>5756GTGSVS</v>
      </c>
      <c r="K95" s="100" t="str">
        <f t="shared" si="34"/>
        <v>5756GTGSVS</v>
      </c>
      <c r="L95" s="100" t="str">
        <f>D95&amp;" "&amp;IFERROR(IF(VLOOKUP(O95,Lookup!$D$1:$E$201,2,0)="","",VLOOKUP(O95,Lookup!$D$1:$E$201,2,0)),"")</f>
        <v>GTGSVS Margin Revenues</v>
      </c>
      <c r="O95" s="66" t="s">
        <v>635</v>
      </c>
      <c r="P95"/>
      <c r="Q95"/>
      <c r="R95" s="103">
        <f>SUM(R93:R94)</f>
        <v>0</v>
      </c>
      <c r="S95" s="59"/>
      <c r="T95"/>
      <c r="U95" s="103">
        <f>SUM(U93:U94)</f>
        <v>0</v>
      </c>
      <c r="V95" s="61"/>
      <c r="W95" s="749"/>
      <c r="X95" s="750"/>
      <c r="Y95" s="751"/>
    </row>
    <row r="96" spans="1:25" ht="15.75" thickBot="1">
      <c r="A96" s="100">
        <v>41030</v>
      </c>
      <c r="B96" s="100">
        <f>'UNSG - ALL RATES'!$B$25</f>
        <v>46082</v>
      </c>
      <c r="C96" s="101" t="str">
        <f t="shared" si="32"/>
        <v>5756</v>
      </c>
      <c r="D96" s="104" t="str">
        <f t="shared" si="37"/>
        <v>GTGSVS</v>
      </c>
      <c r="E96" s="100" t="str">
        <f t="shared" si="25"/>
        <v>41030GTGSVS</v>
      </c>
      <c r="F96" s="100" t="str">
        <f t="shared" si="26"/>
        <v>46082GTGSVS</v>
      </c>
      <c r="G96" s="100" t="str">
        <f>IFERROR(IF(VLOOKUP($O96,Lookup!$G$1:$I$182,2,0)="","",VLOOKUP($O96,Lookup!$G$1:$I$182,2,0)),"")</f>
        <v/>
      </c>
      <c r="H96" s="100" t="str">
        <f>IFERROR(IF(VLOOKUP($O96,Lookup!$G$1:$I$182,3,0)="","",VLOOKUP($O96,Lookup!$G$1:$I$182,3,0)),"")</f>
        <v/>
      </c>
      <c r="I96" s="100" t="str">
        <f>IFERROR(IF(VLOOKUP(O96,Lookup!$A$1:$B$200,2,0)="","",VLOOKUP(O96,Lookup!$A$1:$B$200,2,0)),"")</f>
        <v/>
      </c>
      <c r="J96" s="100" t="str">
        <f t="shared" si="33"/>
        <v>5756GTGSVS</v>
      </c>
      <c r="K96" s="100" t="str">
        <f t="shared" si="34"/>
        <v>5756GTGSVS</v>
      </c>
      <c r="L96" s="100" t="str">
        <f>D96&amp;" "&amp;IFERROR(IF(VLOOKUP(O96,Lookup!$D$1:$E$201,2,0)="","",VLOOKUP(O96,Lookup!$D$1:$E$201,2,0)),"")</f>
        <v>GTGSVS Sales (T)</v>
      </c>
      <c r="O96" s="58" t="s">
        <v>614</v>
      </c>
      <c r="P96" s="102"/>
      <c r="Q96" s="146">
        <f>Q94</f>
        <v>0</v>
      </c>
      <c r="R96" s="150"/>
      <c r="S96" s="59"/>
      <c r="T96" s="146">
        <f>T94</f>
        <v>0</v>
      </c>
      <c r="U96" s="146"/>
      <c r="V96" s="102"/>
      <c r="W96" s="752"/>
      <c r="X96" s="753"/>
      <c r="Y96" s="754"/>
    </row>
    <row r="97" spans="1:25">
      <c r="A97" s="100">
        <v>41030</v>
      </c>
      <c r="B97" s="100">
        <f>'UNSG - ALL RATES'!$B$25</f>
        <v>46082</v>
      </c>
      <c r="C97" s="101" t="str">
        <f t="shared" si="32"/>
        <v>5756</v>
      </c>
      <c r="D97" s="104" t="str">
        <f t="shared" si="37"/>
        <v>GTGSVS</v>
      </c>
      <c r="E97" s="100" t="str">
        <f t="shared" si="25"/>
        <v>41030GTGSVS</v>
      </c>
      <c r="F97" s="100" t="str">
        <f t="shared" si="26"/>
        <v>46082GTGSVS</v>
      </c>
      <c r="G97" s="100"/>
      <c r="H97" s="100" t="str">
        <f>IFERROR(IF(VLOOKUP($O97,Lookup!$G$1:$I$182,3,0)="","",VLOOKUP($O97,Lookup!$G$1:$I$182,3,0)),"")</f>
        <v/>
      </c>
      <c r="I97" s="100"/>
      <c r="J97" s="100" t="str">
        <f t="shared" si="33"/>
        <v>5756GTGSVS</v>
      </c>
      <c r="K97" s="100" t="str">
        <f t="shared" si="34"/>
        <v>5756GTGSVS</v>
      </c>
      <c r="L97" s="100"/>
      <c r="O97" s="58"/>
      <c r="P97" s="102"/>
      <c r="Y97" s="103"/>
    </row>
    <row r="98" spans="1:25">
      <c r="A98" s="100">
        <v>41030</v>
      </c>
      <c r="B98" s="100">
        <f>'UNSG - ALL RATES'!$B$25</f>
        <v>46082</v>
      </c>
      <c r="C98" s="101" t="str">
        <f>M98</f>
        <v>5756</v>
      </c>
      <c r="D98" s="104" t="str">
        <f t="shared" si="37"/>
        <v>GTILVS</v>
      </c>
      <c r="E98" s="100" t="str">
        <f t="shared" si="25"/>
        <v>41030GTILVS</v>
      </c>
      <c r="F98" s="100" t="str">
        <f t="shared" si="26"/>
        <v>46082GTILVS</v>
      </c>
      <c r="G98" s="100" t="str">
        <f>IFERROR(IF(VLOOKUP($O98,Lookup!$G$1:$I$182,2,0)="","",VLOOKUP($O98,Lookup!$G$1:$I$182,2,0)),"")</f>
        <v/>
      </c>
      <c r="H98" s="100" t="str">
        <f>IFERROR(IF(VLOOKUP($O98,Lookup!$G$1:$I$182,3,0)="","",VLOOKUP($O98,Lookup!$G$1:$I$182,3,0)),"")</f>
        <v/>
      </c>
      <c r="I98" s="100" t="str">
        <f>IFERROR(IF(VLOOKUP(O98,Lookup!$A$1:$B$200,2,0)="","",VLOOKUP(O98,Lookup!$A$1:$B$200,2,0)),"")</f>
        <v/>
      </c>
      <c r="J98" s="100" t="str">
        <f t="shared" si="33"/>
        <v>5756GTILVS</v>
      </c>
      <c r="K98" s="100" t="str">
        <f t="shared" si="34"/>
        <v>5756GTILVS</v>
      </c>
      <c r="L98" s="100" t="str">
        <f>D98&amp;" "&amp;IFERROR(IF(VLOOKUP(O98,Lookup!$D$1:$E$201,2,0)="","",VLOOKUP(O98,Lookup!$D$1:$E$201,2,0)),"")</f>
        <v xml:space="preserve">GTILVS </v>
      </c>
      <c r="M98" s="101" t="str">
        <f>VLOOKUP(N98,'UNSG - ALL RATES'!$E$25:$F$41,2,0)</f>
        <v>5756</v>
      </c>
      <c r="N98" s="179" t="str">
        <f>'UNSG - ALL RATES'!F19</f>
        <v>GTILVS</v>
      </c>
      <c r="O98" s="58" t="str">
        <f>VLOOKUP($N98,'UNSG - ALL RATES'!$F$2:$G$383,2,0)</f>
        <v>Transportation LV Industrial</v>
      </c>
      <c r="S98" s="59"/>
      <c r="Y98" s="103"/>
    </row>
    <row r="99" spans="1:25">
      <c r="A99" s="100">
        <v>41030</v>
      </c>
      <c r="B99" s="100">
        <f>'UNSG - ALL RATES'!$B$25</f>
        <v>46082</v>
      </c>
      <c r="C99" s="101" t="str">
        <f>C98</f>
        <v>5756</v>
      </c>
      <c r="D99" s="104" t="str">
        <f t="shared" si="37"/>
        <v>GTILVS</v>
      </c>
      <c r="E99" s="100" t="str">
        <f t="shared" si="25"/>
        <v>41030GTILVS</v>
      </c>
      <c r="F99" s="100" t="str">
        <f t="shared" si="26"/>
        <v>46082GTILVS</v>
      </c>
      <c r="G99" s="100" t="str">
        <f>IFERROR(IF(VLOOKUP($O99,Lookup!$G$1:$I$182,2,0)="","",VLOOKUP($O99,Lookup!$G$1:$I$182,2,0)),"")</f>
        <v>total_bill_count</v>
      </c>
      <c r="H99" s="100" t="str">
        <f>IFERROR(IF(VLOOKUP($O99,Lookup!$G$1:$I$182,3,0)="","",VLOOKUP($O99,Lookup!$G$1:$I$182,3,0)),"")</f>
        <v>total_adjusted_bill_count</v>
      </c>
      <c r="I99" s="100" t="str">
        <f>IFERROR(IF(VLOOKUP(O99,Lookup!$A$1:$B$200,2,0)="","",VLOOKUP(O99,Lookup!$A$1:$B$200,2,0)),"")</f>
        <v>BASIC_SERVICE_CHARGE</v>
      </c>
      <c r="J99" s="100" t="str">
        <f t="shared" si="33"/>
        <v>5756GTILVStotal_bill_count</v>
      </c>
      <c r="K99" s="100" t="str">
        <f t="shared" si="34"/>
        <v>5756GTILVStotal_adjusted_bill_count</v>
      </c>
      <c r="L99" s="100" t="str">
        <f>D99&amp;" "&amp;IFERROR(IF(VLOOKUP(O99,Lookup!$D$1:$E$201,2,0)="","",VLOOKUP(O99,Lookup!$D$1:$E$201,2,0)),"")</f>
        <v>GTILVS Basic Service Charges</v>
      </c>
      <c r="O99" s="57" t="s">
        <v>607</v>
      </c>
      <c r="P99" s="59">
        <f>VLOOKUP(E99,'UNSG - ALL RATES'!$A$2:$CG$83,MATCH($I99,'UNSG - ALL RATES'!$A$3:$CG$3,0),0)</f>
        <v>225</v>
      </c>
      <c r="Q99" s="146">
        <f>VLOOKUP($C99&amp;$D99,'[4]Billed Annual Billing Det'!$A$2:$N$16,4,0)</f>
        <v>96</v>
      </c>
      <c r="R99" s="103">
        <f>$P99*Q99</f>
        <v>21600</v>
      </c>
      <c r="S99" s="59"/>
      <c r="T99" s="146">
        <f>VLOOKUP($C99&amp;$D99,'[4]Adjusted Annual Billing Det'!$A$2:$L$16,4,0)</f>
        <v>96</v>
      </c>
      <c r="U99" s="103">
        <f>$P99*T99</f>
        <v>21600</v>
      </c>
      <c r="V99" s="59"/>
      <c r="W99" s="59">
        <f>VLOOKUP(F99,'UNSG - ALL RATES'!$A$2:$CG$83,MATCH($I99,'UNSG - ALL RATES'!$A$3:$CG$3,0),0)</f>
        <v>285.73</v>
      </c>
      <c r="X99" s="295">
        <f>VLOOKUP($C99&amp;$D99,'[4]Proposed Annual Billing Det'!$A$2:$N$16,4,0)</f>
        <v>276</v>
      </c>
      <c r="Y99" s="103">
        <f>$W99*X99</f>
        <v>78861.48000000001</v>
      </c>
    </row>
    <row r="100" spans="1:25">
      <c r="A100" s="100">
        <v>41030</v>
      </c>
      <c r="B100" s="100">
        <f>'UNSG - ALL RATES'!$B$25</f>
        <v>46082</v>
      </c>
      <c r="C100" s="101" t="str">
        <f t="shared" ref="C100" si="38">C99</f>
        <v>5756</v>
      </c>
      <c r="D100" s="104" t="str">
        <f t="shared" si="37"/>
        <v>GTILVS</v>
      </c>
      <c r="E100" s="100" t="str">
        <f t="shared" si="25"/>
        <v>41030GTILVS</v>
      </c>
      <c r="F100" s="100" t="str">
        <f t="shared" si="26"/>
        <v>46082GTILVS</v>
      </c>
      <c r="G100" s="100" t="str">
        <f>IFERROR(IF(VLOOKUP($O100,Lookup!$G$1:$I$182,2,0)="","",VLOOKUP($O100,Lookup!$G$1:$I$182,2,0)),"")</f>
        <v>total_billed_therms</v>
      </c>
      <c r="H100" s="100" t="str">
        <f>IFERROR(IF(VLOOKUP($O100,Lookup!$G$1:$I$182,3,0)="","",VLOOKUP($O100,Lookup!$G$1:$I$182,3,0)),"")</f>
        <v>total_adjusted_therms</v>
      </c>
      <c r="I100" s="100" t="str">
        <f>IFERROR(IF(VLOOKUP(O100,Lookup!$A$1:$B$200,2,0)="","",VLOOKUP(O100,Lookup!$A$1:$B$200,2,0)),"")</f>
        <v>THERM_DELIVERY_TIER1</v>
      </c>
      <c r="J100" s="100" t="str">
        <f t="shared" si="33"/>
        <v>5756GTILVStotal_billed_therms</v>
      </c>
      <c r="K100" s="100" t="str">
        <f t="shared" si="34"/>
        <v>5756GTILVStotal_adjusted_therms</v>
      </c>
      <c r="L100" s="100" t="str">
        <f>D100&amp;" "&amp;IFERROR(IF(VLOOKUP(O100,Lookup!$D$1:$E$201,2,0)="","",VLOOKUP(O100,Lookup!$D$1:$E$201,2,0)),"")</f>
        <v xml:space="preserve">GTILVS </v>
      </c>
      <c r="O100" s="57" t="s">
        <v>609</v>
      </c>
      <c r="P100" s="59">
        <f>VLOOKUP(E100,'UNSG - ALL RATES'!$A$2:$CG$83,MATCH($I100,'UNSG - ALL RATES'!$A$3:$CG$3,0),0)</f>
        <v>0.12479999999999999</v>
      </c>
      <c r="Q100" s="146">
        <f>VLOOKUP($C100&amp;$D100,'[4]Billed Annual Billing Det'!$A$2:$N$16,5,0)</f>
        <v>14114075</v>
      </c>
      <c r="R100" s="103">
        <f>$P100*Q100</f>
        <v>1761436.5599999998</v>
      </c>
      <c r="S100" s="59"/>
      <c r="T100" s="146">
        <f>VLOOKUP($C100&amp;$D100,'[4]Adjusted Annual Billing Det'!$A$2:$L$16,5,0)</f>
        <v>14114075</v>
      </c>
      <c r="U100" s="103">
        <f>$P100*T100</f>
        <v>1761436.5599999998</v>
      </c>
      <c r="V100" s="59"/>
      <c r="W100" s="194">
        <f>VLOOKUP(F100,'UNSG - ALL RATES'!$A$2:$CG$83,MATCH($I100,'UNSG - ALL RATES'!$A$3:$CG$3,0),0)</f>
        <v>0.16200000000000001</v>
      </c>
      <c r="X100" s="295">
        <f>VLOOKUP($C100&amp;$D100,'[4]Proposed Annual Billing Det'!$A$2:$N$16,5,0)</f>
        <v>20564752</v>
      </c>
      <c r="Y100" s="103">
        <f>$W100*X100</f>
        <v>3331489.824</v>
      </c>
    </row>
    <row r="101" spans="1:25">
      <c r="A101" s="100">
        <v>41030</v>
      </c>
      <c r="B101" s="100">
        <f>'UNSG - ALL RATES'!$B$25</f>
        <v>46082</v>
      </c>
      <c r="C101" s="101" t="str">
        <f t="shared" si="32"/>
        <v>5756</v>
      </c>
      <c r="D101" s="104" t="str">
        <f t="shared" si="37"/>
        <v>GTILVS</v>
      </c>
      <c r="E101" s="100" t="str">
        <f t="shared" si="25"/>
        <v>41030GTILVS</v>
      </c>
      <c r="F101" s="100" t="str">
        <f t="shared" si="26"/>
        <v>46082GTILVS</v>
      </c>
      <c r="G101" s="100" t="str">
        <f>IFERROR(IF(VLOOKUP($O101,Lookup!$G$1:$I$182,2,0)="","",VLOOKUP($O101,Lookup!$G$1:$I$182,2,0)),"")</f>
        <v/>
      </c>
      <c r="H101" s="100" t="str">
        <f>IFERROR(IF(VLOOKUP($O101,Lookup!$G$1:$I$182,3,0)="","",VLOOKUP($O101,Lookup!$G$1:$I$182,3,0)),"")</f>
        <v/>
      </c>
      <c r="I101" s="100" t="str">
        <f>IFERROR(IF(VLOOKUP(O101,Lookup!$A$1:$B$200,2,0)="","",VLOOKUP(O101,Lookup!$A$1:$B$200,2,0)),"")</f>
        <v/>
      </c>
      <c r="J101" s="100" t="str">
        <f t="shared" si="33"/>
        <v>5756GTILVS</v>
      </c>
      <c r="K101" s="100" t="str">
        <f t="shared" si="34"/>
        <v>5756GTILVS</v>
      </c>
      <c r="L101" s="100" t="str">
        <f>D101&amp;" "&amp;IFERROR(IF(VLOOKUP(O101,Lookup!$D$1:$E$201,2,0)="","",VLOOKUP(O101,Lookup!$D$1:$E$201,2,0)),"")</f>
        <v>GTILVS Margin Revenues</v>
      </c>
      <c r="O101" s="66" t="s">
        <v>635</v>
      </c>
      <c r="P101"/>
      <c r="Q101"/>
      <c r="R101" s="103">
        <f>SUM(R99:R100)</f>
        <v>1783036.5599999998</v>
      </c>
      <c r="S101" s="59"/>
      <c r="T101"/>
      <c r="U101" s="103">
        <f>SUM(U99:U100)</f>
        <v>1783036.5599999998</v>
      </c>
      <c r="V101" s="59"/>
      <c r="W101" s="59"/>
      <c r="X101" s="146">
        <f>T101</f>
        <v>0</v>
      </c>
      <c r="Y101" s="103">
        <f>SUM(Y99:Y100)</f>
        <v>3410351.304</v>
      </c>
    </row>
    <row r="102" spans="1:25">
      <c r="A102" s="100">
        <v>41030</v>
      </c>
      <c r="B102" s="100">
        <f>'UNSG - ALL RATES'!$B$25</f>
        <v>46082</v>
      </c>
      <c r="C102" s="101" t="str">
        <f t="shared" si="32"/>
        <v>5756</v>
      </c>
      <c r="D102" s="104" t="str">
        <f t="shared" si="37"/>
        <v>GTILVS</v>
      </c>
      <c r="E102" s="100" t="str">
        <f t="shared" ref="E102:E107" si="39">IF(D102="","",A102&amp;$D102)</f>
        <v>41030GTILVS</v>
      </c>
      <c r="F102" s="100" t="str">
        <f t="shared" ref="F102:F107" si="40">IF(E102="","",B102&amp;$D102)</f>
        <v>46082GTILVS</v>
      </c>
      <c r="G102" s="100" t="str">
        <f>IFERROR(IF(VLOOKUP($O102,Lookup!$G$1:$I$182,2,0)="","",VLOOKUP($O102,Lookup!$G$1:$I$182,2,0)),"")</f>
        <v/>
      </c>
      <c r="H102" s="100" t="str">
        <f>IFERROR(IF(VLOOKUP($O102,Lookup!$G$1:$I$182,3,0)="","",VLOOKUP($O102,Lookup!$G$1:$I$182,3,0)),"")</f>
        <v/>
      </c>
      <c r="I102" s="100" t="str">
        <f>IFERROR(IF(VLOOKUP(O102,Lookup!$A$1:$B$200,2,0)="","",VLOOKUP(O102,Lookup!$A$1:$B$200,2,0)),"")</f>
        <v/>
      </c>
      <c r="J102" s="100" t="str">
        <f t="shared" ref="J102:J107" si="41">C102&amp;D102&amp;G102</f>
        <v>5756GTILVS</v>
      </c>
      <c r="K102" s="100" t="str">
        <f t="shared" ref="K102:K108" si="42">C102&amp;D102&amp;H102</f>
        <v>5756GTILVS</v>
      </c>
      <c r="L102" s="100" t="str">
        <f>D102&amp;" "&amp;IFERROR(IF(VLOOKUP(O102,Lookup!$D$1:$E$201,2,0)="","",VLOOKUP(O102,Lookup!$D$1:$E$201,2,0)),"")</f>
        <v>GTILVS Sales (T)</v>
      </c>
      <c r="O102" s="58" t="s">
        <v>614</v>
      </c>
      <c r="Q102" s="146">
        <f>Q100</f>
        <v>14114075</v>
      </c>
      <c r="R102" s="150"/>
      <c r="S102" s="59"/>
      <c r="T102" s="146">
        <f>T100</f>
        <v>14114075</v>
      </c>
      <c r="U102" s="146"/>
      <c r="X102" s="146">
        <f>X100</f>
        <v>20564752</v>
      </c>
      <c r="Y102" s="103"/>
    </row>
    <row r="103" spans="1:25">
      <c r="A103" s="100">
        <v>41030</v>
      </c>
      <c r="B103" s="100">
        <f>'UNSG - ALL RATES'!$B$25</f>
        <v>46082</v>
      </c>
      <c r="C103" s="101" t="str">
        <f t="shared" si="32"/>
        <v>5756</v>
      </c>
      <c r="D103" s="104" t="str">
        <f t="shared" si="37"/>
        <v>GTILVS</v>
      </c>
      <c r="E103" s="100" t="str">
        <f t="shared" si="39"/>
        <v>41030GTILVS</v>
      </c>
      <c r="F103" s="100" t="str">
        <f t="shared" si="40"/>
        <v>46082GTILVS</v>
      </c>
      <c r="G103" s="100" t="str">
        <f>IFERROR(IF(VLOOKUP($O103,Lookup!$G$1:$I$182,2,0)="","",VLOOKUP($O103,Lookup!$G$1:$I$182,2,0)),"")</f>
        <v/>
      </c>
      <c r="H103" s="100" t="str">
        <f>IFERROR(IF(VLOOKUP($O103,Lookup!$G$1:$I$182,3,0)="","",VLOOKUP($O103,Lookup!$G$1:$I$182,3,0)),"")</f>
        <v/>
      </c>
      <c r="I103" s="100" t="str">
        <f>IFERROR(IF(VLOOKUP(O103,Lookup!$A$1:$B$200,2,0)="","",VLOOKUP(O103,Lookup!$A$1:$B$200,2,0)),"")</f>
        <v/>
      </c>
      <c r="J103" s="100" t="str">
        <f t="shared" si="41"/>
        <v>5756GTILVS</v>
      </c>
      <c r="K103" s="100" t="str">
        <f t="shared" si="42"/>
        <v>5756GTILVS</v>
      </c>
      <c r="L103" s="100" t="str">
        <f>D103&amp;" "&amp;IFERROR(IF(VLOOKUP(O103,Lookup!$D$1:$E$201,2,0)="","",VLOOKUP(O103,Lookup!$D$1:$E$201,2,0)),"")</f>
        <v xml:space="preserve">GTILVS </v>
      </c>
      <c r="O103" s="58"/>
      <c r="P103" s="102"/>
      <c r="Y103" s="103"/>
    </row>
    <row r="104" spans="1:25" ht="15.75" thickBot="1">
      <c r="A104" s="100">
        <v>41030</v>
      </c>
      <c r="B104" s="100">
        <f>'UNSG - ALL RATES'!$B$25</f>
        <v>46082</v>
      </c>
      <c r="C104" s="101" t="str">
        <f t="shared" si="32"/>
        <v>5756</v>
      </c>
      <c r="D104" s="104" t="str">
        <f t="shared" si="37"/>
        <v>GTPLVS</v>
      </c>
      <c r="E104" s="100" t="str">
        <f t="shared" si="39"/>
        <v>41030GTPLVS</v>
      </c>
      <c r="F104" s="100" t="str">
        <f t="shared" si="40"/>
        <v>46082GTPLVS</v>
      </c>
      <c r="G104" s="100" t="str">
        <f>IFERROR(IF(VLOOKUP($O104,Lookup!$G$1:$I$182,2,0)="","",VLOOKUP($O104,Lookup!$G$1:$I$182,2,0)),"")</f>
        <v/>
      </c>
      <c r="H104" s="100" t="str">
        <f>IFERROR(IF(VLOOKUP($O104,Lookup!$G$1:$I$182,3,0)="","",VLOOKUP($O104,Lookup!$G$1:$I$182,3,0)),"")</f>
        <v/>
      </c>
      <c r="I104" s="100" t="str">
        <f>IFERROR(IF(VLOOKUP(O104,Lookup!$A$1:$B$200,2,0)="","",VLOOKUP(O104,Lookup!$A$1:$B$200,2,0)),"")</f>
        <v/>
      </c>
      <c r="J104" s="100" t="str">
        <f t="shared" si="41"/>
        <v>5756GTPLVS</v>
      </c>
      <c r="K104" s="100" t="str">
        <f t="shared" si="42"/>
        <v>5756GTPLVS</v>
      </c>
      <c r="L104" s="100" t="str">
        <f>D104&amp;" "&amp;IFERROR(IF(VLOOKUP(O104,Lookup!$D$1:$E$201,2,0)="","",VLOOKUP(O104,Lookup!$D$1:$E$201,2,0)),"")</f>
        <v xml:space="preserve">GTPLVS </v>
      </c>
      <c r="M104" s="101" t="str">
        <f>VLOOKUP(N104,'UNSG - ALL RATES'!$E$25:$F$41,2,0)</f>
        <v>5756</v>
      </c>
      <c r="N104" s="179" t="str">
        <f>'UNSG - ALL RATES'!F20</f>
        <v>GTPLVS</v>
      </c>
      <c r="O104" s="58" t="str">
        <f>VLOOKUP($N104,'UNSG - ALL RATES'!$F$2:$G$383,2,0)</f>
        <v>Transportation LV Public Authority</v>
      </c>
      <c r="S104" s="59"/>
      <c r="Y104" s="103"/>
    </row>
    <row r="105" spans="1:25">
      <c r="A105" s="100">
        <v>41030</v>
      </c>
      <c r="B105" s="100">
        <f>'UNSG - ALL RATES'!$B$25</f>
        <v>46082</v>
      </c>
      <c r="C105" s="101" t="str">
        <f t="shared" si="32"/>
        <v>5756</v>
      </c>
      <c r="D105" s="104" t="str">
        <f t="shared" si="37"/>
        <v>GTPLVS</v>
      </c>
      <c r="E105" s="100" t="str">
        <f t="shared" si="39"/>
        <v>41030GTPLVS</v>
      </c>
      <c r="F105" s="100" t="str">
        <f t="shared" si="40"/>
        <v>46082GTPLVS</v>
      </c>
      <c r="G105" s="100" t="str">
        <f>IFERROR(IF(VLOOKUP($O105,Lookup!$G$1:$I$182,2,0)="","",VLOOKUP($O105,Lookup!$G$1:$I$182,2,0)),"")</f>
        <v>total_bill_count</v>
      </c>
      <c r="H105" s="100" t="str">
        <f>IFERROR(IF(VLOOKUP($O105,Lookup!$G$1:$I$182,3,0)="","",VLOOKUP($O105,Lookup!$G$1:$I$182,3,0)),"")</f>
        <v>total_adjusted_bill_count</v>
      </c>
      <c r="I105" s="100" t="str">
        <f>IFERROR(IF(VLOOKUP(O105,Lookup!$A$1:$B$200,2,0)="","",VLOOKUP(O105,Lookup!$A$1:$B$200,2,0)),"")</f>
        <v>BASIC_SERVICE_CHARGE</v>
      </c>
      <c r="J105" s="100" t="str">
        <f t="shared" si="41"/>
        <v>5756GTPLVStotal_bill_count</v>
      </c>
      <c r="K105" s="100" t="str">
        <f t="shared" si="42"/>
        <v>5756GTPLVStotal_adjusted_bill_count</v>
      </c>
      <c r="L105" s="100" t="str">
        <f>D105&amp;" "&amp;IFERROR(IF(VLOOKUP(O105,Lookup!$D$1:$E$201,2,0)="","",VLOOKUP(O105,Lookup!$D$1:$E$201,2,0)),"")</f>
        <v>GTPLVS Basic Service Charges</v>
      </c>
      <c r="O105" s="57" t="s">
        <v>607</v>
      </c>
      <c r="P105" s="59">
        <f>VLOOKUP(E105,'UNSG - ALL RATES'!$A$2:$CG$83,MATCH($I105,'UNSG - ALL RATES'!$A$3:$CG$3,0),0)</f>
        <v>225</v>
      </c>
      <c r="Q105" s="146">
        <f>VLOOKUP($C105&amp;$D105,'[4]Billed Annual Billing Det'!$A$2:$N$16,4,0)</f>
        <v>84</v>
      </c>
      <c r="R105" s="103">
        <f>$P105*Q105</f>
        <v>18900</v>
      </c>
      <c r="S105" s="59"/>
      <c r="T105" s="146">
        <f>VLOOKUP($C105&amp;$D105,'[4]Adjusted Annual Billing Det'!$A$2:$L$16,4,0)</f>
        <v>84</v>
      </c>
      <c r="U105" s="103">
        <f>$P105*T105</f>
        <v>18900</v>
      </c>
      <c r="V105" s="59"/>
      <c r="W105" s="746" t="s">
        <v>640</v>
      </c>
      <c r="X105" s="747"/>
      <c r="Y105" s="748"/>
    </row>
    <row r="106" spans="1:25">
      <c r="A106" s="100">
        <v>41030</v>
      </c>
      <c r="B106" s="100">
        <f>'UNSG - ALL RATES'!$B$25</f>
        <v>46082</v>
      </c>
      <c r="C106" s="101" t="str">
        <f t="shared" si="32"/>
        <v>5756</v>
      </c>
      <c r="D106" s="104" t="str">
        <f t="shared" si="37"/>
        <v>GTPLVS</v>
      </c>
      <c r="E106" s="100" t="str">
        <f t="shared" si="39"/>
        <v>41030GTPLVS</v>
      </c>
      <c r="F106" s="100" t="str">
        <f t="shared" si="40"/>
        <v>46082GTPLVS</v>
      </c>
      <c r="G106" s="100" t="str">
        <f>IFERROR(IF(VLOOKUP($O106,Lookup!$G$1:$I$182,2,0)="","",VLOOKUP($O106,Lookup!$G$1:$I$182,2,0)),"")</f>
        <v>total_billed_therms</v>
      </c>
      <c r="H106" s="100" t="str">
        <f>IFERROR(IF(VLOOKUP($O106,Lookup!$G$1:$I$182,3,0)="","",VLOOKUP($O106,Lookup!$G$1:$I$182,3,0)),"")</f>
        <v>total_adjusted_therms</v>
      </c>
      <c r="I106" s="100" t="str">
        <f>IFERROR(IF(VLOOKUP(O106,Lookup!$A$1:$B$200,2,0)="","",VLOOKUP(O106,Lookup!$A$1:$B$200,2,0)),"")</f>
        <v>THERM_DELIVERY_TIER1</v>
      </c>
      <c r="J106" s="100" t="str">
        <f t="shared" si="41"/>
        <v>5756GTPLVStotal_billed_therms</v>
      </c>
      <c r="K106" s="100" t="str">
        <f t="shared" si="42"/>
        <v>5756GTPLVStotal_adjusted_therms</v>
      </c>
      <c r="L106" s="100" t="str">
        <f>D106&amp;" "&amp;IFERROR(IF(VLOOKUP(O106,Lookup!$D$1:$E$201,2,0)="","",VLOOKUP(O106,Lookup!$D$1:$E$201,2,0)),"")</f>
        <v xml:space="preserve">GTPLVS </v>
      </c>
      <c r="O106" s="57" t="s">
        <v>609</v>
      </c>
      <c r="P106" s="194">
        <f>VLOOKUP(E106,'UNSG - ALL RATES'!$A$2:$CG$83,MATCH($I106,'UNSG - ALL RATES'!$A$3:$CG$3,0),0)</f>
        <v>0.1527</v>
      </c>
      <c r="Q106" s="146">
        <f>VLOOKUP($C106&amp;$D106,'[4]Billed Annual Billing Det'!$A$2:$N$16,5,0)</f>
        <v>4904946</v>
      </c>
      <c r="R106" s="103">
        <f>$P106*Q106</f>
        <v>748985.25419999997</v>
      </c>
      <c r="S106" s="59"/>
      <c r="T106" s="146">
        <f>VLOOKUP($C106&amp;$D106,'[4]Adjusted Annual Billing Det'!$A$2:$L$16,5,0)</f>
        <v>4904946</v>
      </c>
      <c r="U106" s="103">
        <f>$P106*T106</f>
        <v>748985.25419999997</v>
      </c>
      <c r="V106" s="59"/>
      <c r="W106" s="749"/>
      <c r="X106" s="750"/>
      <c r="Y106" s="751"/>
    </row>
    <row r="107" spans="1:25">
      <c r="A107" s="100">
        <v>41030</v>
      </c>
      <c r="B107" s="100">
        <f>'UNSG - ALL RATES'!$B$25</f>
        <v>46082</v>
      </c>
      <c r="C107" s="101" t="str">
        <f t="shared" ref="C107" si="43">M104</f>
        <v>5756</v>
      </c>
      <c r="D107" s="104" t="str">
        <f t="shared" si="37"/>
        <v>GTPLVS</v>
      </c>
      <c r="E107" s="100" t="str">
        <f t="shared" si="39"/>
        <v>41030GTPLVS</v>
      </c>
      <c r="F107" s="100" t="str">
        <f t="shared" si="40"/>
        <v>46082GTPLVS</v>
      </c>
      <c r="G107" s="100" t="str">
        <f>IFERROR(IF(VLOOKUP($O107,Lookup!$G$1:$I$182,2,0)="","",VLOOKUP($O107,Lookup!$G$1:$I$182,2,0)),"")</f>
        <v/>
      </c>
      <c r="H107" s="100" t="str">
        <f>IFERROR(IF(VLOOKUP($O107,Lookup!$G$1:$I$182,3,0)="","",VLOOKUP($O107,Lookup!$G$1:$I$182,3,0)),"")</f>
        <v/>
      </c>
      <c r="I107" s="100" t="str">
        <f>IFERROR(IF(VLOOKUP(O107,Lookup!$A$1:$B$200,2,0)="","",VLOOKUP(O107,Lookup!$A$1:$B$200,2,0)),"")</f>
        <v/>
      </c>
      <c r="J107" s="100" t="str">
        <f t="shared" si="41"/>
        <v>5756GTPLVS</v>
      </c>
      <c r="K107" s="100" t="str">
        <f t="shared" si="42"/>
        <v>5756GTPLVS</v>
      </c>
      <c r="L107" s="100" t="str">
        <f>D107&amp;" "&amp;IFERROR(IF(VLOOKUP(O107,Lookup!$D$1:$E$201,2,0)="","",VLOOKUP(O107,Lookup!$D$1:$E$201,2,0)),"")</f>
        <v>GTPLVS Margin Revenues</v>
      </c>
      <c r="O107" s="66" t="s">
        <v>635</v>
      </c>
      <c r="P107"/>
      <c r="Q107"/>
      <c r="R107" s="103">
        <f>SUM(R105:R106)</f>
        <v>767885.25419999997</v>
      </c>
      <c r="S107" s="59"/>
      <c r="T107"/>
      <c r="U107" s="103">
        <f>SUM(U105:U106)</f>
        <v>767885.25419999997</v>
      </c>
      <c r="V107" s="59"/>
      <c r="W107" s="749"/>
      <c r="X107" s="750"/>
      <c r="Y107" s="751"/>
    </row>
    <row r="108" spans="1:25" ht="15.75" thickBot="1">
      <c r="A108" s="100">
        <v>41030</v>
      </c>
      <c r="B108" s="100">
        <f>'UNSG - ALL RATES'!$B$25</f>
        <v>46082</v>
      </c>
      <c r="C108" s="101" t="str">
        <f t="shared" ref="C108:C118" si="44">C107</f>
        <v>5756</v>
      </c>
      <c r="D108" s="104" t="str">
        <f>IF(N108="",D107,IF(N109&lt;&gt;D107,N108))</f>
        <v>GTPLVS</v>
      </c>
      <c r="E108" s="100" t="str">
        <f>IF(D108="","",A108&amp;$D108)</f>
        <v>41030GTPLVS</v>
      </c>
      <c r="F108" s="100" t="str">
        <f>IF(E108="","",B108&amp;$D108)</f>
        <v>46082GTPLVS</v>
      </c>
      <c r="G108" s="100" t="str">
        <f>IFERROR(IF(VLOOKUP($O108,Lookup!$G$1:$I$182,2,0)="","",VLOOKUP($O108,Lookup!$G$1:$I$182,2,0)),"")</f>
        <v/>
      </c>
      <c r="H108" s="100" t="str">
        <f>IFERROR(IF(VLOOKUP($O108,Lookup!$G$1:$I$182,3,0)="","",VLOOKUP($O108,Lookup!$G$1:$I$182,3,0)),"")</f>
        <v/>
      </c>
      <c r="I108" s="100" t="str">
        <f>IFERROR(IF(VLOOKUP(O108,Lookup!$A$1:$B$200,2,0)="","",VLOOKUP(O108,Lookup!$A$1:$B$200,2,0)),"")</f>
        <v/>
      </c>
      <c r="J108" s="100" t="str">
        <f>C108&amp;D108&amp;G108</f>
        <v>5756GTPLVS</v>
      </c>
      <c r="K108" s="100" t="str">
        <f t="shared" si="42"/>
        <v>5756GTPLVS</v>
      </c>
      <c r="L108" s="100" t="str">
        <f>D108&amp;" "&amp;IFERROR(IF(VLOOKUP(O108,Lookup!$D$1:$E$201,2,0)="","",VLOOKUP(O108,Lookup!$D$1:$E$201,2,0)),"")</f>
        <v>GTPLVS Sales (T)</v>
      </c>
      <c r="O108" s="58" t="s">
        <v>614</v>
      </c>
      <c r="P108" s="102"/>
      <c r="Q108" s="146">
        <f>Q106</f>
        <v>4904946</v>
      </c>
      <c r="R108" s="150"/>
      <c r="S108" s="59"/>
      <c r="T108" s="146">
        <f>T106</f>
        <v>4904946</v>
      </c>
      <c r="U108" s="146"/>
      <c r="V108" s="102"/>
      <c r="W108" s="752"/>
      <c r="X108" s="753"/>
      <c r="Y108" s="754"/>
    </row>
    <row r="109" spans="1:25">
      <c r="A109" s="100">
        <v>41030</v>
      </c>
      <c r="B109" s="100">
        <f>'UNSG - ALL RATES'!$B$25</f>
        <v>46082</v>
      </c>
      <c r="C109" s="101" t="str">
        <f t="shared" si="44"/>
        <v>5756</v>
      </c>
      <c r="D109" s="104" t="str">
        <f t="shared" si="37"/>
        <v>GTNILVS</v>
      </c>
      <c r="E109" s="100" t="str">
        <f t="shared" ref="E109:F109" si="45">IF(D109="","",A109&amp;$D109)</f>
        <v>41030GTNILVS</v>
      </c>
      <c r="F109" s="100" t="str">
        <f t="shared" si="45"/>
        <v>46082GTNILVS</v>
      </c>
      <c r="G109"/>
      <c r="H109"/>
      <c r="I109"/>
      <c r="J109" s="100" t="str">
        <f t="shared" ref="J109" si="46">C109&amp;D109&amp;G109</f>
        <v>5756GTNILVS</v>
      </c>
      <c r="K109" s="100" t="str">
        <f t="shared" ref="K109" si="47">C109&amp;D109&amp;H109</f>
        <v>5756GTNILVS</v>
      </c>
      <c r="L109"/>
      <c r="M109"/>
      <c r="N109" s="179" t="str">
        <f>'UNSG - ALL RATES'!F21</f>
        <v>GTNILVS</v>
      </c>
      <c r="O109" s="58" t="str">
        <f>VLOOKUP($N109,'UNSG - ALL RATES'!$F$2:$G$383,2,0)</f>
        <v>Transportation NSP LV Industrial</v>
      </c>
      <c r="P109"/>
      <c r="R109" s="146"/>
      <c r="S109" s="146"/>
      <c r="U109"/>
      <c r="V109"/>
      <c r="W109" s="59"/>
      <c r="X109"/>
      <c r="Y109" s="187"/>
    </row>
    <row r="110" spans="1:25">
      <c r="A110" s="100">
        <v>41030</v>
      </c>
      <c r="B110" s="100">
        <f>'UNSG - ALL RATES'!$B$25</f>
        <v>46082</v>
      </c>
      <c r="C110" s="101" t="str">
        <f>C109</f>
        <v>5756</v>
      </c>
      <c r="D110" s="104" t="str">
        <f>IF(N110="",D109,IF(N111&lt;&gt;D109,N110))</f>
        <v>GTNILVS</v>
      </c>
      <c r="E110" s="100" t="str">
        <f t="shared" ref="E110:F110" si="48">IF(D110="","",A110&amp;$D110)</f>
        <v>41030GTNILVS</v>
      </c>
      <c r="F110" s="100" t="str">
        <f t="shared" si="48"/>
        <v>46082GTNILVS</v>
      </c>
      <c r="G110" s="100" t="str">
        <f>IFERROR(IF(VLOOKUP($O110,Lookup!$G$1:$I$182,2,0)="","",VLOOKUP($O110,Lookup!$G$1:$I$182,2,0)),"")</f>
        <v>total_bill_count</v>
      </c>
      <c r="H110" s="100" t="str">
        <f>IFERROR(IF(VLOOKUP($O110,Lookup!$G$1:$I$182,3,0)="","",VLOOKUP($O110,Lookup!$G$1:$I$182,3,0)),"")</f>
        <v>total_adjusted_bill_count</v>
      </c>
      <c r="I110" s="100" t="str">
        <f>IFERROR(IF(VLOOKUP(O110,Lookup!$A$1:$B$200,2,0)="","",VLOOKUP(O110,Lookup!$A$1:$B$200,2,0)),"")</f>
        <v>BASIC_SERVICE_CHARGE</v>
      </c>
      <c r="J110" s="100" t="str">
        <f t="shared" ref="J110" si="49">C110&amp;D110&amp;G110</f>
        <v>5756GTNILVStotal_bill_count</v>
      </c>
      <c r="K110" s="100" t="str">
        <f t="shared" ref="K110:K114" si="50">C110&amp;D110&amp;H110</f>
        <v>5756GTNILVStotal_adjusted_bill_count</v>
      </c>
      <c r="L110" s="100" t="str">
        <f>D110&amp;" "&amp;IFERROR(IF(VLOOKUP(O110,Lookup!$D$1:$E$201,2,0)="","",VLOOKUP(O110,Lookup!$D$1:$E$201,2,0)),"")</f>
        <v>GTNILVS Basic Service Charges</v>
      </c>
      <c r="M110"/>
      <c r="N110"/>
      <c r="O110" s="57" t="s">
        <v>607</v>
      </c>
      <c r="P110" s="194">
        <f>VLOOKUP(E110,'UNSG - ALL RATES'!$A$2:$CG$83,MATCH($I110,'UNSG - ALL RATES'!$A$3:$CG$3,0),0)</f>
        <v>225</v>
      </c>
      <c r="Q110" s="146">
        <f>VLOOKUP($C110&amp;$D110,'[4]Billed Annual Billing Det'!$A$2:$N$18,4,0)</f>
        <v>96</v>
      </c>
      <c r="R110" s="103">
        <f>$P110*Q110</f>
        <v>21600</v>
      </c>
      <c r="S110" s="146"/>
      <c r="T110" s="146">
        <f>VLOOKUP($C110&amp;$D110,'[4]Adjusted Annual Billing Det'!$A$2:$L$18,4,0)</f>
        <v>96</v>
      </c>
      <c r="U110" s="103">
        <f>$P110*T110</f>
        <v>21600</v>
      </c>
      <c r="V110"/>
      <c r="W110" s="59">
        <f>VLOOKUP(F110,'UNSG - ALL RATES'!$A$2:$CG$83,MATCH($I110,'UNSG - ALL RATES'!$A$3:$CG$3,0),0)</f>
        <v>285.73</v>
      </c>
      <c r="X110" s="295">
        <f>VLOOKUP($C110&amp;$D110,'[4]Proposed Annual Billing Det'!$A$2:$N$16,4,0)</f>
        <v>168</v>
      </c>
      <c r="Y110" s="150">
        <f>$W110*X110</f>
        <v>48002.64</v>
      </c>
    </row>
    <row r="111" spans="1:25">
      <c r="A111" s="100">
        <v>41030</v>
      </c>
      <c r="B111" s="100">
        <f>'UNSG - ALL RATES'!$B$25</f>
        <v>46082</v>
      </c>
      <c r="C111" s="101" t="str">
        <f t="shared" si="44"/>
        <v>5756</v>
      </c>
      <c r="D111" s="104" t="str">
        <f t="shared" ref="D111" si="51">IF(N111="",D110,IF(N112&lt;&gt;D110,N111))</f>
        <v>GTNILVS</v>
      </c>
      <c r="E111" s="100" t="str">
        <f t="shared" ref="E111" si="52">IF(D111="","",A111&amp;$D111)</f>
        <v>41030GTNILVS</v>
      </c>
      <c r="F111" s="100" t="str">
        <f t="shared" ref="F111" si="53">IF(E111="","",B111&amp;$D111)</f>
        <v>46082GTNILVS</v>
      </c>
      <c r="G111" s="100" t="str">
        <f>IFERROR(IF(VLOOKUP($O111,Lookup!$G$1:$I$182,2,0)="","",VLOOKUP($O111,Lookup!$G$1:$I$182,2,0)),"")</f>
        <v>total_billed_therms</v>
      </c>
      <c r="H111" s="100" t="str">
        <f>IFERROR(IF(VLOOKUP($O111,Lookup!$G$1:$I$182,3,0)="","",VLOOKUP($O111,Lookup!$G$1:$I$182,3,0)),"")</f>
        <v>total_adjusted_therms</v>
      </c>
      <c r="I111" s="100" t="str">
        <f>IFERROR(IF(VLOOKUP(O111,Lookup!$A$1:$B$200,2,0)="","",VLOOKUP(O111,Lookup!$A$1:$B$200,2,0)),"")</f>
        <v>THERM_DELIVERY_TIER1</v>
      </c>
      <c r="J111" s="100" t="str">
        <f>C111&amp;D111&amp;G111</f>
        <v>5756GTNILVStotal_billed_therms</v>
      </c>
      <c r="K111" s="100" t="str">
        <f t="shared" si="50"/>
        <v>5756GTNILVStotal_adjusted_therms</v>
      </c>
      <c r="L111" s="100" t="str">
        <f>D111&amp;" "&amp;IFERROR(IF(VLOOKUP(O111,Lookup!$D$1:$E$201,2,0)="","",VLOOKUP(O111,Lookup!$D$1:$E$201,2,0)),"")</f>
        <v xml:space="preserve">GTNILVS </v>
      </c>
      <c r="M111"/>
      <c r="N111"/>
      <c r="O111" s="57" t="s">
        <v>609</v>
      </c>
      <c r="P111" s="194">
        <f>VLOOKUP(E111,'UNSG - ALL RATES'!$A$2:$CG$83,MATCH($I111,'UNSG - ALL RATES'!$A$3:$CG$3,0),0)</f>
        <v>0.12479999999999999</v>
      </c>
      <c r="Q111" s="146">
        <f>VLOOKUP($C111&amp;$D111,'[4]Billed Annual Billing Det'!$A$2:$N$18,5,0)</f>
        <v>13532527</v>
      </c>
      <c r="R111" s="103">
        <f>$P111*Q111</f>
        <v>1688859.3695999999</v>
      </c>
      <c r="S111" s="146"/>
      <c r="T111" s="146">
        <f>VLOOKUP($C111&amp;$D111,'[4]Adjusted Annual Billing Det'!$A$2:$L$18,5,0)</f>
        <v>13532527</v>
      </c>
      <c r="U111" s="103">
        <f>$P111*T111</f>
        <v>1688859.3695999999</v>
      </c>
      <c r="V111"/>
      <c r="W111" s="194">
        <f>VLOOKUP(F111,'UNSG - ALL RATES'!$A$2:$CG$83,MATCH($I111,'UNSG - ALL RATES'!$A$3:$CG$3,0),0)</f>
        <v>0.16200000000000001</v>
      </c>
      <c r="X111" s="295">
        <f>VLOOKUP($C111&amp;$D111,'[4]Proposed Annual Billing Det'!$A$2:$N$16,5,0)</f>
        <v>14970375</v>
      </c>
      <c r="Y111" s="150">
        <f>$W111*X111</f>
        <v>2425200.75</v>
      </c>
    </row>
    <row r="112" spans="1:25">
      <c r="A112" s="100">
        <v>41030</v>
      </c>
      <c r="B112" s="100">
        <f>'UNSG - ALL RATES'!$B$25</f>
        <v>46082</v>
      </c>
      <c r="C112" s="101" t="str">
        <f t="shared" si="44"/>
        <v>5756</v>
      </c>
      <c r="D112" s="100" t="str">
        <f t="shared" ref="D112" si="54">IF(N112="",D111,IF(N113&lt;&gt;D111,N112))</f>
        <v>GTNILVS</v>
      </c>
      <c r="E112" s="100" t="str">
        <f t="shared" ref="E112:E116" si="55">IF(D112="","",A112&amp;$D112)</f>
        <v>41030GTNILVS</v>
      </c>
      <c r="F112" s="100" t="str">
        <f t="shared" ref="F112:F116" si="56">IF(E112="","",B112&amp;$D112)</f>
        <v>46082GTNILVS</v>
      </c>
      <c r="G112" t="str">
        <f>IFERROR(IF(VLOOKUP($O112,Lookup!$G$1:$I$182,2,0)="","",VLOOKUP($O112,Lookup!$G$1:$I$182,2,0)),"")</f>
        <v/>
      </c>
      <c r="H112" t="str">
        <f>IFERROR(IF(VLOOKUP($O112,Lookup!$G$1:$I$182,3,0)="","",VLOOKUP($O112,Lookup!$G$1:$I$182,3,0)),"")</f>
        <v/>
      </c>
      <c r="I112" t="str">
        <f>IFERROR(IF(VLOOKUP(O112,Lookup!$A$1:$B$200,2,0)="","",VLOOKUP(O112,Lookup!$A$1:$B$200,2,0)),"")</f>
        <v/>
      </c>
      <c r="J112" s="100" t="str">
        <f>C112&amp;D112&amp;G112</f>
        <v>5756GTNILVS</v>
      </c>
      <c r="K112" s="100" t="str">
        <f t="shared" si="50"/>
        <v>5756GTNILVS</v>
      </c>
      <c r="L112" s="100" t="str">
        <f>D112&amp;" "&amp;IFERROR(IF(VLOOKUP(O112,Lookup!$D$1:$E$201,2,0)="","",VLOOKUP(O112,Lookup!$D$1:$E$201,2,0)),"")</f>
        <v>GTNILVS Margin Revenues</v>
      </c>
      <c r="M112"/>
      <c r="N112"/>
      <c r="O112" s="66" t="s">
        <v>635</v>
      </c>
      <c r="P112"/>
      <c r="R112" s="103">
        <f>SUM(R110:R111)</f>
        <v>1710459.3695999999</v>
      </c>
      <c r="S112" s="146"/>
      <c r="U112" s="103">
        <f>SUM(U110:U111)</f>
        <v>1710459.3695999999</v>
      </c>
      <c r="V112"/>
      <c r="W112"/>
      <c r="X112" s="146">
        <f>T112</f>
        <v>0</v>
      </c>
      <c r="Y112" s="103">
        <f>SUM(Y110:Y111)</f>
        <v>2473203.39</v>
      </c>
    </row>
    <row r="113" spans="1:25">
      <c r="A113" s="100">
        <v>41030</v>
      </c>
      <c r="B113" s="100">
        <f>'UNSG - ALL RATES'!$B$25</f>
        <v>46082</v>
      </c>
      <c r="C113" s="101" t="str">
        <f t="shared" si="44"/>
        <v>5756</v>
      </c>
      <c r="D113" s="100" t="str">
        <f>IF(N113="",D112,IF(N114&lt;&gt;D112,N113))</f>
        <v>GTNILVS</v>
      </c>
      <c r="E113" s="100" t="str">
        <f t="shared" si="55"/>
        <v>41030GTNILVS</v>
      </c>
      <c r="F113" s="100" t="str">
        <f t="shared" si="56"/>
        <v>46082GTNILVS</v>
      </c>
      <c r="G113" t="str">
        <f>IFERROR(IF(VLOOKUP($O113,Lookup!$G$1:$I$182,2,0)="","",VLOOKUP($O113,Lookup!$G$1:$I$182,2,0)),"")</f>
        <v/>
      </c>
      <c r="H113" t="str">
        <f>IFERROR(IF(VLOOKUP($O113,Lookup!$G$1:$I$182,3,0)="","",VLOOKUP($O113,Lookup!$G$1:$I$182,3,0)),"")</f>
        <v/>
      </c>
      <c r="I113" t="str">
        <f>IFERROR(IF(VLOOKUP(O113,Lookup!$A$1:$B$200,2,0)="","",VLOOKUP(O113,Lookup!$A$1:$B$200,2,0)),"")</f>
        <v/>
      </c>
      <c r="J113" s="100" t="str">
        <f>C113&amp;D113&amp;G113</f>
        <v>5756GTNILVS</v>
      </c>
      <c r="K113" s="100" t="str">
        <f t="shared" si="50"/>
        <v>5756GTNILVS</v>
      </c>
      <c r="L113" s="100" t="str">
        <f>D113&amp;" "&amp;IFERROR(IF(VLOOKUP(O113,Lookup!$D$1:$E$201,2,0)="","",VLOOKUP(O113,Lookup!$D$1:$E$201,2,0)),"")</f>
        <v>GTNILVS Sales (T)</v>
      </c>
      <c r="M113"/>
      <c r="N113"/>
      <c r="O113" s="58" t="s">
        <v>614</v>
      </c>
      <c r="P113"/>
      <c r="Q113" s="146">
        <f>Q111</f>
        <v>13532527</v>
      </c>
      <c r="R113" s="146"/>
      <c r="S113" s="146"/>
      <c r="T113" s="146">
        <f>T111</f>
        <v>13532527</v>
      </c>
      <c r="V113"/>
      <c r="W113"/>
      <c r="X113" s="146">
        <f>X111</f>
        <v>14970375</v>
      </c>
      <c r="Y113" s="150"/>
    </row>
    <row r="114" spans="1:25" ht="15.75" thickBot="1">
      <c r="A114" s="100">
        <v>41030</v>
      </c>
      <c r="B114" s="100">
        <f>'UNSG - ALL RATES'!$B$25</f>
        <v>46082</v>
      </c>
      <c r="C114" s="101" t="str">
        <f t="shared" si="44"/>
        <v>5756</v>
      </c>
      <c r="D114" s="104" t="str">
        <f>IF(N114="",D113,IF(N115&lt;&gt;D113,N114))</f>
        <v>GTNGLVS</v>
      </c>
      <c r="E114" s="100" t="str">
        <f t="shared" si="55"/>
        <v>41030GTNGLVS</v>
      </c>
      <c r="F114" s="100" t="str">
        <f t="shared" si="56"/>
        <v>46082GTNGLVS</v>
      </c>
      <c r="G114"/>
      <c r="H114"/>
      <c r="I114"/>
      <c r="J114" s="100" t="str">
        <f t="shared" ref="J114" si="57">C114&amp;D114&amp;G114</f>
        <v>5756GTNGLVS</v>
      </c>
      <c r="K114" s="100" t="str">
        <f t="shared" si="50"/>
        <v>5756GTNGLVS</v>
      </c>
      <c r="L114"/>
      <c r="M114"/>
      <c r="N114" s="179" t="s">
        <v>546</v>
      </c>
      <c r="O114" s="58" t="str">
        <f>VLOOKUP($N114,'UNSG - ALL RATES'!$F$2:$G$383,2,0)</f>
        <v>Transportation NSP LV General Service</v>
      </c>
      <c r="P114"/>
      <c r="R114" s="146"/>
      <c r="S114" s="146"/>
      <c r="U114"/>
      <c r="V114"/>
      <c r="W114" s="59"/>
      <c r="X114"/>
      <c r="Y114" s="187"/>
    </row>
    <row r="115" spans="1:25">
      <c r="A115" s="100">
        <v>41030</v>
      </c>
      <c r="B115" s="100">
        <f>'UNSG - ALL RATES'!$B$25</f>
        <v>46082</v>
      </c>
      <c r="C115" s="101" t="str">
        <f>C114</f>
        <v>5756</v>
      </c>
      <c r="D115" s="104" t="str">
        <f>IF(N115="",D114,IF(N116&lt;&gt;D114,N115))</f>
        <v>GTNGLVS</v>
      </c>
      <c r="E115" s="100" t="str">
        <f t="shared" si="55"/>
        <v>41030GTNGLVS</v>
      </c>
      <c r="F115" s="100" t="str">
        <f t="shared" si="56"/>
        <v>46082GTNGLVS</v>
      </c>
      <c r="G115" s="100" t="str">
        <f>IFERROR(IF(VLOOKUP($O115,Lookup!$G$1:$I$182,2,0)="","",VLOOKUP($O115,Lookup!$G$1:$I$182,2,0)),"")</f>
        <v>total_bill_count</v>
      </c>
      <c r="H115" s="100" t="str">
        <f>IFERROR(IF(VLOOKUP($O115,Lookup!$G$1:$I$182,3,0)="","",VLOOKUP($O115,Lookup!$G$1:$I$182,3,0)),"")</f>
        <v>total_adjusted_bill_count</v>
      </c>
      <c r="I115" s="100" t="str">
        <f>IFERROR(IF(VLOOKUP(O115,Lookup!$A$1:$B$200,2,0)="","",VLOOKUP(O115,Lookup!$A$1:$B$200,2,0)),"")</f>
        <v>BASIC_SERVICE_CHARGE</v>
      </c>
      <c r="J115" s="100" t="str">
        <f t="shared" ref="J115" si="58">C115&amp;D115&amp;G115</f>
        <v>5756GTNGLVStotal_bill_count</v>
      </c>
      <c r="K115" s="100" t="str">
        <f t="shared" ref="K115:K118" si="59">C115&amp;D115&amp;H115</f>
        <v>5756GTNGLVStotal_adjusted_bill_count</v>
      </c>
      <c r="L115" s="100" t="str">
        <f>D115&amp;" "&amp;IFERROR(IF(VLOOKUP(O115,Lookup!$D$1:$E$201,2,0)="","",VLOOKUP(O115,Lookup!$D$1:$E$201,2,0)),"")</f>
        <v>GTNGLVS Basic Service Charges</v>
      </c>
      <c r="M115"/>
      <c r="N115"/>
      <c r="O115" s="57" t="s">
        <v>607</v>
      </c>
      <c r="P115" s="194">
        <f>VLOOKUP(E115,'UNSG - ALL RATES'!$A$2:$CG$83,MATCH($I115,'UNSG - ALL RATES'!$A$3:$CG$3,0),0)</f>
        <v>225</v>
      </c>
      <c r="Q115" s="146">
        <f>VLOOKUP($C115&amp;$D115,'[4]Billed Annual Billing Det'!$A$2:$N$18,4,0)</f>
        <v>72</v>
      </c>
      <c r="R115" s="103">
        <f>$P115*Q115</f>
        <v>16200</v>
      </c>
      <c r="S115" s="146"/>
      <c r="T115" s="146">
        <f>VLOOKUP($C115&amp;$D115,'[4]Adjusted Annual Billing Det'!$A$2:$L$18,4,0)</f>
        <v>72</v>
      </c>
      <c r="U115" s="103">
        <f>$P115*T115</f>
        <v>16200</v>
      </c>
      <c r="V115"/>
      <c r="W115" s="746" t="s">
        <v>641</v>
      </c>
      <c r="X115" s="747"/>
      <c r="Y115" s="748"/>
    </row>
    <row r="116" spans="1:25">
      <c r="A116" s="100">
        <v>41030</v>
      </c>
      <c r="B116" s="100">
        <f>'UNSG - ALL RATES'!$B$25</f>
        <v>46082</v>
      </c>
      <c r="C116" s="101" t="str">
        <f t="shared" si="44"/>
        <v>5756</v>
      </c>
      <c r="D116" s="104" t="str">
        <f t="shared" ref="D116:D118" si="60">IF(N116="",D115,IF(N117&lt;&gt;D115,N116))</f>
        <v>GTNGLVS</v>
      </c>
      <c r="E116" s="100" t="str">
        <f t="shared" si="55"/>
        <v>41030GTNGLVS</v>
      </c>
      <c r="F116" s="100" t="str">
        <f t="shared" si="56"/>
        <v>46082GTNGLVS</v>
      </c>
      <c r="G116" s="100" t="str">
        <f>IFERROR(IF(VLOOKUP($O116,Lookup!$G$1:$I$182,2,0)="","",VLOOKUP($O116,Lookup!$G$1:$I$182,2,0)),"")</f>
        <v>total_billed_therms</v>
      </c>
      <c r="H116" s="100" t="str">
        <f>IFERROR(IF(VLOOKUP($O116,Lookup!$G$1:$I$182,3,0)="","",VLOOKUP($O116,Lookup!$G$1:$I$182,3,0)),"")</f>
        <v>total_adjusted_therms</v>
      </c>
      <c r="I116" s="100" t="str">
        <f>IFERROR(IF(VLOOKUP(O116,Lookup!$A$1:$B$200,2,0)="","",VLOOKUP(O116,Lookup!$A$1:$B$200,2,0)),"")</f>
        <v>THERM_DELIVERY_TIER1</v>
      </c>
      <c r="J116" s="100" t="str">
        <f>C116&amp;D116&amp;G116</f>
        <v>5756GTNGLVStotal_billed_therms</v>
      </c>
      <c r="K116" s="100" t="str">
        <f t="shared" si="59"/>
        <v>5756GTNGLVStotal_adjusted_therms</v>
      </c>
      <c r="L116" s="100" t="str">
        <f>D116&amp;" "&amp;IFERROR(IF(VLOOKUP(O116,Lookup!$D$1:$E$201,2,0)="","",VLOOKUP(O116,Lookup!$D$1:$E$201,2,0)),"")</f>
        <v xml:space="preserve">GTNGLVS </v>
      </c>
      <c r="M116"/>
      <c r="N116"/>
      <c r="O116" s="57" t="s">
        <v>609</v>
      </c>
      <c r="P116" s="194">
        <f>VLOOKUP(E116,'UNSG - ALL RATES'!$A$2:$CG$83,MATCH($I116,'UNSG - ALL RATES'!$A$3:$CG$3,0),0)</f>
        <v>0.2104</v>
      </c>
      <c r="Q116" s="146">
        <f>VLOOKUP($C116&amp;$D116,'[4]Billed Annual Billing Det'!$A$2:$N$18,5,0)</f>
        <v>1437848</v>
      </c>
      <c r="R116" s="103">
        <f>$P116*Q116</f>
        <v>302523.21919999999</v>
      </c>
      <c r="S116" s="146"/>
      <c r="T116" s="146">
        <f>VLOOKUP($C116&amp;$D116,'[4]Adjusted Annual Billing Det'!$A$2:$L$18,5,0)</f>
        <v>1437848</v>
      </c>
      <c r="U116" s="103">
        <f>$P116*T116</f>
        <v>302523.21919999999</v>
      </c>
      <c r="V116"/>
      <c r="W116" s="749"/>
      <c r="X116" s="750"/>
      <c r="Y116" s="751"/>
    </row>
    <row r="117" spans="1:25">
      <c r="A117" s="100">
        <v>41030</v>
      </c>
      <c r="B117" s="100">
        <f>'UNSG - ALL RATES'!$B$25</f>
        <v>46082</v>
      </c>
      <c r="C117" s="101" t="str">
        <f t="shared" si="44"/>
        <v>5756</v>
      </c>
      <c r="D117" s="100" t="str">
        <f t="shared" si="60"/>
        <v>GTNGLVS</v>
      </c>
      <c r="E117" s="100" t="str">
        <f t="shared" ref="E117:E118" si="61">IF(D117="","",A117&amp;$D117)</f>
        <v>41030GTNGLVS</v>
      </c>
      <c r="F117" s="100" t="str">
        <f t="shared" ref="F117:F118" si="62">IF(E117="","",B117&amp;$D117)</f>
        <v>46082GTNGLVS</v>
      </c>
      <c r="G117" t="str">
        <f>IFERROR(IF(VLOOKUP($O117,Lookup!$G$1:$I$182,2,0)="","",VLOOKUP($O117,Lookup!$G$1:$I$182,2,0)),"")</f>
        <v/>
      </c>
      <c r="H117" t="str">
        <f>IFERROR(IF(VLOOKUP($O117,Lookup!$G$1:$I$182,3,0)="","",VLOOKUP($O117,Lookup!$G$1:$I$182,3,0)),"")</f>
        <v/>
      </c>
      <c r="I117" t="str">
        <f>IFERROR(IF(VLOOKUP(O117,Lookup!$A$1:$B$200,2,0)="","",VLOOKUP(O117,Lookup!$A$1:$B$200,2,0)),"")</f>
        <v/>
      </c>
      <c r="J117" s="100" t="str">
        <f>C117&amp;D117&amp;G117</f>
        <v>5756GTNGLVS</v>
      </c>
      <c r="K117" s="100" t="str">
        <f t="shared" si="59"/>
        <v>5756GTNGLVS</v>
      </c>
      <c r="L117" s="100" t="str">
        <f>D117&amp;" "&amp;IFERROR(IF(VLOOKUP(O117,Lookup!$D$1:$E$201,2,0)="","",VLOOKUP(O117,Lookup!$D$1:$E$201,2,0)),"")</f>
        <v>GTNGLVS Margin Revenues</v>
      </c>
      <c r="M117"/>
      <c r="N117"/>
      <c r="O117" s="66" t="s">
        <v>635</v>
      </c>
      <c r="P117"/>
      <c r="R117" s="103">
        <f>SUM(R115:R116)</f>
        <v>318723.21919999999</v>
      </c>
      <c r="S117" s="146"/>
      <c r="U117" s="103">
        <f>SUM(U115:U116)</f>
        <v>318723.21919999999</v>
      </c>
      <c r="V117"/>
      <c r="W117" s="749"/>
      <c r="X117" s="750"/>
      <c r="Y117" s="751"/>
    </row>
    <row r="118" spans="1:25" ht="15.75" thickBot="1">
      <c r="A118" s="100">
        <v>41030</v>
      </c>
      <c r="B118" s="100">
        <f>'UNSG - ALL RATES'!$B$25</f>
        <v>46082</v>
      </c>
      <c r="C118" s="101" t="str">
        <f t="shared" si="44"/>
        <v>5756</v>
      </c>
      <c r="D118" s="100" t="str">
        <f t="shared" si="60"/>
        <v>GTNGLVS</v>
      </c>
      <c r="E118" s="100" t="str">
        <f t="shared" si="61"/>
        <v>41030GTNGLVS</v>
      </c>
      <c r="F118" s="100" t="str">
        <f t="shared" si="62"/>
        <v>46082GTNGLVS</v>
      </c>
      <c r="G118" t="str">
        <f>IFERROR(IF(VLOOKUP($O118,Lookup!$G$1:$I$182,2,0)="","",VLOOKUP($O118,Lookup!$G$1:$I$182,2,0)),"")</f>
        <v/>
      </c>
      <c r="H118" t="str">
        <f>IFERROR(IF(VLOOKUP($O118,Lookup!$G$1:$I$182,3,0)="","",VLOOKUP($O118,Lookup!$G$1:$I$182,3,0)),"")</f>
        <v/>
      </c>
      <c r="I118" t="str">
        <f>IFERROR(IF(VLOOKUP(O118,Lookup!$A$1:$B$200,2,0)="","",VLOOKUP(O118,Lookup!$A$1:$B$200,2,0)),"")</f>
        <v/>
      </c>
      <c r="J118" s="100" t="str">
        <f>C118&amp;D118&amp;G118</f>
        <v>5756GTNGLVS</v>
      </c>
      <c r="K118" s="100" t="str">
        <f t="shared" si="59"/>
        <v>5756GTNGLVS</v>
      </c>
      <c r="L118" s="100" t="str">
        <f>D118&amp;" "&amp;IFERROR(IF(VLOOKUP(O118,Lookup!$D$1:$E$201,2,0)="","",VLOOKUP(O118,Lookup!$D$1:$E$201,2,0)),"")</f>
        <v>GTNGLVS Sales (T)</v>
      </c>
      <c r="M118"/>
      <c r="N118"/>
      <c r="O118" s="58" t="s">
        <v>614</v>
      </c>
      <c r="P118"/>
      <c r="Q118" s="146">
        <f>Q116</f>
        <v>1437848</v>
      </c>
      <c r="R118" s="146"/>
      <c r="S118" s="146"/>
      <c r="T118" s="146">
        <f>T116</f>
        <v>1437848</v>
      </c>
      <c r="V118"/>
      <c r="W118" s="752"/>
      <c r="X118" s="753"/>
      <c r="Y118" s="754"/>
    </row>
    <row r="119" spans="1:2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 s="187"/>
    </row>
    <row r="120" spans="1:2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68">
        <f>SUM(R9,R17,R23,R29,R35,R41,R47,R53,R59,R65,R83,R89,R101,R107,R112,R117)</f>
        <v>67333728.742699981</v>
      </c>
      <c r="R120" s="68"/>
      <c r="S120" s="68">
        <f>SUM(T9,T17,T23,T29,T35,T41,T47,T53,T59,T65,T83,T89,T101,T107,T112,T117)</f>
        <v>0</v>
      </c>
      <c r="T120" s="68">
        <f>SUM(U9,U17,U23,U29,U35,U41,U47,U53,U59,U65,U83,U89,U101,U107,U112,U117)</f>
        <v>67665951.509218886</v>
      </c>
      <c r="U120" s="68">
        <f>SUM(V9,V17,V23,V29,V35,V41,V47,V53,V59,V65,V83,V89,V101,V107,V112,V117)</f>
        <v>0</v>
      </c>
      <c r="V120"/>
      <c r="W120"/>
      <c r="X120"/>
      <c r="Y120" s="187"/>
    </row>
    <row r="121" spans="1: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2">
        <v>-88266.020000000513</v>
      </c>
      <c r="R121" s="2"/>
      <c r="S121" s="2"/>
      <c r="T121" s="2"/>
      <c r="U121" s="2"/>
      <c r="V121"/>
      <c r="W121"/>
      <c r="X121"/>
      <c r="Y121" s="187"/>
    </row>
    <row r="122" spans="1: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R122" s="2"/>
      <c r="S122" s="2"/>
      <c r="T122" s="2"/>
      <c r="U122" s="2"/>
      <c r="V122"/>
      <c r="W122"/>
      <c r="X122"/>
      <c r="Y122" s="187"/>
    </row>
    <row r="123" spans="1: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68">
        <f>Q120+Q121</f>
        <v>67245462.722699985</v>
      </c>
      <c r="R123" s="2"/>
      <c r="S123" s="2"/>
      <c r="T123" s="2"/>
      <c r="U123" s="2"/>
      <c r="V123"/>
      <c r="W123"/>
      <c r="X123"/>
      <c r="Y123" s="187"/>
    </row>
    <row r="124" spans="1: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 s="187"/>
    </row>
    <row r="125" spans="1: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 s="187"/>
    </row>
    <row r="126" spans="1: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 s="187"/>
    </row>
    <row r="127" spans="1: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 s="187"/>
    </row>
    <row r="128" spans="1: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 s="187"/>
    </row>
    <row r="129" spans="1: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 s="187"/>
    </row>
    <row r="130" spans="1: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 s="187"/>
    </row>
    <row r="131" spans="1: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 s="187"/>
    </row>
    <row r="132" spans="1: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 s="187"/>
    </row>
    <row r="133" spans="1: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 s="187"/>
    </row>
    <row r="134" spans="1: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 s="187"/>
    </row>
    <row r="135" spans="1: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 s="187"/>
    </row>
    <row r="136" spans="1: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 s="187"/>
    </row>
    <row r="137" spans="1: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 s="187"/>
    </row>
    <row r="138" spans="1: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 s="187"/>
    </row>
    <row r="139" spans="1: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 s="187"/>
    </row>
    <row r="140" spans="1: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 s="187"/>
    </row>
    <row r="141" spans="1: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 s="187"/>
    </row>
    <row r="142" spans="1: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 s="187"/>
    </row>
    <row r="143" spans="1: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 s="187"/>
    </row>
    <row r="144" spans="1: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 s="187"/>
    </row>
    <row r="145" spans="1: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 s="187"/>
    </row>
    <row r="146" spans="1: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 s="187"/>
    </row>
    <row r="147" spans="1: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 s="187"/>
    </row>
    <row r="148" spans="1: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 s="187"/>
    </row>
    <row r="149" spans="1:2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 s="187"/>
    </row>
    <row r="150" spans="1:2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 s="187"/>
    </row>
    <row r="151" spans="1:2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 s="187"/>
    </row>
    <row r="152" spans="1:2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 s="187"/>
    </row>
    <row r="153" spans="1:2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 s="187"/>
    </row>
    <row r="154" spans="1:2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 s="187"/>
    </row>
    <row r="155" spans="1: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 s="187"/>
    </row>
    <row r="156" spans="1:2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 s="187"/>
    </row>
    <row r="157" spans="1:2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 s="187"/>
    </row>
    <row r="158" spans="1:2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 s="187"/>
    </row>
    <row r="159" spans="1:2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 s="187"/>
    </row>
    <row r="160" spans="1: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 s="187"/>
    </row>
    <row r="161" spans="1: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 s="187"/>
    </row>
    <row r="162" spans="1: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 s="187"/>
    </row>
    <row r="163" spans="1: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 s="187"/>
    </row>
    <row r="164" spans="1: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 s="187"/>
    </row>
    <row r="165" spans="1: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 s="187"/>
    </row>
    <row r="166" spans="1: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 s="187"/>
    </row>
    <row r="167" spans="1: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 s="187"/>
    </row>
    <row r="168" spans="1: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 s="187"/>
    </row>
    <row r="169" spans="1: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 s="187"/>
    </row>
    <row r="170" spans="1: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 s="187"/>
    </row>
    <row r="171" spans="1: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 s="187"/>
    </row>
    <row r="172" spans="1: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 s="187"/>
    </row>
    <row r="173" spans="1: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 s="187"/>
    </row>
    <row r="174" spans="1: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 s="187"/>
    </row>
    <row r="175" spans="1: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 s="187"/>
    </row>
    <row r="176" spans="1: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 s="187"/>
    </row>
    <row r="177" spans="1: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 s="187"/>
    </row>
    <row r="178" spans="1: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 s="187"/>
    </row>
    <row r="179" spans="1: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 s="187"/>
    </row>
    <row r="180" spans="1: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 s="187"/>
    </row>
    <row r="181" spans="1: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 s="187"/>
    </row>
    <row r="182" spans="1: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 s="187"/>
    </row>
    <row r="183" spans="1:2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 s="187"/>
    </row>
    <row r="184" spans="1:2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 s="187"/>
    </row>
    <row r="185" spans="1:2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 s="187"/>
    </row>
    <row r="186" spans="1:2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 s="187"/>
    </row>
    <row r="187" spans="1: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 s="187"/>
    </row>
    <row r="188" spans="1:2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 s="187"/>
    </row>
    <row r="189" spans="1:2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 s="187"/>
    </row>
    <row r="190" spans="1:2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 s="187"/>
    </row>
    <row r="191" spans="1:2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 s="187"/>
    </row>
    <row r="192" spans="1:2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 s="187"/>
    </row>
    <row r="193" spans="1:2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 s="187"/>
    </row>
    <row r="194" spans="1:2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 s="187"/>
    </row>
    <row r="195" spans="1:2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 s="187"/>
    </row>
    <row r="196" spans="1:2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 s="187"/>
    </row>
    <row r="197" spans="1:2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 s="187"/>
    </row>
    <row r="198" spans="1: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 s="187"/>
    </row>
    <row r="199" spans="1:2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 s="187"/>
    </row>
    <row r="200" spans="1:2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 s="187"/>
    </row>
    <row r="201" spans="1: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 s="187"/>
    </row>
    <row r="202" spans="1: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 s="187"/>
    </row>
    <row r="203" spans="1: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 s="187"/>
    </row>
    <row r="204" spans="1: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 s="187"/>
    </row>
    <row r="205" spans="1: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 s="187"/>
    </row>
    <row r="206" spans="1: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 s="187"/>
    </row>
    <row r="207" spans="1:2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 s="187"/>
    </row>
    <row r="208" spans="1:2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 s="187"/>
    </row>
    <row r="209" spans="1:2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 s="187"/>
    </row>
    <row r="210" spans="1:2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 s="187"/>
    </row>
    <row r="211" spans="1:2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 s="187"/>
    </row>
    <row r="212" spans="1:2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 s="187"/>
    </row>
    <row r="213" spans="1:2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 s="187"/>
    </row>
    <row r="214" spans="1:2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 s="187"/>
    </row>
    <row r="215" spans="1:2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 s="187"/>
    </row>
    <row r="216" spans="1: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 s="187"/>
    </row>
    <row r="217" spans="1:2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 s="187"/>
    </row>
    <row r="218" spans="1:2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 s="187"/>
    </row>
    <row r="219" spans="1:2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 s="187"/>
    </row>
    <row r="220" spans="1:2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 s="187"/>
    </row>
    <row r="221" spans="1:2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 s="187"/>
    </row>
    <row r="222" spans="1:2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 s="187"/>
    </row>
    <row r="223" spans="1:2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 s="187"/>
    </row>
    <row r="224" spans="1:2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 s="187"/>
    </row>
    <row r="225" spans="1:2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 s="187"/>
    </row>
    <row r="226" spans="1:2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 s="187"/>
    </row>
    <row r="227" spans="1:2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 s="187"/>
    </row>
    <row r="228" spans="1:2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 s="187"/>
    </row>
    <row r="229" spans="1:2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 s="187"/>
    </row>
    <row r="230" spans="1:2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 s="187"/>
    </row>
    <row r="231" spans="1:2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 s="187"/>
    </row>
    <row r="232" spans="1:2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 s="187"/>
    </row>
    <row r="233" spans="1:2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 s="187"/>
    </row>
    <row r="234" spans="1:2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 s="187"/>
    </row>
    <row r="235" spans="1:2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 s="187"/>
    </row>
    <row r="236" spans="1:2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 s="187"/>
    </row>
    <row r="237" spans="1:2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 s="187"/>
    </row>
    <row r="238" spans="1:2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 s="187"/>
    </row>
    <row r="239" spans="1:2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 s="187"/>
    </row>
    <row r="240" spans="1:2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 s="187"/>
    </row>
    <row r="241" spans="1:2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 s="187"/>
    </row>
    <row r="242" spans="1:2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 s="187"/>
    </row>
    <row r="243" spans="1:2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 s="187"/>
    </row>
    <row r="244" spans="1:2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 s="187"/>
    </row>
    <row r="245" spans="1:2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 s="187"/>
    </row>
    <row r="246" spans="1:2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 s="187"/>
    </row>
    <row r="247" spans="1:2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 s="187"/>
    </row>
    <row r="248" spans="1:2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 s="187"/>
    </row>
    <row r="249" spans="1:2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 s="187"/>
    </row>
    <row r="250" spans="1:2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 s="187"/>
    </row>
    <row r="251" spans="1:2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 s="187"/>
    </row>
    <row r="252" spans="1:2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 s="187"/>
    </row>
    <row r="253" spans="1:2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 s="187"/>
    </row>
    <row r="254" spans="1:2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 s="187"/>
    </row>
    <row r="255" spans="1:2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 s="187"/>
    </row>
    <row r="256" spans="1:2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 s="187"/>
    </row>
    <row r="257" spans="1:2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 s="187"/>
    </row>
    <row r="258" spans="1:2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 s="187"/>
    </row>
    <row r="259" spans="1:2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 s="187"/>
    </row>
    <row r="260" spans="1:2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 s="187"/>
    </row>
    <row r="261" spans="1:2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 s="187"/>
    </row>
    <row r="262" spans="1:2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 s="187"/>
    </row>
    <row r="263" spans="1:2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 s="187"/>
    </row>
    <row r="264" spans="1:2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 s="187"/>
    </row>
    <row r="265" spans="1:2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 s="187"/>
    </row>
    <row r="266" spans="1:2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 s="187"/>
    </row>
    <row r="267" spans="1:2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 s="187"/>
    </row>
    <row r="268" spans="1:2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 s="187"/>
    </row>
    <row r="269" spans="1:2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 s="187"/>
    </row>
    <row r="270" spans="1:2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 s="187"/>
    </row>
    <row r="271" spans="1:2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 s="187"/>
    </row>
    <row r="272" spans="1:2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 s="187"/>
    </row>
    <row r="273" spans="1:2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 s="187"/>
    </row>
    <row r="274" spans="1:2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 s="187"/>
    </row>
    <row r="275" spans="1:2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 s="187"/>
    </row>
    <row r="276" spans="1:2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 s="187"/>
    </row>
    <row r="277" spans="1:2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 s="187"/>
    </row>
    <row r="278" spans="1:2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 s="187"/>
    </row>
    <row r="279" spans="1:2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 s="187"/>
    </row>
    <row r="280" spans="1:2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 s="187"/>
    </row>
    <row r="281" spans="1:2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 s="187"/>
    </row>
    <row r="282" spans="1: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 s="187"/>
    </row>
    <row r="283" spans="1:2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 s="187"/>
    </row>
    <row r="284" spans="1: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 s="187"/>
    </row>
    <row r="285" spans="1:2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 s="187"/>
    </row>
    <row r="286" spans="1:2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 s="187"/>
    </row>
    <row r="287" spans="1:2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 s="187"/>
    </row>
    <row r="288" spans="1:2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 s="187"/>
    </row>
    <row r="289" spans="1:2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 s="187"/>
    </row>
    <row r="290" spans="1:2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 s="187"/>
    </row>
    <row r="291" spans="1:2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 s="187"/>
    </row>
    <row r="292" spans="1:2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 s="187"/>
    </row>
    <row r="293" spans="1:2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</row>
    <row r="294" spans="1:2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</row>
    <row r="295" spans="1:2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</row>
    <row r="296" spans="1:2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</row>
    <row r="297" spans="1: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</row>
    <row r="298" spans="1: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</row>
    <row r="299" spans="1: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</row>
    <row r="300" spans="1: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</row>
    <row r="301" spans="1: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</row>
    <row r="302" spans="1: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</row>
    <row r="303" spans="1: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</row>
    <row r="304" spans="1: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</row>
    <row r="305" spans="1: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</row>
    <row r="306" spans="1: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</row>
    <row r="307" spans="1: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</row>
    <row r="308" spans="1: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</row>
    <row r="309" spans="1: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</row>
    <row r="310" spans="1: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</row>
    <row r="311" spans="1: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</row>
    <row r="312" spans="1: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</row>
    <row r="313" spans="1: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</row>
    <row r="314" spans="1: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</row>
    <row r="315" spans="1: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</row>
    <row r="316" spans="1: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</row>
    <row r="317" spans="1: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</row>
    <row r="318" spans="1: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</row>
    <row r="319" spans="1: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</row>
    <row r="320" spans="1: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</row>
    <row r="321" spans="1: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</row>
    <row r="322" spans="1: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</row>
    <row r="323" spans="1: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</row>
    <row r="324" spans="1: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</row>
    <row r="325" spans="1: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</row>
    <row r="326" spans="1: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</row>
    <row r="327" spans="1: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</row>
    <row r="328" spans="1: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</row>
    <row r="329" spans="1: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</row>
    <row r="330" spans="1: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</row>
    <row r="331" spans="1: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</row>
    <row r="332" spans="1: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</row>
    <row r="333" spans="1: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</row>
    <row r="334" spans="1: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</row>
    <row r="335" spans="1: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</row>
    <row r="336" spans="1: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</row>
    <row r="337" spans="1: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</row>
    <row r="338" spans="1: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</row>
    <row r="339" spans="1: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</row>
    <row r="340" spans="1: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</row>
    <row r="341" spans="1: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</row>
    <row r="342" spans="1: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</row>
    <row r="343" spans="1: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</row>
    <row r="344" spans="1: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</row>
    <row r="345" spans="1: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</row>
    <row r="346" spans="1: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</row>
    <row r="347" spans="1: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</row>
    <row r="348" spans="1: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</row>
    <row r="349" spans="1: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</row>
    <row r="350" spans="1: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</row>
    <row r="351" spans="1: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</row>
    <row r="352" spans="1: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</row>
    <row r="353" spans="1: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</row>
    <row r="354" spans="1: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</row>
    <row r="355" spans="1: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</row>
    <row r="356" spans="1: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</row>
    <row r="357" spans="1: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</row>
    <row r="358" spans="1: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</row>
    <row r="359" spans="1: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</row>
    <row r="360" spans="1: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</row>
    <row r="361" spans="1: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</row>
    <row r="362" spans="1: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</row>
    <row r="363" spans="1: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</row>
    <row r="364" spans="1: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</row>
    <row r="365" spans="1: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</row>
    <row r="366" spans="1: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</row>
    <row r="367" spans="1: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</row>
    <row r="368" spans="1: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</row>
    <row r="369" spans="1: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</row>
    <row r="370" spans="1: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</row>
    <row r="371" spans="1: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</row>
    <row r="372" spans="1: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</row>
    <row r="373" spans="1: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</row>
    <row r="374" spans="1: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</row>
    <row r="375" spans="1: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</row>
    <row r="376" spans="1: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</row>
    <row r="377" spans="1: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</row>
    <row r="378" spans="1: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</row>
    <row r="379" spans="1: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</row>
    <row r="380" spans="1: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</row>
    <row r="381" spans="1: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</row>
    <row r="382" spans="1: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</row>
    <row r="383" spans="1: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</row>
    <row r="384" spans="1: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</row>
    <row r="385" spans="1:28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</row>
    <row r="386" spans="1:28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</row>
    <row r="387" spans="1:28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</row>
    <row r="388" spans="1:28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</row>
    <row r="389" spans="1:28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</row>
    <row r="390" spans="1:28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</row>
    <row r="391" spans="1:28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</row>
    <row r="392" spans="1:28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</row>
    <row r="393" spans="1:28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</row>
    <row r="394" spans="1:28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</row>
    <row r="395" spans="1:28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</row>
    <row r="396" spans="1:28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</row>
    <row r="397" spans="1:28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</row>
    <row r="398" spans="1:28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</row>
    <row r="399" spans="1:28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AB399" s="100"/>
    </row>
    <row r="400" spans="1:28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</row>
    <row r="401" spans="1: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</row>
    <row r="402" spans="1: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</row>
    <row r="403" spans="1: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</row>
    <row r="404" spans="1: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</row>
    <row r="405" spans="1: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</row>
    <row r="406" spans="1: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</row>
    <row r="407" spans="1: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</row>
    <row r="408" spans="1: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</row>
    <row r="409" spans="1: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</row>
    <row r="410" spans="1:2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</row>
    <row r="411" spans="1:2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</row>
    <row r="412" spans="1:2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</row>
    <row r="413" spans="1: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</row>
    <row r="414" spans="1:2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</row>
    <row r="415" spans="1:2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</row>
    <row r="416" spans="1:2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</row>
    <row r="417" spans="1:2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</row>
    <row r="418" spans="1:2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</row>
    <row r="419" spans="1:2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</row>
    <row r="420" spans="1:2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</row>
    <row r="421" spans="1:2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</row>
    <row r="422" spans="1:2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</row>
    <row r="423" spans="1:2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</row>
    <row r="424" spans="1:2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</row>
    <row r="425" spans="1:2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</row>
    <row r="426" spans="1:2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</row>
    <row r="427" spans="1:2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</row>
    <row r="428" spans="1:2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</row>
    <row r="429" spans="1:2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</row>
    <row r="430" spans="1:2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</row>
    <row r="431" spans="1:2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</row>
    <row r="432" spans="1:2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</row>
    <row r="433" spans="1:2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</row>
    <row r="434" spans="1:2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</row>
    <row r="435" spans="1:2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</row>
    <row r="436" spans="1:2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</row>
    <row r="437" spans="1:2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</row>
    <row r="438" spans="1:2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</row>
    <row r="439" spans="1:2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</row>
    <row r="440" spans="1:2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</row>
    <row r="441" spans="1:2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</row>
    <row r="442" spans="1:2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</row>
    <row r="443" spans="1:2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</row>
    <row r="444" spans="1:2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</row>
    <row r="445" spans="1: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</row>
    <row r="446" spans="1:2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</row>
    <row r="447" spans="1:2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</row>
    <row r="448" spans="1:2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</row>
    <row r="449" spans="1:2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</row>
    <row r="450" spans="1:2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</row>
    <row r="451" spans="1:2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</row>
    <row r="452" spans="1:2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</row>
    <row r="453" spans="1:2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</row>
    <row r="454" spans="1:2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</row>
    <row r="455" spans="1:2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</row>
    <row r="456" spans="1:2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</row>
    <row r="457" spans="1:2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</row>
    <row r="458" spans="1:2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</row>
    <row r="459" spans="1:2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</row>
    <row r="460" spans="1:2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</row>
    <row r="461" spans="1:2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</row>
    <row r="462" spans="1:2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</row>
    <row r="463" spans="1:2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</row>
    <row r="464" spans="1:2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</row>
    <row r="465" spans="1:2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</row>
    <row r="466" spans="1:2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</row>
    <row r="467" spans="1:2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</row>
    <row r="468" spans="1:2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</row>
    <row r="469" spans="1:2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</row>
    <row r="470" spans="1:2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</row>
    <row r="471" spans="1:2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</row>
    <row r="472" spans="1:2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</row>
    <row r="473" spans="1:2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</row>
    <row r="474" spans="1:2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</row>
    <row r="475" spans="1:2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</row>
    <row r="476" spans="1:2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</row>
    <row r="477" spans="1:2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</row>
    <row r="478" spans="1:2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</row>
    <row r="479" spans="1:2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</row>
    <row r="480" spans="1:2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</row>
    <row r="481" spans="1:2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</row>
    <row r="482" spans="1:2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</row>
    <row r="483" spans="1:2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</row>
    <row r="484" spans="1:2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</row>
    <row r="485" spans="1:2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</row>
    <row r="486" spans="1:2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</row>
    <row r="487" spans="1:2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</row>
    <row r="488" spans="1:2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</row>
    <row r="489" spans="1:2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</row>
    <row r="490" spans="1:2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</row>
    <row r="491" spans="1:2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</row>
    <row r="492" spans="1:2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</row>
    <row r="493" spans="1:2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</row>
    <row r="494" spans="1:2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</row>
    <row r="495" spans="1:2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</row>
    <row r="496" spans="1:2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</row>
    <row r="497" spans="1:2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</row>
    <row r="498" spans="1:2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</row>
    <row r="499" spans="1:2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</row>
    <row r="500" spans="1:2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</row>
    <row r="501" spans="1:2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</row>
    <row r="502" spans="1:2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</row>
    <row r="503" spans="1:2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</row>
    <row r="504" spans="1:2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</row>
    <row r="505" spans="1:2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</row>
    <row r="506" spans="1: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</row>
    <row r="507" spans="1:2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</row>
    <row r="508" spans="1:2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</row>
    <row r="509" spans="1:2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</row>
    <row r="510" spans="1:25">
      <c r="J510" s="100" t="str">
        <f t="shared" ref="J510:J512" si="63">C510&amp;D510&amp;G510</f>
        <v/>
      </c>
      <c r="K510" s="100" t="str">
        <f t="shared" ref="K510:K512" si="64">C510&amp;D510&amp;H510</f>
        <v/>
      </c>
    </row>
    <row r="511" spans="1:25">
      <c r="J511" s="100" t="str">
        <f t="shared" si="63"/>
        <v/>
      </c>
      <c r="K511" s="100" t="str">
        <f t="shared" si="64"/>
        <v/>
      </c>
    </row>
    <row r="512" spans="1:25">
      <c r="J512" s="100" t="str">
        <f t="shared" si="63"/>
        <v/>
      </c>
      <c r="K512" s="100" t="str">
        <f t="shared" si="64"/>
        <v/>
      </c>
    </row>
    <row r="513" spans="10:11">
      <c r="J513" s="100" t="str">
        <f t="shared" ref="J513:J577" si="65">C513&amp;D513&amp;G513</f>
        <v/>
      </c>
      <c r="K513" s="100" t="str">
        <f t="shared" ref="K513:K577" si="66">C513&amp;D513&amp;H513</f>
        <v/>
      </c>
    </row>
    <row r="514" spans="10:11">
      <c r="J514" s="100" t="str">
        <f t="shared" si="65"/>
        <v/>
      </c>
      <c r="K514" s="100" t="str">
        <f t="shared" si="66"/>
        <v/>
      </c>
    </row>
    <row r="515" spans="10:11">
      <c r="J515" s="100" t="str">
        <f t="shared" si="65"/>
        <v/>
      </c>
      <c r="K515" s="100" t="str">
        <f t="shared" si="66"/>
        <v/>
      </c>
    </row>
    <row r="516" spans="10:11">
      <c r="J516" s="100" t="str">
        <f t="shared" si="65"/>
        <v/>
      </c>
      <c r="K516" s="100" t="str">
        <f t="shared" si="66"/>
        <v/>
      </c>
    </row>
    <row r="517" spans="10:11">
      <c r="J517" s="100" t="str">
        <f t="shared" si="65"/>
        <v/>
      </c>
      <c r="K517" s="100" t="str">
        <f t="shared" si="66"/>
        <v/>
      </c>
    </row>
    <row r="518" spans="10:11">
      <c r="J518" s="100" t="str">
        <f t="shared" si="65"/>
        <v/>
      </c>
      <c r="K518" s="100" t="str">
        <f t="shared" si="66"/>
        <v/>
      </c>
    </row>
    <row r="519" spans="10:11">
      <c r="J519" s="100" t="str">
        <f t="shared" si="65"/>
        <v/>
      </c>
      <c r="K519" s="100" t="str">
        <f t="shared" si="66"/>
        <v/>
      </c>
    </row>
    <row r="520" spans="10:11">
      <c r="J520" s="100" t="str">
        <f t="shared" si="65"/>
        <v/>
      </c>
      <c r="K520" s="100" t="str">
        <f t="shared" si="66"/>
        <v/>
      </c>
    </row>
    <row r="521" spans="10:11">
      <c r="J521" s="100" t="str">
        <f t="shared" si="65"/>
        <v/>
      </c>
      <c r="K521" s="100" t="str">
        <f t="shared" si="66"/>
        <v/>
      </c>
    </row>
    <row r="522" spans="10:11">
      <c r="J522" s="100" t="str">
        <f t="shared" si="65"/>
        <v/>
      </c>
      <c r="K522" s="100" t="str">
        <f t="shared" si="66"/>
        <v/>
      </c>
    </row>
    <row r="523" spans="10:11">
      <c r="J523" s="100" t="str">
        <f t="shared" si="65"/>
        <v/>
      </c>
      <c r="K523" s="100" t="str">
        <f t="shared" si="66"/>
        <v/>
      </c>
    </row>
    <row r="524" spans="10:11">
      <c r="J524" s="100" t="str">
        <f t="shared" si="65"/>
        <v/>
      </c>
      <c r="K524" s="100" t="str">
        <f t="shared" si="66"/>
        <v/>
      </c>
    </row>
    <row r="525" spans="10:11">
      <c r="J525" s="100" t="str">
        <f t="shared" si="65"/>
        <v/>
      </c>
      <c r="K525" s="100" t="str">
        <f t="shared" si="66"/>
        <v/>
      </c>
    </row>
    <row r="526" spans="10:11">
      <c r="J526" s="100" t="str">
        <f t="shared" si="65"/>
        <v/>
      </c>
      <c r="K526" s="100" t="str">
        <f t="shared" si="66"/>
        <v/>
      </c>
    </row>
    <row r="527" spans="10:11">
      <c r="J527" s="100" t="str">
        <f t="shared" si="65"/>
        <v/>
      </c>
      <c r="K527" s="100" t="str">
        <f t="shared" si="66"/>
        <v/>
      </c>
    </row>
    <row r="528" spans="10:11">
      <c r="J528" s="100" t="str">
        <f t="shared" si="65"/>
        <v/>
      </c>
      <c r="K528" s="100" t="str">
        <f t="shared" si="66"/>
        <v/>
      </c>
    </row>
    <row r="529" spans="10:11">
      <c r="J529" s="100" t="str">
        <f t="shared" si="65"/>
        <v/>
      </c>
      <c r="K529" s="100" t="str">
        <f t="shared" si="66"/>
        <v/>
      </c>
    </row>
    <row r="530" spans="10:11">
      <c r="J530" s="100" t="str">
        <f t="shared" si="65"/>
        <v/>
      </c>
      <c r="K530" s="100" t="str">
        <f t="shared" si="66"/>
        <v/>
      </c>
    </row>
    <row r="531" spans="10:11">
      <c r="J531" s="100" t="str">
        <f t="shared" si="65"/>
        <v/>
      </c>
      <c r="K531" s="100" t="str">
        <f t="shared" si="66"/>
        <v/>
      </c>
    </row>
    <row r="532" spans="10:11">
      <c r="J532" s="100" t="str">
        <f t="shared" si="65"/>
        <v/>
      </c>
      <c r="K532" s="100" t="str">
        <f t="shared" si="66"/>
        <v/>
      </c>
    </row>
    <row r="533" spans="10:11">
      <c r="J533" s="100" t="str">
        <f t="shared" si="65"/>
        <v/>
      </c>
      <c r="K533" s="100" t="str">
        <f t="shared" si="66"/>
        <v/>
      </c>
    </row>
    <row r="534" spans="10:11">
      <c r="J534" s="100" t="str">
        <f t="shared" si="65"/>
        <v/>
      </c>
      <c r="K534" s="100" t="str">
        <f t="shared" si="66"/>
        <v/>
      </c>
    </row>
    <row r="535" spans="10:11">
      <c r="J535" s="100" t="str">
        <f t="shared" si="65"/>
        <v/>
      </c>
      <c r="K535" s="100" t="str">
        <f t="shared" si="66"/>
        <v/>
      </c>
    </row>
    <row r="536" spans="10:11">
      <c r="J536" s="100" t="str">
        <f t="shared" si="65"/>
        <v/>
      </c>
      <c r="K536" s="100" t="str">
        <f t="shared" si="66"/>
        <v/>
      </c>
    </row>
    <row r="537" spans="10:11">
      <c r="J537" s="100" t="str">
        <f t="shared" si="65"/>
        <v/>
      </c>
      <c r="K537" s="100" t="str">
        <f t="shared" si="66"/>
        <v/>
      </c>
    </row>
    <row r="538" spans="10:11">
      <c r="J538" s="100" t="str">
        <f t="shared" si="65"/>
        <v/>
      </c>
      <c r="K538" s="100" t="str">
        <f t="shared" si="66"/>
        <v/>
      </c>
    </row>
    <row r="539" spans="10:11">
      <c r="J539" s="100" t="str">
        <f t="shared" si="65"/>
        <v/>
      </c>
      <c r="K539" s="100" t="str">
        <f t="shared" si="66"/>
        <v/>
      </c>
    </row>
    <row r="540" spans="10:11">
      <c r="J540" s="100" t="str">
        <f t="shared" si="65"/>
        <v/>
      </c>
      <c r="K540" s="100" t="str">
        <f t="shared" si="66"/>
        <v/>
      </c>
    </row>
    <row r="541" spans="10:11">
      <c r="J541" s="100" t="str">
        <f t="shared" si="65"/>
        <v/>
      </c>
      <c r="K541" s="100" t="str">
        <f t="shared" si="66"/>
        <v/>
      </c>
    </row>
    <row r="542" spans="10:11">
      <c r="J542" s="100" t="str">
        <f t="shared" si="65"/>
        <v/>
      </c>
      <c r="K542" s="100" t="str">
        <f t="shared" si="66"/>
        <v/>
      </c>
    </row>
    <row r="543" spans="10:11">
      <c r="J543" s="100" t="str">
        <f t="shared" si="65"/>
        <v/>
      </c>
      <c r="K543" s="100" t="str">
        <f t="shared" si="66"/>
        <v/>
      </c>
    </row>
    <row r="544" spans="10:11">
      <c r="J544" s="100" t="str">
        <f t="shared" si="65"/>
        <v/>
      </c>
      <c r="K544" s="100" t="str">
        <f t="shared" si="66"/>
        <v/>
      </c>
    </row>
    <row r="545" spans="10:11">
      <c r="J545" s="100" t="str">
        <f t="shared" si="65"/>
        <v/>
      </c>
      <c r="K545" s="100" t="str">
        <f t="shared" si="66"/>
        <v/>
      </c>
    </row>
    <row r="546" spans="10:11">
      <c r="J546" s="100" t="str">
        <f t="shared" si="65"/>
        <v/>
      </c>
      <c r="K546" s="100" t="str">
        <f t="shared" si="66"/>
        <v/>
      </c>
    </row>
    <row r="547" spans="10:11">
      <c r="J547" s="100"/>
      <c r="K547" s="100"/>
    </row>
    <row r="548" spans="10:11">
      <c r="J548" s="100" t="str">
        <f t="shared" si="65"/>
        <v/>
      </c>
      <c r="K548" s="100" t="str">
        <f t="shared" si="66"/>
        <v/>
      </c>
    </row>
    <row r="549" spans="10:11">
      <c r="J549" s="100" t="str">
        <f t="shared" si="65"/>
        <v/>
      </c>
      <c r="K549" s="100" t="str">
        <f t="shared" si="66"/>
        <v/>
      </c>
    </row>
    <row r="550" spans="10:11">
      <c r="J550" s="100" t="str">
        <f t="shared" si="65"/>
        <v/>
      </c>
      <c r="K550" s="100" t="str">
        <f t="shared" si="66"/>
        <v/>
      </c>
    </row>
    <row r="551" spans="10:11">
      <c r="J551" s="100" t="str">
        <f t="shared" si="65"/>
        <v/>
      </c>
      <c r="K551" s="100" t="str">
        <f t="shared" si="66"/>
        <v/>
      </c>
    </row>
    <row r="552" spans="10:11">
      <c r="J552" s="100" t="str">
        <f t="shared" si="65"/>
        <v/>
      </c>
      <c r="K552" s="100" t="str">
        <f t="shared" si="66"/>
        <v/>
      </c>
    </row>
    <row r="553" spans="10:11">
      <c r="J553" s="100" t="str">
        <f t="shared" si="65"/>
        <v/>
      </c>
      <c r="K553" s="100" t="str">
        <f t="shared" si="66"/>
        <v/>
      </c>
    </row>
    <row r="554" spans="10:11">
      <c r="J554" s="100" t="str">
        <f t="shared" si="65"/>
        <v/>
      </c>
      <c r="K554" s="100" t="str">
        <f t="shared" si="66"/>
        <v/>
      </c>
    </row>
    <row r="555" spans="10:11">
      <c r="J555" s="100" t="str">
        <f t="shared" si="65"/>
        <v/>
      </c>
      <c r="K555" s="100" t="str">
        <f t="shared" si="66"/>
        <v/>
      </c>
    </row>
    <row r="556" spans="10:11">
      <c r="J556" s="100" t="str">
        <f t="shared" si="65"/>
        <v/>
      </c>
      <c r="K556" s="100" t="str">
        <f t="shared" si="66"/>
        <v/>
      </c>
    </row>
    <row r="557" spans="10:11">
      <c r="J557" s="100" t="str">
        <f t="shared" si="65"/>
        <v/>
      </c>
      <c r="K557" s="100" t="str">
        <f t="shared" si="66"/>
        <v/>
      </c>
    </row>
    <row r="558" spans="10:11">
      <c r="J558" s="100" t="str">
        <f t="shared" si="65"/>
        <v/>
      </c>
      <c r="K558" s="100" t="str">
        <f t="shared" si="66"/>
        <v/>
      </c>
    </row>
    <row r="559" spans="10:11">
      <c r="J559" s="100" t="str">
        <f t="shared" si="65"/>
        <v/>
      </c>
      <c r="K559" s="100" t="str">
        <f t="shared" si="66"/>
        <v/>
      </c>
    </row>
    <row r="560" spans="10:11">
      <c r="J560" s="100" t="str">
        <f t="shared" si="65"/>
        <v/>
      </c>
      <c r="K560" s="100" t="str">
        <f t="shared" si="66"/>
        <v/>
      </c>
    </row>
    <row r="561" spans="10:11">
      <c r="J561" s="100" t="str">
        <f t="shared" si="65"/>
        <v/>
      </c>
      <c r="K561" s="100" t="str">
        <f t="shared" si="66"/>
        <v/>
      </c>
    </row>
    <row r="562" spans="10:11">
      <c r="J562" s="100" t="str">
        <f t="shared" si="65"/>
        <v/>
      </c>
      <c r="K562" s="100" t="str">
        <f t="shared" si="66"/>
        <v/>
      </c>
    </row>
    <row r="563" spans="10:11">
      <c r="J563" s="100" t="str">
        <f t="shared" si="65"/>
        <v/>
      </c>
      <c r="K563" s="100" t="str">
        <f t="shared" si="66"/>
        <v/>
      </c>
    </row>
    <row r="564" spans="10:11">
      <c r="J564" s="100" t="str">
        <f t="shared" si="65"/>
        <v/>
      </c>
      <c r="K564" s="100" t="str">
        <f t="shared" si="66"/>
        <v/>
      </c>
    </row>
    <row r="565" spans="10:11">
      <c r="J565" s="100" t="str">
        <f t="shared" si="65"/>
        <v/>
      </c>
      <c r="K565" s="100" t="str">
        <f t="shared" si="66"/>
        <v/>
      </c>
    </row>
    <row r="566" spans="10:11">
      <c r="J566" s="100" t="str">
        <f t="shared" si="65"/>
        <v/>
      </c>
      <c r="K566" s="100" t="str">
        <f t="shared" si="66"/>
        <v/>
      </c>
    </row>
    <row r="567" spans="10:11">
      <c r="J567" s="100"/>
      <c r="K567" s="100"/>
    </row>
    <row r="568" spans="10:11">
      <c r="J568" s="100" t="str">
        <f t="shared" si="65"/>
        <v/>
      </c>
      <c r="K568" s="100" t="str">
        <f t="shared" si="66"/>
        <v/>
      </c>
    </row>
    <row r="569" spans="10:11">
      <c r="J569" s="100" t="str">
        <f t="shared" si="65"/>
        <v/>
      </c>
      <c r="K569" s="100" t="str">
        <f t="shared" si="66"/>
        <v/>
      </c>
    </row>
    <row r="570" spans="10:11">
      <c r="J570" s="100" t="str">
        <f t="shared" si="65"/>
        <v/>
      </c>
      <c r="K570" s="100" t="str">
        <f t="shared" si="66"/>
        <v/>
      </c>
    </row>
    <row r="571" spans="10:11">
      <c r="J571" s="100" t="str">
        <f t="shared" si="65"/>
        <v/>
      </c>
      <c r="K571" s="100" t="str">
        <f t="shared" si="66"/>
        <v/>
      </c>
    </row>
    <row r="572" spans="10:11">
      <c r="J572" s="100" t="str">
        <f t="shared" si="65"/>
        <v/>
      </c>
      <c r="K572" s="100" t="str">
        <f t="shared" si="66"/>
        <v/>
      </c>
    </row>
    <row r="573" spans="10:11">
      <c r="J573" s="100" t="str">
        <f t="shared" si="65"/>
        <v/>
      </c>
      <c r="K573" s="100" t="str">
        <f t="shared" si="66"/>
        <v/>
      </c>
    </row>
    <row r="574" spans="10:11">
      <c r="J574" s="100" t="str">
        <f t="shared" si="65"/>
        <v/>
      </c>
      <c r="K574" s="100" t="str">
        <f t="shared" si="66"/>
        <v/>
      </c>
    </row>
    <row r="575" spans="10:11">
      <c r="J575" s="100" t="str">
        <f t="shared" si="65"/>
        <v/>
      </c>
      <c r="K575" s="100" t="str">
        <f t="shared" si="66"/>
        <v/>
      </c>
    </row>
    <row r="576" spans="10:11">
      <c r="J576" s="100" t="str">
        <f t="shared" si="65"/>
        <v/>
      </c>
      <c r="K576" s="100" t="str">
        <f t="shared" si="66"/>
        <v/>
      </c>
    </row>
    <row r="577" spans="10:11">
      <c r="J577" s="100" t="str">
        <f t="shared" si="65"/>
        <v/>
      </c>
      <c r="K577" s="100" t="str">
        <f t="shared" si="66"/>
        <v/>
      </c>
    </row>
    <row r="578" spans="10:11">
      <c r="J578" s="100" t="str">
        <f t="shared" ref="J578:J644" si="67">C578&amp;D578&amp;G578</f>
        <v/>
      </c>
      <c r="K578" s="100" t="str">
        <f t="shared" ref="K578:K644" si="68">C578&amp;D578&amp;H578</f>
        <v/>
      </c>
    </row>
    <row r="579" spans="10:11">
      <c r="J579" s="100" t="str">
        <f t="shared" si="67"/>
        <v/>
      </c>
      <c r="K579" s="100" t="str">
        <f t="shared" si="68"/>
        <v/>
      </c>
    </row>
    <row r="580" spans="10:11">
      <c r="J580" s="100" t="str">
        <f t="shared" si="67"/>
        <v/>
      </c>
      <c r="K580" s="100" t="str">
        <f t="shared" si="68"/>
        <v/>
      </c>
    </row>
    <row r="581" spans="10:11">
      <c r="J581" s="100" t="str">
        <f t="shared" si="67"/>
        <v/>
      </c>
      <c r="K581" s="100" t="str">
        <f t="shared" si="68"/>
        <v/>
      </c>
    </row>
    <row r="582" spans="10:11">
      <c r="J582" s="100" t="str">
        <f t="shared" si="67"/>
        <v/>
      </c>
      <c r="K582" s="100" t="str">
        <f t="shared" si="68"/>
        <v/>
      </c>
    </row>
    <row r="583" spans="10:11">
      <c r="J583" s="100" t="str">
        <f t="shared" si="67"/>
        <v/>
      </c>
      <c r="K583" s="100" t="str">
        <f t="shared" si="68"/>
        <v/>
      </c>
    </row>
    <row r="584" spans="10:11">
      <c r="J584" s="100" t="str">
        <f t="shared" si="67"/>
        <v/>
      </c>
      <c r="K584" s="100" t="str">
        <f t="shared" si="68"/>
        <v/>
      </c>
    </row>
    <row r="585" spans="10:11">
      <c r="J585" s="100" t="str">
        <f t="shared" si="67"/>
        <v/>
      </c>
      <c r="K585" s="100" t="str">
        <f t="shared" si="68"/>
        <v/>
      </c>
    </row>
    <row r="586" spans="10:11">
      <c r="J586" s="100" t="str">
        <f t="shared" si="67"/>
        <v/>
      </c>
      <c r="K586" s="100" t="str">
        <f t="shared" si="68"/>
        <v/>
      </c>
    </row>
    <row r="587" spans="10:11">
      <c r="J587" s="100"/>
      <c r="K587" s="100"/>
    </row>
    <row r="588" spans="10:11">
      <c r="J588" s="100" t="str">
        <f t="shared" si="67"/>
        <v/>
      </c>
      <c r="K588" s="100" t="str">
        <f t="shared" si="68"/>
        <v/>
      </c>
    </row>
    <row r="589" spans="10:11">
      <c r="J589" s="100" t="str">
        <f t="shared" si="67"/>
        <v/>
      </c>
      <c r="K589" s="100" t="str">
        <f t="shared" si="68"/>
        <v/>
      </c>
    </row>
    <row r="590" spans="10:11">
      <c r="J590" s="100" t="str">
        <f t="shared" si="67"/>
        <v/>
      </c>
      <c r="K590" s="100" t="str">
        <f t="shared" si="68"/>
        <v/>
      </c>
    </row>
    <row r="591" spans="10:11">
      <c r="J591" s="100" t="str">
        <f t="shared" si="67"/>
        <v/>
      </c>
      <c r="K591" s="100" t="str">
        <f t="shared" si="68"/>
        <v/>
      </c>
    </row>
    <row r="592" spans="10:11">
      <c r="J592" s="100" t="str">
        <f t="shared" si="67"/>
        <v/>
      </c>
      <c r="K592" s="100" t="str">
        <f t="shared" si="68"/>
        <v/>
      </c>
    </row>
    <row r="593" spans="10:11">
      <c r="J593" s="100" t="str">
        <f t="shared" si="67"/>
        <v/>
      </c>
      <c r="K593" s="100" t="str">
        <f t="shared" si="68"/>
        <v/>
      </c>
    </row>
    <row r="594" spans="10:11">
      <c r="J594" s="100" t="str">
        <f t="shared" si="67"/>
        <v/>
      </c>
      <c r="K594" s="100" t="str">
        <f t="shared" si="68"/>
        <v/>
      </c>
    </row>
    <row r="595" spans="10:11">
      <c r="J595" s="100" t="str">
        <f t="shared" si="67"/>
        <v/>
      </c>
      <c r="K595" s="100" t="str">
        <f t="shared" si="68"/>
        <v/>
      </c>
    </row>
    <row r="596" spans="10:11">
      <c r="J596" s="100" t="str">
        <f t="shared" si="67"/>
        <v/>
      </c>
      <c r="K596" s="100" t="str">
        <f t="shared" si="68"/>
        <v/>
      </c>
    </row>
    <row r="597" spans="10:11">
      <c r="J597" s="100" t="str">
        <f t="shared" si="67"/>
        <v/>
      </c>
      <c r="K597" s="100" t="str">
        <f t="shared" si="68"/>
        <v/>
      </c>
    </row>
    <row r="598" spans="10:11">
      <c r="J598" s="100" t="str">
        <f t="shared" si="67"/>
        <v/>
      </c>
      <c r="K598" s="100" t="str">
        <f t="shared" si="68"/>
        <v/>
      </c>
    </row>
    <row r="599" spans="10:11">
      <c r="J599" s="100" t="str">
        <f t="shared" si="67"/>
        <v/>
      </c>
      <c r="K599" s="100" t="str">
        <f t="shared" si="68"/>
        <v/>
      </c>
    </row>
    <row r="600" spans="10:11">
      <c r="J600" s="100" t="str">
        <f t="shared" si="67"/>
        <v/>
      </c>
      <c r="K600" s="100" t="str">
        <f t="shared" si="68"/>
        <v/>
      </c>
    </row>
    <row r="601" spans="10:11">
      <c r="J601" s="100" t="str">
        <f t="shared" si="67"/>
        <v/>
      </c>
      <c r="K601" s="100" t="str">
        <f t="shared" si="68"/>
        <v/>
      </c>
    </row>
    <row r="602" spans="10:11">
      <c r="J602" s="100" t="str">
        <f t="shared" si="67"/>
        <v/>
      </c>
      <c r="K602" s="100" t="str">
        <f t="shared" si="68"/>
        <v/>
      </c>
    </row>
    <row r="603" spans="10:11">
      <c r="J603" s="100" t="str">
        <f t="shared" si="67"/>
        <v/>
      </c>
      <c r="K603" s="100" t="str">
        <f t="shared" si="68"/>
        <v/>
      </c>
    </row>
    <row r="604" spans="10:11">
      <c r="J604" s="100" t="str">
        <f t="shared" si="67"/>
        <v/>
      </c>
      <c r="K604" s="100" t="str">
        <f t="shared" si="68"/>
        <v/>
      </c>
    </row>
    <row r="605" spans="10:11">
      <c r="J605" s="100" t="str">
        <f t="shared" si="67"/>
        <v/>
      </c>
      <c r="K605" s="100" t="str">
        <f t="shared" si="68"/>
        <v/>
      </c>
    </row>
    <row r="606" spans="10:11">
      <c r="J606" s="100" t="str">
        <f t="shared" si="67"/>
        <v/>
      </c>
      <c r="K606" s="100" t="str">
        <f t="shared" si="68"/>
        <v/>
      </c>
    </row>
    <row r="607" spans="10:11">
      <c r="J607" s="100"/>
      <c r="K607" s="100"/>
    </row>
    <row r="608" spans="10:11">
      <c r="J608" s="100" t="str">
        <f t="shared" si="67"/>
        <v/>
      </c>
      <c r="K608" s="100" t="str">
        <f t="shared" si="68"/>
        <v/>
      </c>
    </row>
    <row r="609" spans="10:11">
      <c r="J609" s="100" t="str">
        <f t="shared" si="67"/>
        <v/>
      </c>
      <c r="K609" s="100" t="str">
        <f t="shared" si="68"/>
        <v/>
      </c>
    </row>
    <row r="610" spans="10:11">
      <c r="J610" s="100" t="str">
        <f t="shared" si="67"/>
        <v/>
      </c>
      <c r="K610" s="100" t="str">
        <f t="shared" si="68"/>
        <v/>
      </c>
    </row>
    <row r="611" spans="10:11">
      <c r="J611" s="100" t="str">
        <f t="shared" si="67"/>
        <v/>
      </c>
      <c r="K611" s="100" t="str">
        <f t="shared" si="68"/>
        <v/>
      </c>
    </row>
    <row r="612" spans="10:11">
      <c r="J612" s="100" t="str">
        <f t="shared" si="67"/>
        <v/>
      </c>
      <c r="K612" s="100" t="str">
        <f t="shared" si="68"/>
        <v/>
      </c>
    </row>
    <row r="613" spans="10:11">
      <c r="J613" s="100" t="str">
        <f t="shared" si="67"/>
        <v/>
      </c>
      <c r="K613" s="100" t="str">
        <f t="shared" si="68"/>
        <v/>
      </c>
    </row>
    <row r="614" spans="10:11">
      <c r="J614" s="100" t="str">
        <f t="shared" si="67"/>
        <v/>
      </c>
      <c r="K614" s="100" t="str">
        <f t="shared" si="68"/>
        <v/>
      </c>
    </row>
    <row r="615" spans="10:11">
      <c r="J615" s="100" t="str">
        <f t="shared" si="67"/>
        <v/>
      </c>
      <c r="K615" s="100" t="str">
        <f t="shared" si="68"/>
        <v/>
      </c>
    </row>
    <row r="616" spans="10:11">
      <c r="J616" s="100" t="str">
        <f t="shared" si="67"/>
        <v/>
      </c>
      <c r="K616" s="100" t="str">
        <f t="shared" si="68"/>
        <v/>
      </c>
    </row>
    <row r="617" spans="10:11">
      <c r="J617" s="100" t="str">
        <f t="shared" si="67"/>
        <v/>
      </c>
      <c r="K617" s="100" t="str">
        <f t="shared" si="68"/>
        <v/>
      </c>
    </row>
    <row r="618" spans="10:11">
      <c r="J618" s="100" t="str">
        <f t="shared" si="67"/>
        <v/>
      </c>
      <c r="K618" s="100" t="str">
        <f t="shared" si="68"/>
        <v/>
      </c>
    </row>
    <row r="619" spans="10:11">
      <c r="J619" s="100" t="str">
        <f t="shared" si="67"/>
        <v/>
      </c>
      <c r="K619" s="100" t="str">
        <f t="shared" si="68"/>
        <v/>
      </c>
    </row>
    <row r="620" spans="10:11">
      <c r="J620" s="100" t="str">
        <f t="shared" si="67"/>
        <v/>
      </c>
      <c r="K620" s="100" t="str">
        <f t="shared" si="68"/>
        <v/>
      </c>
    </row>
    <row r="621" spans="10:11">
      <c r="J621" s="100" t="str">
        <f t="shared" si="67"/>
        <v/>
      </c>
      <c r="K621" s="100" t="str">
        <f t="shared" si="68"/>
        <v/>
      </c>
    </row>
    <row r="622" spans="10:11">
      <c r="J622" s="100" t="str">
        <f t="shared" si="67"/>
        <v/>
      </c>
      <c r="K622" s="100" t="str">
        <f t="shared" si="68"/>
        <v/>
      </c>
    </row>
    <row r="623" spans="10:11">
      <c r="J623" s="100" t="str">
        <f t="shared" si="67"/>
        <v/>
      </c>
      <c r="K623" s="100" t="str">
        <f t="shared" si="68"/>
        <v/>
      </c>
    </row>
    <row r="624" spans="10:11">
      <c r="J624" s="100" t="str">
        <f t="shared" si="67"/>
        <v/>
      </c>
      <c r="K624" s="100" t="str">
        <f t="shared" si="68"/>
        <v/>
      </c>
    </row>
    <row r="625" spans="10:11">
      <c r="J625" s="100" t="str">
        <f t="shared" si="67"/>
        <v/>
      </c>
      <c r="K625" s="100" t="str">
        <f t="shared" si="68"/>
        <v/>
      </c>
    </row>
    <row r="626" spans="10:11">
      <c r="J626" s="100" t="str">
        <f t="shared" si="67"/>
        <v/>
      </c>
      <c r="K626" s="100" t="str">
        <f t="shared" si="68"/>
        <v/>
      </c>
    </row>
    <row r="627" spans="10:11">
      <c r="J627" s="100" t="str">
        <f t="shared" si="67"/>
        <v/>
      </c>
      <c r="K627" s="100" t="str">
        <f t="shared" si="68"/>
        <v/>
      </c>
    </row>
    <row r="628" spans="10:11">
      <c r="J628" s="100" t="str">
        <f t="shared" si="67"/>
        <v/>
      </c>
      <c r="K628" s="100" t="str">
        <f t="shared" si="68"/>
        <v/>
      </c>
    </row>
    <row r="629" spans="10:11">
      <c r="J629" s="100" t="str">
        <f t="shared" si="67"/>
        <v/>
      </c>
      <c r="K629" s="100" t="str">
        <f t="shared" si="68"/>
        <v/>
      </c>
    </row>
    <row r="630" spans="10:11">
      <c r="J630" s="100" t="str">
        <f t="shared" si="67"/>
        <v/>
      </c>
      <c r="K630" s="100" t="str">
        <f t="shared" si="68"/>
        <v/>
      </c>
    </row>
    <row r="631" spans="10:11">
      <c r="J631" s="100" t="str">
        <f t="shared" si="67"/>
        <v/>
      </c>
      <c r="K631" s="100" t="str">
        <f t="shared" si="68"/>
        <v/>
      </c>
    </row>
    <row r="632" spans="10:11">
      <c r="J632" s="100" t="str">
        <f t="shared" si="67"/>
        <v/>
      </c>
      <c r="K632" s="100" t="str">
        <f t="shared" si="68"/>
        <v/>
      </c>
    </row>
    <row r="633" spans="10:11">
      <c r="J633" s="100" t="str">
        <f t="shared" si="67"/>
        <v/>
      </c>
      <c r="K633" s="100" t="str">
        <f t="shared" si="68"/>
        <v/>
      </c>
    </row>
    <row r="634" spans="10:11">
      <c r="J634" s="100" t="str">
        <f t="shared" si="67"/>
        <v/>
      </c>
      <c r="K634" s="100" t="str">
        <f t="shared" si="68"/>
        <v/>
      </c>
    </row>
    <row r="635" spans="10:11">
      <c r="J635" s="100" t="str">
        <f t="shared" si="67"/>
        <v/>
      </c>
      <c r="K635" s="100" t="str">
        <f t="shared" si="68"/>
        <v/>
      </c>
    </row>
    <row r="636" spans="10:11">
      <c r="J636" s="100" t="str">
        <f t="shared" si="67"/>
        <v/>
      </c>
      <c r="K636" s="100" t="str">
        <f t="shared" si="68"/>
        <v/>
      </c>
    </row>
    <row r="637" spans="10:11">
      <c r="J637" s="100" t="str">
        <f t="shared" si="67"/>
        <v/>
      </c>
      <c r="K637" s="100" t="str">
        <f t="shared" si="68"/>
        <v/>
      </c>
    </row>
    <row r="638" spans="10:11">
      <c r="J638" s="100" t="str">
        <f t="shared" si="67"/>
        <v/>
      </c>
      <c r="K638" s="100" t="str">
        <f t="shared" si="68"/>
        <v/>
      </c>
    </row>
    <row r="639" spans="10:11">
      <c r="J639" s="100" t="str">
        <f t="shared" si="67"/>
        <v/>
      </c>
      <c r="K639" s="100" t="str">
        <f t="shared" si="68"/>
        <v/>
      </c>
    </row>
    <row r="640" spans="10:11">
      <c r="J640" s="100" t="str">
        <f t="shared" si="67"/>
        <v/>
      </c>
      <c r="K640" s="100" t="str">
        <f t="shared" si="68"/>
        <v/>
      </c>
    </row>
    <row r="641" spans="10:11">
      <c r="J641" s="100" t="str">
        <f t="shared" si="67"/>
        <v/>
      </c>
      <c r="K641" s="100" t="str">
        <f t="shared" si="68"/>
        <v/>
      </c>
    </row>
    <row r="642" spans="10:11">
      <c r="J642" s="100" t="str">
        <f t="shared" si="67"/>
        <v/>
      </c>
      <c r="K642" s="100" t="str">
        <f t="shared" si="68"/>
        <v/>
      </c>
    </row>
    <row r="643" spans="10:11">
      <c r="J643" s="100" t="str">
        <f t="shared" si="67"/>
        <v/>
      </c>
      <c r="K643" s="100" t="str">
        <f t="shared" si="68"/>
        <v/>
      </c>
    </row>
    <row r="644" spans="10:11">
      <c r="J644" s="100" t="str">
        <f t="shared" si="67"/>
        <v/>
      </c>
      <c r="K644" s="100" t="str">
        <f t="shared" si="68"/>
        <v/>
      </c>
    </row>
    <row r="645" spans="10:11">
      <c r="J645" s="100" t="str">
        <f t="shared" ref="J645:J709" si="69">C645&amp;D645&amp;G645</f>
        <v/>
      </c>
      <c r="K645" s="100" t="str">
        <f t="shared" ref="K645:K709" si="70">C645&amp;D645&amp;H645</f>
        <v/>
      </c>
    </row>
    <row r="646" spans="10:11">
      <c r="J646" s="100" t="str">
        <f t="shared" si="69"/>
        <v/>
      </c>
      <c r="K646" s="100" t="str">
        <f t="shared" si="70"/>
        <v/>
      </c>
    </row>
    <row r="647" spans="10:11">
      <c r="J647" s="100" t="str">
        <f t="shared" si="69"/>
        <v/>
      </c>
      <c r="K647" s="100" t="str">
        <f t="shared" si="70"/>
        <v/>
      </c>
    </row>
    <row r="648" spans="10:11">
      <c r="J648" s="100" t="str">
        <f t="shared" si="69"/>
        <v/>
      </c>
      <c r="K648" s="100" t="str">
        <f t="shared" si="70"/>
        <v/>
      </c>
    </row>
    <row r="649" spans="10:11">
      <c r="J649" s="100" t="str">
        <f t="shared" si="69"/>
        <v/>
      </c>
      <c r="K649" s="100" t="str">
        <f t="shared" si="70"/>
        <v/>
      </c>
    </row>
    <row r="650" spans="10:11">
      <c r="J650" s="100" t="str">
        <f t="shared" si="69"/>
        <v/>
      </c>
      <c r="K650" s="100" t="str">
        <f t="shared" si="70"/>
        <v/>
      </c>
    </row>
    <row r="651" spans="10:11">
      <c r="J651" s="100" t="str">
        <f t="shared" si="69"/>
        <v/>
      </c>
      <c r="K651" s="100" t="str">
        <f t="shared" si="70"/>
        <v/>
      </c>
    </row>
    <row r="652" spans="10:11">
      <c r="J652" s="100" t="str">
        <f t="shared" si="69"/>
        <v/>
      </c>
      <c r="K652" s="100" t="str">
        <f t="shared" si="70"/>
        <v/>
      </c>
    </row>
    <row r="653" spans="10:11">
      <c r="J653" s="100" t="str">
        <f t="shared" si="69"/>
        <v/>
      </c>
      <c r="K653" s="100" t="str">
        <f t="shared" si="70"/>
        <v/>
      </c>
    </row>
    <row r="654" spans="10:11">
      <c r="J654" s="100" t="str">
        <f t="shared" si="69"/>
        <v/>
      </c>
      <c r="K654" s="100" t="str">
        <f t="shared" si="70"/>
        <v/>
      </c>
    </row>
    <row r="655" spans="10:11">
      <c r="J655" s="100" t="str">
        <f t="shared" si="69"/>
        <v/>
      </c>
      <c r="K655" s="100" t="str">
        <f t="shared" si="70"/>
        <v/>
      </c>
    </row>
    <row r="656" spans="10:11">
      <c r="J656" s="100" t="str">
        <f t="shared" si="69"/>
        <v/>
      </c>
      <c r="K656" s="100" t="str">
        <f t="shared" si="70"/>
        <v/>
      </c>
    </row>
    <row r="657" spans="10:11">
      <c r="J657" s="100" t="str">
        <f t="shared" si="69"/>
        <v/>
      </c>
      <c r="K657" s="100" t="str">
        <f t="shared" si="70"/>
        <v/>
      </c>
    </row>
    <row r="658" spans="10:11">
      <c r="J658" s="100" t="str">
        <f t="shared" si="69"/>
        <v/>
      </c>
      <c r="K658" s="100" t="str">
        <f t="shared" si="70"/>
        <v/>
      </c>
    </row>
    <row r="659" spans="10:11">
      <c r="J659" s="100" t="str">
        <f t="shared" si="69"/>
        <v/>
      </c>
      <c r="K659" s="100" t="str">
        <f t="shared" si="70"/>
        <v/>
      </c>
    </row>
    <row r="660" spans="10:11">
      <c r="J660" s="100" t="str">
        <f t="shared" si="69"/>
        <v/>
      </c>
      <c r="K660" s="100" t="str">
        <f t="shared" si="70"/>
        <v/>
      </c>
    </row>
    <row r="661" spans="10:11">
      <c r="J661" s="100" t="str">
        <f t="shared" si="69"/>
        <v/>
      </c>
      <c r="K661" s="100" t="str">
        <f t="shared" si="70"/>
        <v/>
      </c>
    </row>
    <row r="662" spans="10:11">
      <c r="J662" s="100" t="str">
        <f t="shared" si="69"/>
        <v/>
      </c>
      <c r="K662" s="100" t="str">
        <f t="shared" si="70"/>
        <v/>
      </c>
    </row>
    <row r="663" spans="10:11">
      <c r="J663" s="100" t="str">
        <f t="shared" si="69"/>
        <v/>
      </c>
      <c r="K663" s="100" t="str">
        <f t="shared" si="70"/>
        <v/>
      </c>
    </row>
    <row r="664" spans="10:11">
      <c r="J664" s="100" t="str">
        <f t="shared" si="69"/>
        <v/>
      </c>
      <c r="K664" s="100" t="str">
        <f t="shared" si="70"/>
        <v/>
      </c>
    </row>
    <row r="665" spans="10:11">
      <c r="J665" s="100" t="str">
        <f t="shared" si="69"/>
        <v/>
      </c>
      <c r="K665" s="100" t="str">
        <f t="shared" si="70"/>
        <v/>
      </c>
    </row>
    <row r="666" spans="10:11">
      <c r="J666" s="100" t="str">
        <f t="shared" si="69"/>
        <v/>
      </c>
      <c r="K666" s="100" t="str">
        <f t="shared" si="70"/>
        <v/>
      </c>
    </row>
    <row r="667" spans="10:11">
      <c r="J667" s="100" t="str">
        <f t="shared" si="69"/>
        <v/>
      </c>
      <c r="K667" s="100" t="str">
        <f t="shared" si="70"/>
        <v/>
      </c>
    </row>
    <row r="668" spans="10:11">
      <c r="J668" s="100"/>
      <c r="K668" s="100"/>
    </row>
    <row r="669" spans="10:11">
      <c r="J669" s="100" t="str">
        <f t="shared" si="69"/>
        <v/>
      </c>
      <c r="K669" s="100" t="str">
        <f t="shared" si="70"/>
        <v/>
      </c>
    </row>
    <row r="670" spans="10:11">
      <c r="J670" s="100" t="str">
        <f t="shared" si="69"/>
        <v/>
      </c>
      <c r="K670" s="100" t="str">
        <f t="shared" si="70"/>
        <v/>
      </c>
    </row>
    <row r="671" spans="10:11">
      <c r="J671" s="100" t="str">
        <f t="shared" si="69"/>
        <v/>
      </c>
      <c r="K671" s="100" t="str">
        <f t="shared" si="70"/>
        <v/>
      </c>
    </row>
    <row r="672" spans="10:11">
      <c r="J672" s="100" t="str">
        <f t="shared" si="69"/>
        <v/>
      </c>
      <c r="K672" s="100" t="str">
        <f t="shared" si="70"/>
        <v/>
      </c>
    </row>
    <row r="673" spans="10:11">
      <c r="J673" s="100" t="str">
        <f t="shared" si="69"/>
        <v/>
      </c>
      <c r="K673" s="100" t="str">
        <f t="shared" si="70"/>
        <v/>
      </c>
    </row>
    <row r="674" spans="10:11">
      <c r="J674" s="100" t="str">
        <f t="shared" si="69"/>
        <v/>
      </c>
      <c r="K674" s="100" t="str">
        <f t="shared" si="70"/>
        <v/>
      </c>
    </row>
    <row r="675" spans="10:11">
      <c r="J675" s="100" t="str">
        <f t="shared" si="69"/>
        <v/>
      </c>
      <c r="K675" s="100" t="str">
        <f t="shared" si="70"/>
        <v/>
      </c>
    </row>
    <row r="676" spans="10:11">
      <c r="J676" s="100" t="str">
        <f t="shared" si="69"/>
        <v/>
      </c>
      <c r="K676" s="100" t="str">
        <f t="shared" si="70"/>
        <v/>
      </c>
    </row>
    <row r="677" spans="10:11">
      <c r="J677" s="100" t="str">
        <f t="shared" si="69"/>
        <v/>
      </c>
      <c r="K677" s="100" t="str">
        <f t="shared" si="70"/>
        <v/>
      </c>
    </row>
    <row r="678" spans="10:11">
      <c r="J678" s="100" t="str">
        <f t="shared" si="69"/>
        <v/>
      </c>
      <c r="K678" s="100" t="str">
        <f t="shared" si="70"/>
        <v/>
      </c>
    </row>
    <row r="679" spans="10:11">
      <c r="J679" s="100" t="str">
        <f t="shared" si="69"/>
        <v/>
      </c>
      <c r="K679" s="100" t="str">
        <f t="shared" si="70"/>
        <v/>
      </c>
    </row>
    <row r="680" spans="10:11">
      <c r="J680" s="100" t="str">
        <f t="shared" si="69"/>
        <v/>
      </c>
      <c r="K680" s="100" t="str">
        <f t="shared" si="70"/>
        <v/>
      </c>
    </row>
    <row r="681" spans="10:11">
      <c r="J681" s="100" t="str">
        <f t="shared" si="69"/>
        <v/>
      </c>
      <c r="K681" s="100" t="str">
        <f t="shared" si="70"/>
        <v/>
      </c>
    </row>
    <row r="682" spans="10:11">
      <c r="J682" s="100" t="str">
        <f t="shared" si="69"/>
        <v/>
      </c>
      <c r="K682" s="100" t="str">
        <f t="shared" si="70"/>
        <v/>
      </c>
    </row>
    <row r="683" spans="10:11">
      <c r="J683" s="100" t="str">
        <f t="shared" si="69"/>
        <v/>
      </c>
      <c r="K683" s="100" t="str">
        <f t="shared" si="70"/>
        <v/>
      </c>
    </row>
    <row r="684" spans="10:11">
      <c r="J684" s="100" t="str">
        <f t="shared" si="69"/>
        <v/>
      </c>
      <c r="K684" s="100" t="str">
        <f t="shared" si="70"/>
        <v/>
      </c>
    </row>
    <row r="685" spans="10:11">
      <c r="J685" s="100" t="str">
        <f t="shared" si="69"/>
        <v/>
      </c>
      <c r="K685" s="100" t="str">
        <f t="shared" si="70"/>
        <v/>
      </c>
    </row>
    <row r="686" spans="10:11">
      <c r="J686" s="100" t="str">
        <f t="shared" si="69"/>
        <v/>
      </c>
      <c r="K686" s="100" t="str">
        <f t="shared" si="70"/>
        <v/>
      </c>
    </row>
    <row r="687" spans="10:11">
      <c r="J687" s="100" t="str">
        <f t="shared" si="69"/>
        <v/>
      </c>
      <c r="K687" s="100" t="str">
        <f t="shared" si="70"/>
        <v/>
      </c>
    </row>
    <row r="688" spans="10:11">
      <c r="J688" s="100"/>
      <c r="K688" s="100"/>
    </row>
    <row r="689" spans="10:11">
      <c r="J689" s="100" t="str">
        <f t="shared" si="69"/>
        <v/>
      </c>
      <c r="K689" s="100" t="str">
        <f t="shared" si="70"/>
        <v/>
      </c>
    </row>
    <row r="690" spans="10:11">
      <c r="J690" s="100" t="str">
        <f t="shared" si="69"/>
        <v/>
      </c>
      <c r="K690" s="100" t="str">
        <f t="shared" si="70"/>
        <v/>
      </c>
    </row>
    <row r="691" spans="10:11">
      <c r="J691" s="100" t="str">
        <f t="shared" si="69"/>
        <v/>
      </c>
      <c r="K691" s="100" t="str">
        <f t="shared" si="70"/>
        <v/>
      </c>
    </row>
    <row r="692" spans="10:11">
      <c r="J692" s="100" t="str">
        <f t="shared" si="69"/>
        <v/>
      </c>
      <c r="K692" s="100" t="str">
        <f t="shared" si="70"/>
        <v/>
      </c>
    </row>
    <row r="693" spans="10:11">
      <c r="J693" s="100" t="str">
        <f t="shared" si="69"/>
        <v/>
      </c>
      <c r="K693" s="100" t="str">
        <f t="shared" si="70"/>
        <v/>
      </c>
    </row>
    <row r="694" spans="10:11">
      <c r="J694" s="100" t="str">
        <f t="shared" si="69"/>
        <v/>
      </c>
      <c r="K694" s="100" t="str">
        <f t="shared" si="70"/>
        <v/>
      </c>
    </row>
    <row r="695" spans="10:11">
      <c r="J695" s="100" t="str">
        <f t="shared" si="69"/>
        <v/>
      </c>
      <c r="K695" s="100" t="str">
        <f t="shared" si="70"/>
        <v/>
      </c>
    </row>
    <row r="696" spans="10:11">
      <c r="J696" s="100" t="str">
        <f t="shared" si="69"/>
        <v/>
      </c>
      <c r="K696" s="100" t="str">
        <f t="shared" si="70"/>
        <v/>
      </c>
    </row>
    <row r="697" spans="10:11">
      <c r="J697" s="100" t="str">
        <f t="shared" si="69"/>
        <v/>
      </c>
      <c r="K697" s="100" t="str">
        <f t="shared" si="70"/>
        <v/>
      </c>
    </row>
    <row r="698" spans="10:11">
      <c r="J698" s="100" t="str">
        <f t="shared" si="69"/>
        <v/>
      </c>
      <c r="K698" s="100" t="str">
        <f t="shared" si="70"/>
        <v/>
      </c>
    </row>
    <row r="699" spans="10:11">
      <c r="J699" s="100" t="str">
        <f t="shared" si="69"/>
        <v/>
      </c>
      <c r="K699" s="100" t="str">
        <f t="shared" si="70"/>
        <v/>
      </c>
    </row>
    <row r="700" spans="10:11">
      <c r="J700" s="100" t="str">
        <f t="shared" si="69"/>
        <v/>
      </c>
      <c r="K700" s="100" t="str">
        <f t="shared" si="70"/>
        <v/>
      </c>
    </row>
    <row r="701" spans="10:11">
      <c r="J701" s="100" t="str">
        <f t="shared" si="69"/>
        <v/>
      </c>
      <c r="K701" s="100" t="str">
        <f t="shared" si="70"/>
        <v/>
      </c>
    </row>
    <row r="702" spans="10:11">
      <c r="J702" s="100" t="str">
        <f t="shared" si="69"/>
        <v/>
      </c>
      <c r="K702" s="100" t="str">
        <f t="shared" si="70"/>
        <v/>
      </c>
    </row>
    <row r="703" spans="10:11">
      <c r="J703" s="100" t="str">
        <f t="shared" si="69"/>
        <v/>
      </c>
      <c r="K703" s="100" t="str">
        <f t="shared" si="70"/>
        <v/>
      </c>
    </row>
    <row r="704" spans="10:11">
      <c r="J704" s="100" t="str">
        <f t="shared" si="69"/>
        <v/>
      </c>
      <c r="K704" s="100" t="str">
        <f t="shared" si="70"/>
        <v/>
      </c>
    </row>
    <row r="705" spans="10:11">
      <c r="J705" s="100" t="str">
        <f t="shared" si="69"/>
        <v/>
      </c>
      <c r="K705" s="100" t="str">
        <f t="shared" si="70"/>
        <v/>
      </c>
    </row>
    <row r="706" spans="10:11">
      <c r="J706" s="100" t="str">
        <f t="shared" si="69"/>
        <v/>
      </c>
      <c r="K706" s="100" t="str">
        <f t="shared" si="70"/>
        <v/>
      </c>
    </row>
    <row r="707" spans="10:11">
      <c r="J707" s="100" t="str">
        <f t="shared" si="69"/>
        <v/>
      </c>
      <c r="K707" s="100" t="str">
        <f t="shared" si="70"/>
        <v/>
      </c>
    </row>
    <row r="708" spans="10:11">
      <c r="J708" s="100"/>
      <c r="K708" s="100"/>
    </row>
    <row r="709" spans="10:11">
      <c r="J709" s="100" t="str">
        <f t="shared" si="69"/>
        <v/>
      </c>
      <c r="K709" s="100" t="str">
        <f t="shared" si="70"/>
        <v/>
      </c>
    </row>
    <row r="710" spans="10:11">
      <c r="J710" s="100" t="str">
        <f t="shared" ref="J710:J777" si="71">C710&amp;D710&amp;G710</f>
        <v/>
      </c>
      <c r="K710" s="100" t="str">
        <f t="shared" ref="K710:K777" si="72">C710&amp;D710&amp;H710</f>
        <v/>
      </c>
    </row>
    <row r="711" spans="10:11">
      <c r="J711" s="100" t="str">
        <f t="shared" si="71"/>
        <v/>
      </c>
      <c r="K711" s="100" t="str">
        <f t="shared" si="72"/>
        <v/>
      </c>
    </row>
    <row r="712" spans="10:11">
      <c r="J712" s="100" t="str">
        <f t="shared" si="71"/>
        <v/>
      </c>
      <c r="K712" s="100" t="str">
        <f t="shared" si="72"/>
        <v/>
      </c>
    </row>
    <row r="713" spans="10:11">
      <c r="J713" s="100" t="str">
        <f t="shared" si="71"/>
        <v/>
      </c>
      <c r="K713" s="100" t="str">
        <f t="shared" si="72"/>
        <v/>
      </c>
    </row>
    <row r="714" spans="10:11">
      <c r="J714" s="100" t="str">
        <f t="shared" si="71"/>
        <v/>
      </c>
      <c r="K714" s="100" t="str">
        <f t="shared" si="72"/>
        <v/>
      </c>
    </row>
    <row r="715" spans="10:11">
      <c r="J715" s="100" t="str">
        <f t="shared" si="71"/>
        <v/>
      </c>
      <c r="K715" s="100" t="str">
        <f t="shared" si="72"/>
        <v/>
      </c>
    </row>
    <row r="716" spans="10:11">
      <c r="J716" s="100" t="str">
        <f t="shared" si="71"/>
        <v/>
      </c>
      <c r="K716" s="100" t="str">
        <f t="shared" si="72"/>
        <v/>
      </c>
    </row>
    <row r="717" spans="10:11">
      <c r="J717" s="100" t="str">
        <f t="shared" si="71"/>
        <v/>
      </c>
      <c r="K717" s="100" t="str">
        <f t="shared" si="72"/>
        <v/>
      </c>
    </row>
    <row r="718" spans="10:11">
      <c r="J718" s="100" t="str">
        <f t="shared" si="71"/>
        <v/>
      </c>
      <c r="K718" s="100" t="str">
        <f t="shared" si="72"/>
        <v/>
      </c>
    </row>
    <row r="719" spans="10:11">
      <c r="J719" s="100" t="str">
        <f t="shared" si="71"/>
        <v/>
      </c>
      <c r="K719" s="100" t="str">
        <f t="shared" si="72"/>
        <v/>
      </c>
    </row>
    <row r="720" spans="10:11">
      <c r="J720" s="100" t="str">
        <f t="shared" si="71"/>
        <v/>
      </c>
      <c r="K720" s="100" t="str">
        <f t="shared" si="72"/>
        <v/>
      </c>
    </row>
    <row r="721" spans="10:11">
      <c r="J721" s="100" t="str">
        <f t="shared" si="71"/>
        <v/>
      </c>
      <c r="K721" s="100" t="str">
        <f t="shared" si="72"/>
        <v/>
      </c>
    </row>
    <row r="722" spans="10:11">
      <c r="J722" s="100" t="str">
        <f t="shared" si="71"/>
        <v/>
      </c>
      <c r="K722" s="100" t="str">
        <f t="shared" si="72"/>
        <v/>
      </c>
    </row>
    <row r="723" spans="10:11">
      <c r="J723" s="100" t="str">
        <f t="shared" si="71"/>
        <v/>
      </c>
      <c r="K723" s="100" t="str">
        <f t="shared" si="72"/>
        <v/>
      </c>
    </row>
    <row r="724" spans="10:11">
      <c r="J724" s="100" t="str">
        <f t="shared" si="71"/>
        <v/>
      </c>
      <c r="K724" s="100" t="str">
        <f t="shared" si="72"/>
        <v/>
      </c>
    </row>
    <row r="725" spans="10:11">
      <c r="J725" s="100" t="str">
        <f t="shared" si="71"/>
        <v/>
      </c>
      <c r="K725" s="100" t="str">
        <f t="shared" si="72"/>
        <v/>
      </c>
    </row>
    <row r="726" spans="10:11">
      <c r="J726" s="100" t="str">
        <f t="shared" si="71"/>
        <v/>
      </c>
      <c r="K726" s="100" t="str">
        <f t="shared" si="72"/>
        <v/>
      </c>
    </row>
    <row r="727" spans="10:11">
      <c r="J727" s="100" t="str">
        <f t="shared" si="71"/>
        <v/>
      </c>
      <c r="K727" s="100" t="str">
        <f t="shared" si="72"/>
        <v/>
      </c>
    </row>
    <row r="728" spans="10:11">
      <c r="J728" s="100"/>
      <c r="K728" s="100"/>
    </row>
    <row r="729" spans="10:11">
      <c r="J729" s="100" t="str">
        <f t="shared" si="71"/>
        <v/>
      </c>
      <c r="K729" s="100" t="str">
        <f t="shared" si="72"/>
        <v/>
      </c>
    </row>
    <row r="730" spans="10:11">
      <c r="J730" s="100" t="str">
        <f t="shared" si="71"/>
        <v/>
      </c>
      <c r="K730" s="100" t="str">
        <f t="shared" si="72"/>
        <v/>
      </c>
    </row>
    <row r="731" spans="10:11">
      <c r="J731" s="100" t="str">
        <f t="shared" si="71"/>
        <v/>
      </c>
      <c r="K731" s="100" t="str">
        <f t="shared" si="72"/>
        <v/>
      </c>
    </row>
    <row r="732" spans="10:11">
      <c r="J732" s="100" t="str">
        <f t="shared" si="71"/>
        <v/>
      </c>
      <c r="K732" s="100" t="str">
        <f t="shared" si="72"/>
        <v/>
      </c>
    </row>
    <row r="733" spans="10:11">
      <c r="J733" s="100" t="str">
        <f t="shared" si="71"/>
        <v/>
      </c>
      <c r="K733" s="100" t="str">
        <f t="shared" si="72"/>
        <v/>
      </c>
    </row>
    <row r="734" spans="10:11">
      <c r="J734" s="100" t="str">
        <f t="shared" si="71"/>
        <v/>
      </c>
      <c r="K734" s="100" t="str">
        <f t="shared" si="72"/>
        <v/>
      </c>
    </row>
    <row r="735" spans="10:11">
      <c r="J735" s="100" t="str">
        <f t="shared" si="71"/>
        <v/>
      </c>
      <c r="K735" s="100" t="str">
        <f t="shared" si="72"/>
        <v/>
      </c>
    </row>
    <row r="736" spans="10:11">
      <c r="J736" s="100" t="str">
        <f t="shared" si="71"/>
        <v/>
      </c>
      <c r="K736" s="100" t="str">
        <f t="shared" si="72"/>
        <v/>
      </c>
    </row>
    <row r="737" spans="10:11">
      <c r="J737" s="100" t="str">
        <f t="shared" si="71"/>
        <v/>
      </c>
      <c r="K737" s="100" t="str">
        <f t="shared" si="72"/>
        <v/>
      </c>
    </row>
    <row r="738" spans="10:11">
      <c r="J738" s="100" t="str">
        <f t="shared" si="71"/>
        <v/>
      </c>
      <c r="K738" s="100" t="str">
        <f t="shared" si="72"/>
        <v/>
      </c>
    </row>
    <row r="739" spans="10:11">
      <c r="J739" s="100" t="str">
        <f t="shared" si="71"/>
        <v/>
      </c>
      <c r="K739" s="100" t="str">
        <f t="shared" si="72"/>
        <v/>
      </c>
    </row>
    <row r="740" spans="10:11">
      <c r="J740" s="100" t="str">
        <f t="shared" si="71"/>
        <v/>
      </c>
      <c r="K740" s="100" t="str">
        <f t="shared" si="72"/>
        <v/>
      </c>
    </row>
    <row r="741" spans="10:11">
      <c r="J741" s="100" t="str">
        <f t="shared" si="71"/>
        <v/>
      </c>
      <c r="K741" s="100" t="str">
        <f t="shared" si="72"/>
        <v/>
      </c>
    </row>
    <row r="742" spans="10:11">
      <c r="J742" s="100" t="str">
        <f t="shared" si="71"/>
        <v/>
      </c>
      <c r="K742" s="100" t="str">
        <f t="shared" si="72"/>
        <v/>
      </c>
    </row>
    <row r="743" spans="10:11">
      <c r="J743" s="100" t="str">
        <f t="shared" si="71"/>
        <v/>
      </c>
      <c r="K743" s="100" t="str">
        <f t="shared" si="72"/>
        <v/>
      </c>
    </row>
    <row r="744" spans="10:11">
      <c r="J744" s="100" t="str">
        <f t="shared" si="71"/>
        <v/>
      </c>
      <c r="K744" s="100" t="str">
        <f t="shared" si="72"/>
        <v/>
      </c>
    </row>
    <row r="745" spans="10:11">
      <c r="J745" s="100" t="str">
        <f t="shared" si="71"/>
        <v/>
      </c>
      <c r="K745" s="100" t="str">
        <f t="shared" si="72"/>
        <v/>
      </c>
    </row>
    <row r="746" spans="10:11">
      <c r="J746" s="100" t="str">
        <f t="shared" si="71"/>
        <v/>
      </c>
      <c r="K746" s="100" t="str">
        <f t="shared" si="72"/>
        <v/>
      </c>
    </row>
    <row r="747" spans="10:11">
      <c r="J747" s="100" t="str">
        <f t="shared" si="71"/>
        <v/>
      </c>
      <c r="K747" s="100" t="str">
        <f t="shared" si="72"/>
        <v/>
      </c>
    </row>
    <row r="748" spans="10:11">
      <c r="J748" s="100" t="str">
        <f t="shared" si="71"/>
        <v/>
      </c>
      <c r="K748" s="100" t="str">
        <f t="shared" si="72"/>
        <v/>
      </c>
    </row>
    <row r="749" spans="10:11">
      <c r="J749" s="100" t="str">
        <f t="shared" si="71"/>
        <v/>
      </c>
      <c r="K749" s="100" t="str">
        <f t="shared" si="72"/>
        <v/>
      </c>
    </row>
    <row r="750" spans="10:11">
      <c r="J750" s="100" t="str">
        <f t="shared" si="71"/>
        <v/>
      </c>
      <c r="K750" s="100" t="str">
        <f t="shared" si="72"/>
        <v/>
      </c>
    </row>
    <row r="751" spans="10:11">
      <c r="J751" s="100" t="str">
        <f t="shared" si="71"/>
        <v/>
      </c>
      <c r="K751" s="100" t="str">
        <f t="shared" si="72"/>
        <v/>
      </c>
    </row>
    <row r="752" spans="10:11">
      <c r="J752" s="100" t="str">
        <f t="shared" si="71"/>
        <v/>
      </c>
      <c r="K752" s="100" t="str">
        <f t="shared" si="72"/>
        <v/>
      </c>
    </row>
    <row r="753" spans="10:11">
      <c r="J753" s="100" t="str">
        <f t="shared" si="71"/>
        <v/>
      </c>
      <c r="K753" s="100" t="str">
        <f t="shared" si="72"/>
        <v/>
      </c>
    </row>
    <row r="754" spans="10:11">
      <c r="J754" s="100" t="str">
        <f t="shared" si="71"/>
        <v/>
      </c>
      <c r="K754" s="100" t="str">
        <f t="shared" si="72"/>
        <v/>
      </c>
    </row>
    <row r="755" spans="10:11">
      <c r="J755" s="100" t="str">
        <f t="shared" si="71"/>
        <v/>
      </c>
      <c r="K755" s="100" t="str">
        <f t="shared" si="72"/>
        <v/>
      </c>
    </row>
    <row r="756" spans="10:11">
      <c r="J756" s="100" t="str">
        <f t="shared" si="71"/>
        <v/>
      </c>
      <c r="K756" s="100" t="str">
        <f t="shared" si="72"/>
        <v/>
      </c>
    </row>
    <row r="757" spans="10:11">
      <c r="J757" s="100" t="str">
        <f t="shared" si="71"/>
        <v/>
      </c>
      <c r="K757" s="100" t="str">
        <f t="shared" si="72"/>
        <v/>
      </c>
    </row>
    <row r="758" spans="10:11">
      <c r="J758" s="100" t="str">
        <f t="shared" si="71"/>
        <v/>
      </c>
      <c r="K758" s="100" t="str">
        <f t="shared" si="72"/>
        <v/>
      </c>
    </row>
    <row r="759" spans="10:11">
      <c r="J759" s="100" t="str">
        <f t="shared" si="71"/>
        <v/>
      </c>
      <c r="K759" s="100" t="str">
        <f t="shared" si="72"/>
        <v/>
      </c>
    </row>
    <row r="760" spans="10:11">
      <c r="J760" s="100" t="str">
        <f t="shared" si="71"/>
        <v/>
      </c>
      <c r="K760" s="100" t="str">
        <f t="shared" si="72"/>
        <v/>
      </c>
    </row>
    <row r="761" spans="10:11">
      <c r="J761" s="100" t="str">
        <f t="shared" si="71"/>
        <v/>
      </c>
      <c r="K761" s="100" t="str">
        <f t="shared" si="72"/>
        <v/>
      </c>
    </row>
    <row r="762" spans="10:11">
      <c r="J762" s="100" t="str">
        <f t="shared" si="71"/>
        <v/>
      </c>
      <c r="K762" s="100" t="str">
        <f t="shared" si="72"/>
        <v/>
      </c>
    </row>
    <row r="763" spans="10:11">
      <c r="J763" s="100" t="str">
        <f t="shared" si="71"/>
        <v/>
      </c>
      <c r="K763" s="100" t="str">
        <f t="shared" si="72"/>
        <v/>
      </c>
    </row>
    <row r="764" spans="10:11">
      <c r="J764" s="100" t="str">
        <f t="shared" si="71"/>
        <v/>
      </c>
      <c r="K764" s="100" t="str">
        <f t="shared" si="72"/>
        <v/>
      </c>
    </row>
    <row r="765" spans="10:11">
      <c r="J765" s="100" t="str">
        <f t="shared" si="71"/>
        <v/>
      </c>
      <c r="K765" s="100" t="str">
        <f t="shared" si="72"/>
        <v/>
      </c>
    </row>
    <row r="766" spans="10:11">
      <c r="J766" s="100" t="str">
        <f t="shared" si="71"/>
        <v/>
      </c>
      <c r="K766" s="100" t="str">
        <f t="shared" si="72"/>
        <v/>
      </c>
    </row>
    <row r="767" spans="10:11">
      <c r="J767" s="100" t="str">
        <f t="shared" si="71"/>
        <v/>
      </c>
      <c r="K767" s="100" t="str">
        <f t="shared" si="72"/>
        <v/>
      </c>
    </row>
    <row r="768" spans="10:11">
      <c r="J768" s="100" t="str">
        <f t="shared" si="71"/>
        <v/>
      </c>
      <c r="K768" s="100" t="str">
        <f t="shared" si="72"/>
        <v/>
      </c>
    </row>
    <row r="769" spans="10:11">
      <c r="J769" s="100" t="str">
        <f t="shared" si="71"/>
        <v/>
      </c>
      <c r="K769" s="100" t="str">
        <f t="shared" si="72"/>
        <v/>
      </c>
    </row>
    <row r="770" spans="10:11">
      <c r="J770" s="100" t="str">
        <f t="shared" si="71"/>
        <v/>
      </c>
      <c r="K770" s="100" t="str">
        <f t="shared" si="72"/>
        <v/>
      </c>
    </row>
    <row r="771" spans="10:11">
      <c r="J771" s="100" t="str">
        <f t="shared" si="71"/>
        <v/>
      </c>
      <c r="K771" s="100" t="str">
        <f t="shared" si="72"/>
        <v/>
      </c>
    </row>
    <row r="772" spans="10:11">
      <c r="J772" s="100" t="str">
        <f t="shared" si="71"/>
        <v/>
      </c>
      <c r="K772" s="100" t="str">
        <f t="shared" si="72"/>
        <v/>
      </c>
    </row>
    <row r="773" spans="10:11">
      <c r="J773" s="100" t="str">
        <f t="shared" si="71"/>
        <v/>
      </c>
      <c r="K773" s="100" t="str">
        <f t="shared" si="72"/>
        <v/>
      </c>
    </row>
    <row r="774" spans="10:11">
      <c r="J774" s="100" t="str">
        <f t="shared" si="71"/>
        <v/>
      </c>
      <c r="K774" s="100" t="str">
        <f t="shared" si="72"/>
        <v/>
      </c>
    </row>
    <row r="775" spans="10:11">
      <c r="J775" s="100" t="str">
        <f t="shared" si="71"/>
        <v/>
      </c>
      <c r="K775" s="100" t="str">
        <f t="shared" si="72"/>
        <v/>
      </c>
    </row>
    <row r="776" spans="10:11">
      <c r="J776" s="100" t="str">
        <f t="shared" si="71"/>
        <v/>
      </c>
      <c r="K776" s="100" t="str">
        <f t="shared" si="72"/>
        <v/>
      </c>
    </row>
    <row r="777" spans="10:11">
      <c r="J777" s="100" t="str">
        <f t="shared" si="71"/>
        <v/>
      </c>
      <c r="K777" s="100" t="str">
        <f t="shared" si="72"/>
        <v/>
      </c>
    </row>
    <row r="778" spans="10:11">
      <c r="J778" s="100" t="str">
        <f t="shared" ref="J778:J842" si="73">C778&amp;D778&amp;G778</f>
        <v/>
      </c>
      <c r="K778" s="100" t="str">
        <f t="shared" ref="K778:K842" si="74">C778&amp;D778&amp;H778</f>
        <v/>
      </c>
    </row>
    <row r="779" spans="10:11">
      <c r="J779" s="100" t="str">
        <f t="shared" si="73"/>
        <v/>
      </c>
      <c r="K779" s="100" t="str">
        <f t="shared" si="74"/>
        <v/>
      </c>
    </row>
    <row r="780" spans="10:11">
      <c r="J780" s="100" t="str">
        <f t="shared" si="73"/>
        <v/>
      </c>
      <c r="K780" s="100" t="str">
        <f t="shared" si="74"/>
        <v/>
      </c>
    </row>
    <row r="781" spans="10:11">
      <c r="J781" s="100" t="str">
        <f t="shared" si="73"/>
        <v/>
      </c>
      <c r="K781" s="100" t="str">
        <f t="shared" si="74"/>
        <v/>
      </c>
    </row>
    <row r="782" spans="10:11">
      <c r="J782" s="100" t="str">
        <f t="shared" si="73"/>
        <v/>
      </c>
      <c r="K782" s="100" t="str">
        <f t="shared" si="74"/>
        <v/>
      </c>
    </row>
    <row r="783" spans="10:11">
      <c r="J783" s="100" t="str">
        <f t="shared" si="73"/>
        <v/>
      </c>
      <c r="K783" s="100" t="str">
        <f t="shared" si="74"/>
        <v/>
      </c>
    </row>
    <row r="784" spans="10:11">
      <c r="J784" s="100" t="str">
        <f t="shared" si="73"/>
        <v/>
      </c>
      <c r="K784" s="100" t="str">
        <f t="shared" si="74"/>
        <v/>
      </c>
    </row>
    <row r="785" spans="10:11">
      <c r="J785" s="100" t="str">
        <f t="shared" si="73"/>
        <v/>
      </c>
      <c r="K785" s="100" t="str">
        <f t="shared" si="74"/>
        <v/>
      </c>
    </row>
    <row r="786" spans="10:11">
      <c r="J786" s="100" t="str">
        <f t="shared" si="73"/>
        <v/>
      </c>
      <c r="K786" s="100" t="str">
        <f t="shared" si="74"/>
        <v/>
      </c>
    </row>
    <row r="787" spans="10:11">
      <c r="J787" s="100" t="str">
        <f t="shared" si="73"/>
        <v/>
      </c>
      <c r="K787" s="100" t="str">
        <f t="shared" si="74"/>
        <v/>
      </c>
    </row>
    <row r="788" spans="10:11">
      <c r="J788" s="100" t="str">
        <f t="shared" si="73"/>
        <v/>
      </c>
      <c r="K788" s="100" t="str">
        <f t="shared" si="74"/>
        <v/>
      </c>
    </row>
    <row r="789" spans="10:11">
      <c r="J789" s="100" t="str">
        <f t="shared" si="73"/>
        <v/>
      </c>
      <c r="K789" s="100" t="str">
        <f t="shared" si="74"/>
        <v/>
      </c>
    </row>
    <row r="790" spans="10:11">
      <c r="J790" s="100" t="str">
        <f t="shared" si="73"/>
        <v/>
      </c>
      <c r="K790" s="100" t="str">
        <f t="shared" si="74"/>
        <v/>
      </c>
    </row>
    <row r="791" spans="10:11">
      <c r="J791" s="100" t="str">
        <f t="shared" si="73"/>
        <v/>
      </c>
      <c r="K791" s="100" t="str">
        <f t="shared" si="74"/>
        <v/>
      </c>
    </row>
    <row r="792" spans="10:11">
      <c r="J792" s="100" t="str">
        <f t="shared" si="73"/>
        <v/>
      </c>
      <c r="K792" s="100" t="str">
        <f t="shared" si="74"/>
        <v/>
      </c>
    </row>
    <row r="793" spans="10:11">
      <c r="J793" s="100" t="str">
        <f t="shared" si="73"/>
        <v/>
      </c>
      <c r="K793" s="100" t="str">
        <f t="shared" si="74"/>
        <v/>
      </c>
    </row>
    <row r="794" spans="10:11">
      <c r="J794" s="100"/>
      <c r="K794" s="100"/>
    </row>
    <row r="795" spans="10:11">
      <c r="J795" s="100" t="str">
        <f t="shared" si="73"/>
        <v/>
      </c>
      <c r="K795" s="100" t="str">
        <f t="shared" si="74"/>
        <v/>
      </c>
    </row>
    <row r="796" spans="10:11">
      <c r="J796" s="100" t="str">
        <f t="shared" si="73"/>
        <v/>
      </c>
      <c r="K796" s="100" t="str">
        <f t="shared" si="74"/>
        <v/>
      </c>
    </row>
    <row r="797" spans="10:11">
      <c r="J797" s="100" t="str">
        <f t="shared" si="73"/>
        <v/>
      </c>
      <c r="K797" s="100" t="str">
        <f t="shared" si="74"/>
        <v/>
      </c>
    </row>
    <row r="798" spans="10:11">
      <c r="J798" s="100" t="str">
        <f t="shared" si="73"/>
        <v/>
      </c>
      <c r="K798" s="100" t="str">
        <f t="shared" si="74"/>
        <v/>
      </c>
    </row>
    <row r="799" spans="10:11">
      <c r="J799" s="100" t="str">
        <f t="shared" si="73"/>
        <v/>
      </c>
      <c r="K799" s="100" t="str">
        <f t="shared" si="74"/>
        <v/>
      </c>
    </row>
    <row r="800" spans="10:11">
      <c r="J800" s="100" t="str">
        <f t="shared" si="73"/>
        <v/>
      </c>
      <c r="K800" s="100" t="str">
        <f t="shared" si="74"/>
        <v/>
      </c>
    </row>
    <row r="801" spans="10:11">
      <c r="J801" s="100" t="str">
        <f t="shared" si="73"/>
        <v/>
      </c>
      <c r="K801" s="100" t="str">
        <f t="shared" si="74"/>
        <v/>
      </c>
    </row>
    <row r="802" spans="10:11">
      <c r="J802" s="100" t="str">
        <f t="shared" si="73"/>
        <v/>
      </c>
      <c r="K802" s="100" t="str">
        <f t="shared" si="74"/>
        <v/>
      </c>
    </row>
    <row r="803" spans="10:11">
      <c r="J803" s="100" t="str">
        <f t="shared" si="73"/>
        <v/>
      </c>
      <c r="K803" s="100" t="str">
        <f t="shared" si="74"/>
        <v/>
      </c>
    </row>
    <row r="804" spans="10:11">
      <c r="J804" s="100" t="str">
        <f t="shared" si="73"/>
        <v/>
      </c>
      <c r="K804" s="100" t="str">
        <f t="shared" si="74"/>
        <v/>
      </c>
    </row>
    <row r="805" spans="10:11">
      <c r="J805" s="100" t="str">
        <f t="shared" si="73"/>
        <v/>
      </c>
      <c r="K805" s="100" t="str">
        <f t="shared" si="74"/>
        <v/>
      </c>
    </row>
    <row r="806" spans="10:11">
      <c r="J806" s="100" t="str">
        <f t="shared" si="73"/>
        <v/>
      </c>
      <c r="K806" s="100" t="str">
        <f t="shared" si="74"/>
        <v/>
      </c>
    </row>
    <row r="807" spans="10:11">
      <c r="J807" s="100" t="str">
        <f t="shared" si="73"/>
        <v/>
      </c>
      <c r="K807" s="100" t="str">
        <f t="shared" si="74"/>
        <v/>
      </c>
    </row>
    <row r="808" spans="10:11">
      <c r="J808" s="100" t="str">
        <f t="shared" si="73"/>
        <v/>
      </c>
      <c r="K808" s="100" t="str">
        <f t="shared" si="74"/>
        <v/>
      </c>
    </row>
    <row r="809" spans="10:11">
      <c r="J809" s="100" t="str">
        <f t="shared" si="73"/>
        <v/>
      </c>
      <c r="K809" s="100" t="str">
        <f t="shared" si="74"/>
        <v/>
      </c>
    </row>
    <row r="810" spans="10:11">
      <c r="J810" s="100" t="str">
        <f t="shared" si="73"/>
        <v/>
      </c>
      <c r="K810" s="100" t="str">
        <f t="shared" si="74"/>
        <v/>
      </c>
    </row>
    <row r="811" spans="10:11">
      <c r="J811" s="100" t="str">
        <f t="shared" si="73"/>
        <v/>
      </c>
      <c r="K811" s="100" t="str">
        <f t="shared" si="74"/>
        <v/>
      </c>
    </row>
    <row r="812" spans="10:11">
      <c r="J812" s="100" t="str">
        <f t="shared" si="73"/>
        <v/>
      </c>
      <c r="K812" s="100" t="str">
        <f t="shared" si="74"/>
        <v/>
      </c>
    </row>
    <row r="813" spans="10:11">
      <c r="J813" s="100" t="str">
        <f t="shared" si="73"/>
        <v/>
      </c>
      <c r="K813" s="100" t="str">
        <f t="shared" si="74"/>
        <v/>
      </c>
    </row>
    <row r="814" spans="10:11">
      <c r="J814" s="100" t="str">
        <f t="shared" si="73"/>
        <v/>
      </c>
      <c r="K814" s="100" t="str">
        <f t="shared" si="74"/>
        <v/>
      </c>
    </row>
    <row r="815" spans="10:11">
      <c r="J815" s="100" t="str">
        <f t="shared" si="73"/>
        <v/>
      </c>
      <c r="K815" s="100" t="str">
        <f t="shared" si="74"/>
        <v/>
      </c>
    </row>
    <row r="816" spans="10:11">
      <c r="J816" s="100" t="str">
        <f t="shared" si="73"/>
        <v/>
      </c>
      <c r="K816" s="100" t="str">
        <f t="shared" si="74"/>
        <v/>
      </c>
    </row>
    <row r="817" spans="10:11">
      <c r="J817" s="100" t="str">
        <f t="shared" si="73"/>
        <v/>
      </c>
      <c r="K817" s="100" t="str">
        <f t="shared" si="74"/>
        <v/>
      </c>
    </row>
    <row r="818" spans="10:11">
      <c r="J818" s="100" t="str">
        <f t="shared" si="73"/>
        <v/>
      </c>
      <c r="K818" s="100" t="str">
        <f t="shared" si="74"/>
        <v/>
      </c>
    </row>
    <row r="819" spans="10:11">
      <c r="J819" s="100" t="str">
        <f t="shared" si="73"/>
        <v/>
      </c>
      <c r="K819" s="100" t="str">
        <f t="shared" si="74"/>
        <v/>
      </c>
    </row>
    <row r="820" spans="10:11">
      <c r="J820" s="100" t="str">
        <f t="shared" si="73"/>
        <v/>
      </c>
      <c r="K820" s="100" t="str">
        <f t="shared" si="74"/>
        <v/>
      </c>
    </row>
    <row r="821" spans="10:11">
      <c r="J821" s="100" t="str">
        <f t="shared" si="73"/>
        <v/>
      </c>
      <c r="K821" s="100" t="str">
        <f t="shared" si="74"/>
        <v/>
      </c>
    </row>
    <row r="822" spans="10:11">
      <c r="J822" s="100" t="str">
        <f t="shared" si="73"/>
        <v/>
      </c>
      <c r="K822" s="100" t="str">
        <f t="shared" si="74"/>
        <v/>
      </c>
    </row>
    <row r="823" spans="10:11">
      <c r="J823" s="100" t="str">
        <f t="shared" si="73"/>
        <v/>
      </c>
      <c r="K823" s="100" t="str">
        <f t="shared" si="74"/>
        <v/>
      </c>
    </row>
    <row r="824" spans="10:11">
      <c r="J824" s="100" t="str">
        <f t="shared" si="73"/>
        <v/>
      </c>
      <c r="K824" s="100" t="str">
        <f t="shared" si="74"/>
        <v/>
      </c>
    </row>
    <row r="825" spans="10:11">
      <c r="J825" s="100" t="str">
        <f t="shared" si="73"/>
        <v/>
      </c>
      <c r="K825" s="100" t="str">
        <f t="shared" si="74"/>
        <v/>
      </c>
    </row>
    <row r="826" spans="10:11">
      <c r="J826" s="100" t="str">
        <f t="shared" si="73"/>
        <v/>
      </c>
      <c r="K826" s="100" t="str">
        <f t="shared" si="74"/>
        <v/>
      </c>
    </row>
    <row r="827" spans="10:11">
      <c r="J827" s="100" t="str">
        <f t="shared" si="73"/>
        <v/>
      </c>
      <c r="K827" s="100" t="str">
        <f t="shared" si="74"/>
        <v/>
      </c>
    </row>
    <row r="828" spans="10:11">
      <c r="J828" s="100" t="str">
        <f t="shared" si="73"/>
        <v/>
      </c>
      <c r="K828" s="100" t="str">
        <f t="shared" si="74"/>
        <v/>
      </c>
    </row>
    <row r="829" spans="10:11">
      <c r="J829" s="100" t="str">
        <f t="shared" si="73"/>
        <v/>
      </c>
      <c r="K829" s="100" t="str">
        <f t="shared" si="74"/>
        <v/>
      </c>
    </row>
    <row r="830" spans="10:11">
      <c r="J830" s="100" t="str">
        <f t="shared" si="73"/>
        <v/>
      </c>
      <c r="K830" s="100" t="str">
        <f t="shared" si="74"/>
        <v/>
      </c>
    </row>
    <row r="831" spans="10:11">
      <c r="J831" s="100" t="str">
        <f t="shared" si="73"/>
        <v/>
      </c>
      <c r="K831" s="100" t="str">
        <f t="shared" si="74"/>
        <v/>
      </c>
    </row>
    <row r="832" spans="10:11">
      <c r="J832" s="100" t="str">
        <f t="shared" si="73"/>
        <v/>
      </c>
      <c r="K832" s="100" t="str">
        <f t="shared" si="74"/>
        <v/>
      </c>
    </row>
    <row r="833" spans="10:11">
      <c r="J833" s="100" t="str">
        <f t="shared" si="73"/>
        <v/>
      </c>
      <c r="K833" s="100" t="str">
        <f t="shared" si="74"/>
        <v/>
      </c>
    </row>
    <row r="834" spans="10:11">
      <c r="J834" s="100" t="str">
        <f t="shared" si="73"/>
        <v/>
      </c>
      <c r="K834" s="100" t="str">
        <f t="shared" si="74"/>
        <v/>
      </c>
    </row>
    <row r="835" spans="10:11">
      <c r="J835" s="100" t="str">
        <f t="shared" si="73"/>
        <v/>
      </c>
      <c r="K835" s="100" t="str">
        <f t="shared" si="74"/>
        <v/>
      </c>
    </row>
    <row r="836" spans="10:11">
      <c r="J836" s="100" t="str">
        <f t="shared" si="73"/>
        <v/>
      </c>
      <c r="K836" s="100" t="str">
        <f t="shared" si="74"/>
        <v/>
      </c>
    </row>
    <row r="837" spans="10:11">
      <c r="J837" s="100" t="str">
        <f t="shared" si="73"/>
        <v/>
      </c>
      <c r="K837" s="100" t="str">
        <f t="shared" si="74"/>
        <v/>
      </c>
    </row>
    <row r="838" spans="10:11">
      <c r="J838" s="100" t="str">
        <f t="shared" si="73"/>
        <v/>
      </c>
      <c r="K838" s="100" t="str">
        <f t="shared" si="74"/>
        <v/>
      </c>
    </row>
    <row r="839" spans="10:11">
      <c r="J839" s="100" t="str">
        <f t="shared" si="73"/>
        <v/>
      </c>
      <c r="K839" s="100" t="str">
        <f t="shared" si="74"/>
        <v/>
      </c>
    </row>
    <row r="840" spans="10:11">
      <c r="J840" s="100" t="str">
        <f t="shared" si="73"/>
        <v/>
      </c>
      <c r="K840" s="100" t="str">
        <f t="shared" si="74"/>
        <v/>
      </c>
    </row>
    <row r="841" spans="10:11">
      <c r="J841" s="100" t="str">
        <f t="shared" si="73"/>
        <v/>
      </c>
      <c r="K841" s="100" t="str">
        <f t="shared" si="74"/>
        <v/>
      </c>
    </row>
    <row r="842" spans="10:11">
      <c r="J842" s="100" t="str">
        <f t="shared" si="73"/>
        <v/>
      </c>
      <c r="K842" s="100" t="str">
        <f t="shared" si="74"/>
        <v/>
      </c>
    </row>
    <row r="843" spans="10:11">
      <c r="J843" s="100" t="str">
        <f t="shared" ref="J843:J906" si="75">C843&amp;D843&amp;G843</f>
        <v/>
      </c>
      <c r="K843" s="100" t="str">
        <f t="shared" ref="K843:K906" si="76">C843&amp;D843&amp;H843</f>
        <v/>
      </c>
    </row>
    <row r="844" spans="10:11">
      <c r="J844" s="100" t="str">
        <f t="shared" si="75"/>
        <v/>
      </c>
      <c r="K844" s="100" t="str">
        <f t="shared" si="76"/>
        <v/>
      </c>
    </row>
    <row r="845" spans="10:11">
      <c r="J845" s="100" t="str">
        <f t="shared" si="75"/>
        <v/>
      </c>
      <c r="K845" s="100" t="str">
        <f t="shared" si="76"/>
        <v/>
      </c>
    </row>
    <row r="846" spans="10:11">
      <c r="J846" s="100" t="str">
        <f t="shared" si="75"/>
        <v/>
      </c>
      <c r="K846" s="100" t="str">
        <f t="shared" si="76"/>
        <v/>
      </c>
    </row>
    <row r="847" spans="10:11">
      <c r="J847" s="100" t="str">
        <f t="shared" si="75"/>
        <v/>
      </c>
      <c r="K847" s="100" t="str">
        <f t="shared" si="76"/>
        <v/>
      </c>
    </row>
    <row r="848" spans="10:11">
      <c r="J848" s="100" t="str">
        <f t="shared" si="75"/>
        <v/>
      </c>
      <c r="K848" s="100" t="str">
        <f t="shared" si="76"/>
        <v/>
      </c>
    </row>
    <row r="849" spans="10:11">
      <c r="J849" s="100" t="str">
        <f t="shared" si="75"/>
        <v/>
      </c>
      <c r="K849" s="100" t="str">
        <f t="shared" si="76"/>
        <v/>
      </c>
    </row>
    <row r="850" spans="10:11">
      <c r="J850" s="100" t="str">
        <f t="shared" si="75"/>
        <v/>
      </c>
      <c r="K850" s="100" t="str">
        <f t="shared" si="76"/>
        <v/>
      </c>
    </row>
    <row r="851" spans="10:11">
      <c r="J851" s="100" t="str">
        <f t="shared" si="75"/>
        <v/>
      </c>
      <c r="K851" s="100" t="str">
        <f t="shared" si="76"/>
        <v/>
      </c>
    </row>
    <row r="852" spans="10:11">
      <c r="J852" s="100" t="str">
        <f t="shared" si="75"/>
        <v/>
      </c>
      <c r="K852" s="100" t="str">
        <f t="shared" si="76"/>
        <v/>
      </c>
    </row>
    <row r="853" spans="10:11">
      <c r="J853" s="100" t="str">
        <f t="shared" si="75"/>
        <v/>
      </c>
      <c r="K853" s="100" t="str">
        <f t="shared" si="76"/>
        <v/>
      </c>
    </row>
    <row r="854" spans="10:11">
      <c r="J854" s="100" t="str">
        <f t="shared" si="75"/>
        <v/>
      </c>
      <c r="K854" s="100" t="str">
        <f t="shared" si="76"/>
        <v/>
      </c>
    </row>
    <row r="855" spans="10:11">
      <c r="J855" s="100" t="str">
        <f t="shared" si="75"/>
        <v/>
      </c>
      <c r="K855" s="100" t="str">
        <f t="shared" si="76"/>
        <v/>
      </c>
    </row>
    <row r="856" spans="10:11">
      <c r="J856" s="100" t="str">
        <f t="shared" si="75"/>
        <v/>
      </c>
      <c r="K856" s="100" t="str">
        <f t="shared" si="76"/>
        <v/>
      </c>
    </row>
    <row r="857" spans="10:11">
      <c r="J857" s="100" t="str">
        <f t="shared" si="75"/>
        <v/>
      </c>
      <c r="K857" s="100" t="str">
        <f t="shared" si="76"/>
        <v/>
      </c>
    </row>
    <row r="858" spans="10:11">
      <c r="J858" s="100" t="str">
        <f t="shared" si="75"/>
        <v/>
      </c>
      <c r="K858" s="100" t="str">
        <f t="shared" si="76"/>
        <v/>
      </c>
    </row>
    <row r="859" spans="10:11">
      <c r="J859" s="100" t="str">
        <f t="shared" si="75"/>
        <v/>
      </c>
      <c r="K859" s="100" t="str">
        <f t="shared" si="76"/>
        <v/>
      </c>
    </row>
    <row r="860" spans="10:11">
      <c r="J860" s="100" t="str">
        <f t="shared" si="75"/>
        <v/>
      </c>
      <c r="K860" s="100" t="str">
        <f t="shared" si="76"/>
        <v/>
      </c>
    </row>
    <row r="861" spans="10:11">
      <c r="J861" s="100" t="str">
        <f t="shared" si="75"/>
        <v/>
      </c>
      <c r="K861" s="100" t="str">
        <f t="shared" si="76"/>
        <v/>
      </c>
    </row>
    <row r="862" spans="10:11">
      <c r="J862" s="100" t="str">
        <f t="shared" si="75"/>
        <v/>
      </c>
      <c r="K862" s="100" t="str">
        <f t="shared" si="76"/>
        <v/>
      </c>
    </row>
    <row r="863" spans="10:11">
      <c r="J863" s="100" t="str">
        <f t="shared" si="75"/>
        <v/>
      </c>
      <c r="K863" s="100" t="str">
        <f t="shared" si="76"/>
        <v/>
      </c>
    </row>
    <row r="864" spans="10:11">
      <c r="J864" s="100" t="str">
        <f t="shared" si="75"/>
        <v/>
      </c>
      <c r="K864" s="100" t="str">
        <f t="shared" si="76"/>
        <v/>
      </c>
    </row>
    <row r="865" spans="10:11">
      <c r="J865" s="100" t="str">
        <f t="shared" si="75"/>
        <v/>
      </c>
      <c r="K865" s="100" t="str">
        <f t="shared" si="76"/>
        <v/>
      </c>
    </row>
    <row r="866" spans="10:11">
      <c r="J866" s="100" t="str">
        <f t="shared" si="75"/>
        <v/>
      </c>
      <c r="K866" s="100" t="str">
        <f t="shared" si="76"/>
        <v/>
      </c>
    </row>
    <row r="867" spans="10:11">
      <c r="J867" s="100" t="str">
        <f t="shared" si="75"/>
        <v/>
      </c>
      <c r="K867" s="100" t="str">
        <f t="shared" si="76"/>
        <v/>
      </c>
    </row>
    <row r="868" spans="10:11">
      <c r="J868" s="100" t="str">
        <f t="shared" si="75"/>
        <v/>
      </c>
      <c r="K868" s="100" t="str">
        <f t="shared" si="76"/>
        <v/>
      </c>
    </row>
    <row r="869" spans="10:11">
      <c r="J869" s="100" t="str">
        <f t="shared" si="75"/>
        <v/>
      </c>
      <c r="K869" s="100" t="str">
        <f t="shared" si="76"/>
        <v/>
      </c>
    </row>
    <row r="870" spans="10:11">
      <c r="J870" s="100" t="str">
        <f t="shared" si="75"/>
        <v/>
      </c>
      <c r="K870" s="100" t="str">
        <f t="shared" si="76"/>
        <v/>
      </c>
    </row>
    <row r="871" spans="10:11">
      <c r="J871" s="100" t="str">
        <f t="shared" si="75"/>
        <v/>
      </c>
      <c r="K871" s="100" t="str">
        <f t="shared" si="76"/>
        <v/>
      </c>
    </row>
    <row r="872" spans="10:11">
      <c r="J872" s="100" t="str">
        <f t="shared" si="75"/>
        <v/>
      </c>
      <c r="K872" s="100" t="str">
        <f t="shared" si="76"/>
        <v/>
      </c>
    </row>
    <row r="873" spans="10:11">
      <c r="J873" s="100" t="str">
        <f t="shared" si="75"/>
        <v/>
      </c>
      <c r="K873" s="100" t="str">
        <f t="shared" si="76"/>
        <v/>
      </c>
    </row>
    <row r="874" spans="10:11">
      <c r="J874" s="100" t="str">
        <f t="shared" si="75"/>
        <v/>
      </c>
      <c r="K874" s="100" t="str">
        <f t="shared" si="76"/>
        <v/>
      </c>
    </row>
    <row r="875" spans="10:11">
      <c r="J875" s="100" t="str">
        <f t="shared" si="75"/>
        <v/>
      </c>
      <c r="K875" s="100" t="str">
        <f t="shared" si="76"/>
        <v/>
      </c>
    </row>
    <row r="876" spans="10:11">
      <c r="J876" s="100" t="str">
        <f t="shared" si="75"/>
        <v/>
      </c>
      <c r="K876" s="100" t="str">
        <f t="shared" si="76"/>
        <v/>
      </c>
    </row>
    <row r="877" spans="10:11">
      <c r="J877" s="100" t="str">
        <f t="shared" si="75"/>
        <v/>
      </c>
      <c r="K877" s="100" t="str">
        <f t="shared" si="76"/>
        <v/>
      </c>
    </row>
    <row r="878" spans="10:11">
      <c r="J878" s="100" t="str">
        <f t="shared" si="75"/>
        <v/>
      </c>
      <c r="K878" s="100" t="str">
        <f t="shared" si="76"/>
        <v/>
      </c>
    </row>
    <row r="879" spans="10:11">
      <c r="J879" s="100" t="str">
        <f t="shared" si="75"/>
        <v/>
      </c>
      <c r="K879" s="100" t="str">
        <f t="shared" si="76"/>
        <v/>
      </c>
    </row>
    <row r="880" spans="10:11">
      <c r="J880" s="100" t="str">
        <f t="shared" si="75"/>
        <v/>
      </c>
      <c r="K880" s="100" t="str">
        <f t="shared" si="76"/>
        <v/>
      </c>
    </row>
    <row r="881" spans="10:11">
      <c r="J881" s="100" t="str">
        <f t="shared" si="75"/>
        <v/>
      </c>
      <c r="K881" s="100" t="str">
        <f t="shared" si="76"/>
        <v/>
      </c>
    </row>
    <row r="882" spans="10:11">
      <c r="J882" s="100" t="str">
        <f t="shared" si="75"/>
        <v/>
      </c>
      <c r="K882" s="100" t="str">
        <f t="shared" si="76"/>
        <v/>
      </c>
    </row>
    <row r="883" spans="10:11">
      <c r="J883" s="100" t="str">
        <f t="shared" si="75"/>
        <v/>
      </c>
      <c r="K883" s="100" t="str">
        <f t="shared" si="76"/>
        <v/>
      </c>
    </row>
    <row r="884" spans="10:11">
      <c r="J884" s="100" t="str">
        <f t="shared" si="75"/>
        <v/>
      </c>
      <c r="K884" s="100" t="str">
        <f t="shared" si="76"/>
        <v/>
      </c>
    </row>
    <row r="885" spans="10:11">
      <c r="J885" s="100" t="str">
        <f t="shared" si="75"/>
        <v/>
      </c>
      <c r="K885" s="100" t="str">
        <f t="shared" si="76"/>
        <v/>
      </c>
    </row>
    <row r="886" spans="10:11">
      <c r="J886" s="100" t="str">
        <f t="shared" si="75"/>
        <v/>
      </c>
      <c r="K886" s="100" t="str">
        <f t="shared" si="76"/>
        <v/>
      </c>
    </row>
    <row r="887" spans="10:11">
      <c r="J887" s="100" t="str">
        <f t="shared" si="75"/>
        <v/>
      </c>
      <c r="K887" s="100" t="str">
        <f t="shared" si="76"/>
        <v/>
      </c>
    </row>
    <row r="888" spans="10:11">
      <c r="J888" s="100" t="str">
        <f t="shared" si="75"/>
        <v/>
      </c>
      <c r="K888" s="100" t="str">
        <f t="shared" si="76"/>
        <v/>
      </c>
    </row>
    <row r="889" spans="10:11">
      <c r="J889" s="100" t="str">
        <f t="shared" si="75"/>
        <v/>
      </c>
      <c r="K889" s="100" t="str">
        <f t="shared" si="76"/>
        <v/>
      </c>
    </row>
    <row r="890" spans="10:11">
      <c r="J890" s="100" t="str">
        <f t="shared" si="75"/>
        <v/>
      </c>
      <c r="K890" s="100" t="str">
        <f t="shared" si="76"/>
        <v/>
      </c>
    </row>
    <row r="891" spans="10:11">
      <c r="J891" s="100" t="str">
        <f t="shared" si="75"/>
        <v/>
      </c>
      <c r="K891" s="100" t="str">
        <f t="shared" si="76"/>
        <v/>
      </c>
    </row>
    <row r="892" spans="10:11">
      <c r="J892" s="100" t="str">
        <f t="shared" si="75"/>
        <v/>
      </c>
      <c r="K892" s="100" t="str">
        <f t="shared" si="76"/>
        <v/>
      </c>
    </row>
    <row r="893" spans="10:11">
      <c r="J893" s="100" t="str">
        <f t="shared" si="75"/>
        <v/>
      </c>
      <c r="K893" s="100" t="str">
        <f t="shared" si="76"/>
        <v/>
      </c>
    </row>
    <row r="894" spans="10:11">
      <c r="J894" s="100" t="str">
        <f t="shared" si="75"/>
        <v/>
      </c>
      <c r="K894" s="100" t="str">
        <f t="shared" si="76"/>
        <v/>
      </c>
    </row>
    <row r="895" spans="10:11">
      <c r="J895" s="100" t="str">
        <f t="shared" si="75"/>
        <v/>
      </c>
      <c r="K895" s="100" t="str">
        <f t="shared" si="76"/>
        <v/>
      </c>
    </row>
    <row r="896" spans="10:11">
      <c r="J896" s="100" t="str">
        <f t="shared" si="75"/>
        <v/>
      </c>
      <c r="K896" s="100" t="str">
        <f t="shared" si="76"/>
        <v/>
      </c>
    </row>
    <row r="897" spans="10:11">
      <c r="J897" s="100" t="str">
        <f t="shared" si="75"/>
        <v/>
      </c>
      <c r="K897" s="100" t="str">
        <f t="shared" si="76"/>
        <v/>
      </c>
    </row>
    <row r="898" spans="10:11">
      <c r="J898" s="100" t="str">
        <f t="shared" si="75"/>
        <v/>
      </c>
      <c r="K898" s="100" t="str">
        <f t="shared" si="76"/>
        <v/>
      </c>
    </row>
    <row r="899" spans="10:11">
      <c r="J899" s="100" t="str">
        <f t="shared" si="75"/>
        <v/>
      </c>
      <c r="K899" s="100" t="str">
        <f t="shared" si="76"/>
        <v/>
      </c>
    </row>
    <row r="900" spans="10:11">
      <c r="J900" s="100" t="str">
        <f t="shared" si="75"/>
        <v/>
      </c>
      <c r="K900" s="100" t="str">
        <f t="shared" si="76"/>
        <v/>
      </c>
    </row>
    <row r="901" spans="10:11">
      <c r="J901" s="100" t="str">
        <f t="shared" si="75"/>
        <v/>
      </c>
      <c r="K901" s="100" t="str">
        <f t="shared" si="76"/>
        <v/>
      </c>
    </row>
    <row r="902" spans="10:11">
      <c r="J902" s="100" t="str">
        <f t="shared" si="75"/>
        <v/>
      </c>
      <c r="K902" s="100" t="str">
        <f t="shared" si="76"/>
        <v/>
      </c>
    </row>
    <row r="903" spans="10:11">
      <c r="J903" s="100" t="str">
        <f t="shared" si="75"/>
        <v/>
      </c>
      <c r="K903" s="100" t="str">
        <f t="shared" si="76"/>
        <v/>
      </c>
    </row>
    <row r="904" spans="10:11">
      <c r="J904" s="100" t="str">
        <f t="shared" si="75"/>
        <v/>
      </c>
      <c r="K904" s="100" t="str">
        <f t="shared" si="76"/>
        <v/>
      </c>
    </row>
    <row r="905" spans="10:11">
      <c r="J905" s="100" t="str">
        <f t="shared" si="75"/>
        <v/>
      </c>
      <c r="K905" s="100" t="str">
        <f t="shared" si="76"/>
        <v/>
      </c>
    </row>
    <row r="906" spans="10:11">
      <c r="J906" s="100" t="str">
        <f t="shared" si="75"/>
        <v/>
      </c>
      <c r="K906" s="100" t="str">
        <f t="shared" si="76"/>
        <v/>
      </c>
    </row>
    <row r="907" spans="10:11">
      <c r="J907" s="100" t="str">
        <f t="shared" ref="J907:J970" si="77">C907&amp;D907&amp;G907</f>
        <v/>
      </c>
      <c r="K907" s="100" t="str">
        <f t="shared" ref="K907:K970" si="78">C907&amp;D907&amp;H907</f>
        <v/>
      </c>
    </row>
    <row r="908" spans="10:11">
      <c r="J908" s="100" t="str">
        <f t="shared" si="77"/>
        <v/>
      </c>
      <c r="K908" s="100" t="str">
        <f t="shared" si="78"/>
        <v/>
      </c>
    </row>
    <row r="909" spans="10:11">
      <c r="J909" s="100" t="str">
        <f t="shared" si="77"/>
        <v/>
      </c>
      <c r="K909" s="100" t="str">
        <f t="shared" si="78"/>
        <v/>
      </c>
    </row>
    <row r="910" spans="10:11">
      <c r="J910" s="100" t="str">
        <f t="shared" si="77"/>
        <v/>
      </c>
      <c r="K910" s="100" t="str">
        <f t="shared" si="78"/>
        <v/>
      </c>
    </row>
    <row r="911" spans="10:11">
      <c r="J911" s="100" t="str">
        <f t="shared" si="77"/>
        <v/>
      </c>
      <c r="K911" s="100" t="str">
        <f t="shared" si="78"/>
        <v/>
      </c>
    </row>
    <row r="912" spans="10:11">
      <c r="J912" s="100" t="str">
        <f t="shared" si="77"/>
        <v/>
      </c>
      <c r="K912" s="100" t="str">
        <f t="shared" si="78"/>
        <v/>
      </c>
    </row>
    <row r="913" spans="10:11">
      <c r="J913" s="100" t="str">
        <f t="shared" si="77"/>
        <v/>
      </c>
      <c r="K913" s="100" t="str">
        <f t="shared" si="78"/>
        <v/>
      </c>
    </row>
    <row r="914" spans="10:11">
      <c r="J914" s="100" t="str">
        <f t="shared" si="77"/>
        <v/>
      </c>
      <c r="K914" s="100" t="str">
        <f t="shared" si="78"/>
        <v/>
      </c>
    </row>
    <row r="915" spans="10:11">
      <c r="J915" s="100" t="str">
        <f t="shared" si="77"/>
        <v/>
      </c>
      <c r="K915" s="100" t="str">
        <f t="shared" si="78"/>
        <v/>
      </c>
    </row>
    <row r="916" spans="10:11">
      <c r="J916" s="100" t="str">
        <f t="shared" si="77"/>
        <v/>
      </c>
      <c r="K916" s="100" t="str">
        <f t="shared" si="78"/>
        <v/>
      </c>
    </row>
    <row r="917" spans="10:11">
      <c r="J917" s="100" t="str">
        <f t="shared" si="77"/>
        <v/>
      </c>
      <c r="K917" s="100" t="str">
        <f t="shared" si="78"/>
        <v/>
      </c>
    </row>
    <row r="918" spans="10:11">
      <c r="J918" s="100" t="str">
        <f t="shared" si="77"/>
        <v/>
      </c>
      <c r="K918" s="100" t="str">
        <f t="shared" si="78"/>
        <v/>
      </c>
    </row>
    <row r="919" spans="10:11">
      <c r="J919" s="100" t="str">
        <f t="shared" si="77"/>
        <v/>
      </c>
      <c r="K919" s="100" t="str">
        <f t="shared" si="78"/>
        <v/>
      </c>
    </row>
    <row r="920" spans="10:11">
      <c r="J920" s="100" t="str">
        <f t="shared" si="77"/>
        <v/>
      </c>
      <c r="K920" s="100" t="str">
        <f t="shared" si="78"/>
        <v/>
      </c>
    </row>
    <row r="921" spans="10:11">
      <c r="J921" s="100" t="str">
        <f t="shared" si="77"/>
        <v/>
      </c>
      <c r="K921" s="100" t="str">
        <f t="shared" si="78"/>
        <v/>
      </c>
    </row>
    <row r="922" spans="10:11">
      <c r="J922" s="100" t="str">
        <f t="shared" si="77"/>
        <v/>
      </c>
      <c r="K922" s="100" t="str">
        <f t="shared" si="78"/>
        <v/>
      </c>
    </row>
    <row r="923" spans="10:11">
      <c r="J923" s="100" t="str">
        <f t="shared" si="77"/>
        <v/>
      </c>
      <c r="K923" s="100" t="str">
        <f t="shared" si="78"/>
        <v/>
      </c>
    </row>
    <row r="924" spans="10:11">
      <c r="J924" s="100" t="str">
        <f t="shared" si="77"/>
        <v/>
      </c>
      <c r="K924" s="100" t="str">
        <f t="shared" si="78"/>
        <v/>
      </c>
    </row>
    <row r="925" spans="10:11">
      <c r="J925" s="100" t="str">
        <f t="shared" si="77"/>
        <v/>
      </c>
      <c r="K925" s="100" t="str">
        <f t="shared" si="78"/>
        <v/>
      </c>
    </row>
    <row r="926" spans="10:11">
      <c r="J926" s="100" t="str">
        <f t="shared" si="77"/>
        <v/>
      </c>
      <c r="K926" s="100" t="str">
        <f t="shared" si="78"/>
        <v/>
      </c>
    </row>
    <row r="927" spans="10:11">
      <c r="J927" s="100" t="str">
        <f t="shared" si="77"/>
        <v/>
      </c>
      <c r="K927" s="100" t="str">
        <f t="shared" si="78"/>
        <v/>
      </c>
    </row>
    <row r="928" spans="10:11">
      <c r="J928" s="100" t="str">
        <f t="shared" si="77"/>
        <v/>
      </c>
      <c r="K928" s="100" t="str">
        <f t="shared" si="78"/>
        <v/>
      </c>
    </row>
    <row r="929" spans="10:11">
      <c r="J929" s="100" t="str">
        <f t="shared" si="77"/>
        <v/>
      </c>
      <c r="K929" s="100" t="str">
        <f t="shared" si="78"/>
        <v/>
      </c>
    </row>
    <row r="930" spans="10:11">
      <c r="J930" s="100" t="str">
        <f t="shared" si="77"/>
        <v/>
      </c>
      <c r="K930" s="100" t="str">
        <f t="shared" si="78"/>
        <v/>
      </c>
    </row>
    <row r="931" spans="10:11">
      <c r="J931" s="100" t="str">
        <f t="shared" si="77"/>
        <v/>
      </c>
      <c r="K931" s="100" t="str">
        <f t="shared" si="78"/>
        <v/>
      </c>
    </row>
    <row r="932" spans="10:11">
      <c r="J932" s="100" t="str">
        <f t="shared" si="77"/>
        <v/>
      </c>
      <c r="K932" s="100" t="str">
        <f t="shared" si="78"/>
        <v/>
      </c>
    </row>
    <row r="933" spans="10:11">
      <c r="J933" s="100" t="str">
        <f t="shared" si="77"/>
        <v/>
      </c>
      <c r="K933" s="100" t="str">
        <f t="shared" si="78"/>
        <v/>
      </c>
    </row>
    <row r="934" spans="10:11">
      <c r="J934" s="100" t="str">
        <f t="shared" si="77"/>
        <v/>
      </c>
      <c r="K934" s="100" t="str">
        <f t="shared" si="78"/>
        <v/>
      </c>
    </row>
    <row r="935" spans="10:11">
      <c r="J935" s="100" t="str">
        <f t="shared" si="77"/>
        <v/>
      </c>
      <c r="K935" s="100" t="str">
        <f t="shared" si="78"/>
        <v/>
      </c>
    </row>
    <row r="936" spans="10:11">
      <c r="J936" s="100" t="str">
        <f t="shared" si="77"/>
        <v/>
      </c>
      <c r="K936" s="100" t="str">
        <f t="shared" si="78"/>
        <v/>
      </c>
    </row>
    <row r="937" spans="10:11">
      <c r="J937" s="100" t="str">
        <f t="shared" si="77"/>
        <v/>
      </c>
      <c r="K937" s="100" t="str">
        <f t="shared" si="78"/>
        <v/>
      </c>
    </row>
    <row r="938" spans="10:11">
      <c r="J938" s="100" t="str">
        <f t="shared" si="77"/>
        <v/>
      </c>
      <c r="K938" s="100" t="str">
        <f t="shared" si="78"/>
        <v/>
      </c>
    </row>
    <row r="939" spans="10:11">
      <c r="J939" s="100" t="str">
        <f t="shared" si="77"/>
        <v/>
      </c>
      <c r="K939" s="100" t="str">
        <f t="shared" si="78"/>
        <v/>
      </c>
    </row>
    <row r="940" spans="10:11">
      <c r="J940" s="100" t="str">
        <f t="shared" si="77"/>
        <v/>
      </c>
      <c r="K940" s="100" t="str">
        <f t="shared" si="78"/>
        <v/>
      </c>
    </row>
    <row r="941" spans="10:11">
      <c r="J941" s="100" t="str">
        <f t="shared" si="77"/>
        <v/>
      </c>
      <c r="K941" s="100" t="str">
        <f t="shared" si="78"/>
        <v/>
      </c>
    </row>
    <row r="942" spans="10:11">
      <c r="J942" s="100" t="str">
        <f t="shared" si="77"/>
        <v/>
      </c>
      <c r="K942" s="100" t="str">
        <f t="shared" si="78"/>
        <v/>
      </c>
    </row>
    <row r="943" spans="10:11">
      <c r="J943" s="100" t="str">
        <f t="shared" si="77"/>
        <v/>
      </c>
      <c r="K943" s="100" t="str">
        <f t="shared" si="78"/>
        <v/>
      </c>
    </row>
    <row r="944" spans="10:11">
      <c r="J944" s="100" t="str">
        <f t="shared" si="77"/>
        <v/>
      </c>
      <c r="K944" s="100" t="str">
        <f t="shared" si="78"/>
        <v/>
      </c>
    </row>
    <row r="945" spans="10:11">
      <c r="J945" s="100" t="str">
        <f t="shared" si="77"/>
        <v/>
      </c>
      <c r="K945" s="100" t="str">
        <f t="shared" si="78"/>
        <v/>
      </c>
    </row>
    <row r="946" spans="10:11">
      <c r="J946" s="100" t="str">
        <f t="shared" si="77"/>
        <v/>
      </c>
      <c r="K946" s="100" t="str">
        <f t="shared" si="78"/>
        <v/>
      </c>
    </row>
    <row r="947" spans="10:11">
      <c r="J947" s="100" t="str">
        <f t="shared" si="77"/>
        <v/>
      </c>
      <c r="K947" s="100" t="str">
        <f t="shared" si="78"/>
        <v/>
      </c>
    </row>
    <row r="948" spans="10:11">
      <c r="J948" s="100" t="str">
        <f t="shared" si="77"/>
        <v/>
      </c>
      <c r="K948" s="100" t="str">
        <f t="shared" si="78"/>
        <v/>
      </c>
    </row>
    <row r="949" spans="10:11">
      <c r="J949" s="100" t="str">
        <f t="shared" si="77"/>
        <v/>
      </c>
      <c r="K949" s="100" t="str">
        <f t="shared" si="78"/>
        <v/>
      </c>
    </row>
    <row r="950" spans="10:11">
      <c r="J950" s="100" t="str">
        <f t="shared" si="77"/>
        <v/>
      </c>
      <c r="K950" s="100" t="str">
        <f t="shared" si="78"/>
        <v/>
      </c>
    </row>
    <row r="951" spans="10:11">
      <c r="J951" s="100" t="str">
        <f t="shared" si="77"/>
        <v/>
      </c>
      <c r="K951" s="100" t="str">
        <f t="shared" si="78"/>
        <v/>
      </c>
    </row>
    <row r="952" spans="10:11">
      <c r="J952" s="100" t="str">
        <f t="shared" si="77"/>
        <v/>
      </c>
      <c r="K952" s="100" t="str">
        <f t="shared" si="78"/>
        <v/>
      </c>
    </row>
    <row r="953" spans="10:11">
      <c r="J953" s="100" t="str">
        <f t="shared" si="77"/>
        <v/>
      </c>
      <c r="K953" s="100" t="str">
        <f t="shared" si="78"/>
        <v/>
      </c>
    </row>
    <row r="954" spans="10:11">
      <c r="J954" s="100" t="str">
        <f t="shared" si="77"/>
        <v/>
      </c>
      <c r="K954" s="100" t="str">
        <f t="shared" si="78"/>
        <v/>
      </c>
    </row>
    <row r="955" spans="10:11">
      <c r="J955" s="100" t="str">
        <f t="shared" si="77"/>
        <v/>
      </c>
      <c r="K955" s="100" t="str">
        <f t="shared" si="78"/>
        <v/>
      </c>
    </row>
    <row r="956" spans="10:11">
      <c r="J956" s="100" t="str">
        <f t="shared" si="77"/>
        <v/>
      </c>
      <c r="K956" s="100" t="str">
        <f t="shared" si="78"/>
        <v/>
      </c>
    </row>
    <row r="957" spans="10:11">
      <c r="J957" s="100" t="str">
        <f t="shared" si="77"/>
        <v/>
      </c>
      <c r="K957" s="100" t="str">
        <f t="shared" si="78"/>
        <v/>
      </c>
    </row>
    <row r="958" spans="10:11">
      <c r="J958" s="100" t="str">
        <f t="shared" si="77"/>
        <v/>
      </c>
      <c r="K958" s="100" t="str">
        <f t="shared" si="78"/>
        <v/>
      </c>
    </row>
    <row r="959" spans="10:11">
      <c r="J959" s="100" t="str">
        <f t="shared" si="77"/>
        <v/>
      </c>
      <c r="K959" s="100" t="str">
        <f t="shared" si="78"/>
        <v/>
      </c>
    </row>
    <row r="960" spans="10:11">
      <c r="J960" s="100" t="str">
        <f t="shared" si="77"/>
        <v/>
      </c>
      <c r="K960" s="100" t="str">
        <f t="shared" si="78"/>
        <v/>
      </c>
    </row>
    <row r="961" spans="10:11">
      <c r="J961" s="100" t="str">
        <f t="shared" si="77"/>
        <v/>
      </c>
      <c r="K961" s="100" t="str">
        <f t="shared" si="78"/>
        <v/>
      </c>
    </row>
    <row r="962" spans="10:11">
      <c r="J962" s="100" t="str">
        <f t="shared" si="77"/>
        <v/>
      </c>
      <c r="K962" s="100" t="str">
        <f t="shared" si="78"/>
        <v/>
      </c>
    </row>
    <row r="963" spans="10:11">
      <c r="J963" s="100" t="str">
        <f t="shared" si="77"/>
        <v/>
      </c>
      <c r="K963" s="100" t="str">
        <f t="shared" si="78"/>
        <v/>
      </c>
    </row>
    <row r="964" spans="10:11">
      <c r="J964" s="100" t="str">
        <f t="shared" si="77"/>
        <v/>
      </c>
      <c r="K964" s="100" t="str">
        <f t="shared" si="78"/>
        <v/>
      </c>
    </row>
    <row r="965" spans="10:11">
      <c r="J965" s="100" t="str">
        <f t="shared" si="77"/>
        <v/>
      </c>
      <c r="K965" s="100" t="str">
        <f t="shared" si="78"/>
        <v/>
      </c>
    </row>
    <row r="966" spans="10:11">
      <c r="J966" s="100" t="str">
        <f t="shared" si="77"/>
        <v/>
      </c>
      <c r="K966" s="100" t="str">
        <f t="shared" si="78"/>
        <v/>
      </c>
    </row>
    <row r="967" spans="10:11">
      <c r="J967" s="100" t="str">
        <f t="shared" si="77"/>
        <v/>
      </c>
      <c r="K967" s="100" t="str">
        <f t="shared" si="78"/>
        <v/>
      </c>
    </row>
    <row r="968" spans="10:11">
      <c r="J968" s="100" t="str">
        <f t="shared" si="77"/>
        <v/>
      </c>
      <c r="K968" s="100" t="str">
        <f t="shared" si="78"/>
        <v/>
      </c>
    </row>
    <row r="969" spans="10:11">
      <c r="J969" s="100" t="str">
        <f t="shared" si="77"/>
        <v/>
      </c>
      <c r="K969" s="100" t="str">
        <f t="shared" si="78"/>
        <v/>
      </c>
    </row>
    <row r="970" spans="10:11">
      <c r="J970" s="100" t="str">
        <f t="shared" si="77"/>
        <v/>
      </c>
      <c r="K970" s="100" t="str">
        <f t="shared" si="78"/>
        <v/>
      </c>
    </row>
    <row r="971" spans="10:11">
      <c r="J971" s="100" t="str">
        <f t="shared" ref="J971:J1034" si="79">C971&amp;D971&amp;G971</f>
        <v/>
      </c>
      <c r="K971" s="100" t="str">
        <f t="shared" ref="K971:K1034" si="80">C971&amp;D971&amp;H971</f>
        <v/>
      </c>
    </row>
    <row r="972" spans="10:11">
      <c r="J972" s="100" t="str">
        <f t="shared" si="79"/>
        <v/>
      </c>
      <c r="K972" s="100" t="str">
        <f t="shared" si="80"/>
        <v/>
      </c>
    </row>
    <row r="973" spans="10:11">
      <c r="J973" s="100" t="str">
        <f t="shared" si="79"/>
        <v/>
      </c>
      <c r="K973" s="100" t="str">
        <f t="shared" si="80"/>
        <v/>
      </c>
    </row>
    <row r="974" spans="10:11">
      <c r="J974" s="100" t="str">
        <f t="shared" si="79"/>
        <v/>
      </c>
      <c r="K974" s="100" t="str">
        <f t="shared" si="80"/>
        <v/>
      </c>
    </row>
    <row r="975" spans="10:11">
      <c r="J975" s="100" t="str">
        <f t="shared" si="79"/>
        <v/>
      </c>
      <c r="K975" s="100" t="str">
        <f t="shared" si="80"/>
        <v/>
      </c>
    </row>
    <row r="976" spans="10:11">
      <c r="J976" s="100" t="str">
        <f t="shared" si="79"/>
        <v/>
      </c>
      <c r="K976" s="100" t="str">
        <f t="shared" si="80"/>
        <v/>
      </c>
    </row>
    <row r="977" spans="10:11">
      <c r="J977" s="100" t="str">
        <f t="shared" si="79"/>
        <v/>
      </c>
      <c r="K977" s="100" t="str">
        <f t="shared" si="80"/>
        <v/>
      </c>
    </row>
    <row r="978" spans="10:11">
      <c r="J978" s="100" t="str">
        <f t="shared" si="79"/>
        <v/>
      </c>
      <c r="K978" s="100" t="str">
        <f t="shared" si="80"/>
        <v/>
      </c>
    </row>
    <row r="979" spans="10:11">
      <c r="J979" s="100" t="str">
        <f t="shared" si="79"/>
        <v/>
      </c>
      <c r="K979" s="100" t="str">
        <f t="shared" si="80"/>
        <v/>
      </c>
    </row>
    <row r="980" spans="10:11">
      <c r="J980" s="100" t="str">
        <f t="shared" si="79"/>
        <v/>
      </c>
      <c r="K980" s="100" t="str">
        <f t="shared" si="80"/>
        <v/>
      </c>
    </row>
    <row r="981" spans="10:11">
      <c r="J981" s="100" t="str">
        <f t="shared" si="79"/>
        <v/>
      </c>
      <c r="K981" s="100" t="str">
        <f t="shared" si="80"/>
        <v/>
      </c>
    </row>
    <row r="982" spans="10:11">
      <c r="J982" s="100" t="str">
        <f t="shared" si="79"/>
        <v/>
      </c>
      <c r="K982" s="100" t="str">
        <f t="shared" si="80"/>
        <v/>
      </c>
    </row>
    <row r="983" spans="10:11">
      <c r="J983" s="100" t="str">
        <f t="shared" si="79"/>
        <v/>
      </c>
      <c r="K983" s="100" t="str">
        <f t="shared" si="80"/>
        <v/>
      </c>
    </row>
    <row r="984" spans="10:11">
      <c r="J984" s="100" t="str">
        <f t="shared" si="79"/>
        <v/>
      </c>
      <c r="K984" s="100" t="str">
        <f t="shared" si="80"/>
        <v/>
      </c>
    </row>
    <row r="985" spans="10:11">
      <c r="J985" s="100" t="str">
        <f t="shared" si="79"/>
        <v/>
      </c>
      <c r="K985" s="100" t="str">
        <f t="shared" si="80"/>
        <v/>
      </c>
    </row>
    <row r="986" spans="10:11">
      <c r="J986" s="100" t="str">
        <f t="shared" si="79"/>
        <v/>
      </c>
      <c r="K986" s="100" t="str">
        <f t="shared" si="80"/>
        <v/>
      </c>
    </row>
    <row r="987" spans="10:11">
      <c r="J987" s="100" t="str">
        <f t="shared" si="79"/>
        <v/>
      </c>
      <c r="K987" s="100" t="str">
        <f t="shared" si="80"/>
        <v/>
      </c>
    </row>
    <row r="988" spans="10:11">
      <c r="J988" s="100" t="str">
        <f t="shared" si="79"/>
        <v/>
      </c>
      <c r="K988" s="100" t="str">
        <f t="shared" si="80"/>
        <v/>
      </c>
    </row>
    <row r="989" spans="10:11">
      <c r="J989" s="100" t="str">
        <f t="shared" si="79"/>
        <v/>
      </c>
      <c r="K989" s="100" t="str">
        <f t="shared" si="80"/>
        <v/>
      </c>
    </row>
    <row r="990" spans="10:11">
      <c r="J990" s="100" t="str">
        <f t="shared" si="79"/>
        <v/>
      </c>
      <c r="K990" s="100" t="str">
        <f t="shared" si="80"/>
        <v/>
      </c>
    </row>
    <row r="991" spans="10:11">
      <c r="J991" s="100" t="str">
        <f t="shared" si="79"/>
        <v/>
      </c>
      <c r="K991" s="100" t="str">
        <f t="shared" si="80"/>
        <v/>
      </c>
    </row>
    <row r="992" spans="10:11">
      <c r="J992" s="100" t="str">
        <f t="shared" si="79"/>
        <v/>
      </c>
      <c r="K992" s="100" t="str">
        <f t="shared" si="80"/>
        <v/>
      </c>
    </row>
    <row r="993" spans="10:11">
      <c r="J993" s="100" t="str">
        <f t="shared" si="79"/>
        <v/>
      </c>
      <c r="K993" s="100" t="str">
        <f t="shared" si="80"/>
        <v/>
      </c>
    </row>
    <row r="994" spans="10:11">
      <c r="J994" s="100" t="str">
        <f t="shared" si="79"/>
        <v/>
      </c>
      <c r="K994" s="100" t="str">
        <f t="shared" si="80"/>
        <v/>
      </c>
    </row>
    <row r="995" spans="10:11">
      <c r="J995" s="100" t="str">
        <f t="shared" si="79"/>
        <v/>
      </c>
      <c r="K995" s="100" t="str">
        <f t="shared" si="80"/>
        <v/>
      </c>
    </row>
    <row r="996" spans="10:11">
      <c r="J996" s="100" t="str">
        <f t="shared" si="79"/>
        <v/>
      </c>
      <c r="K996" s="100" t="str">
        <f t="shared" si="80"/>
        <v/>
      </c>
    </row>
    <row r="997" spans="10:11">
      <c r="J997" s="100" t="str">
        <f t="shared" si="79"/>
        <v/>
      </c>
      <c r="K997" s="100" t="str">
        <f t="shared" si="80"/>
        <v/>
      </c>
    </row>
    <row r="998" spans="10:11">
      <c r="J998" s="100" t="str">
        <f t="shared" si="79"/>
        <v/>
      </c>
      <c r="K998" s="100" t="str">
        <f t="shared" si="80"/>
        <v/>
      </c>
    </row>
    <row r="999" spans="10:11">
      <c r="J999" s="100" t="str">
        <f t="shared" si="79"/>
        <v/>
      </c>
      <c r="K999" s="100" t="str">
        <f t="shared" si="80"/>
        <v/>
      </c>
    </row>
    <row r="1000" spans="10:11">
      <c r="J1000" s="100" t="str">
        <f t="shared" si="79"/>
        <v/>
      </c>
      <c r="K1000" s="100" t="str">
        <f t="shared" si="80"/>
        <v/>
      </c>
    </row>
    <row r="1001" spans="10:11">
      <c r="J1001" s="100" t="str">
        <f t="shared" si="79"/>
        <v/>
      </c>
      <c r="K1001" s="100" t="str">
        <f t="shared" si="80"/>
        <v/>
      </c>
    </row>
    <row r="1002" spans="10:11">
      <c r="J1002" s="100" t="str">
        <f t="shared" si="79"/>
        <v/>
      </c>
      <c r="K1002" s="100" t="str">
        <f t="shared" si="80"/>
        <v/>
      </c>
    </row>
    <row r="1003" spans="10:11">
      <c r="J1003" s="100" t="str">
        <f t="shared" si="79"/>
        <v/>
      </c>
      <c r="K1003" s="100" t="str">
        <f t="shared" si="80"/>
        <v/>
      </c>
    </row>
    <row r="1004" spans="10:11">
      <c r="J1004" s="100" t="str">
        <f t="shared" si="79"/>
        <v/>
      </c>
      <c r="K1004" s="100" t="str">
        <f t="shared" si="80"/>
        <v/>
      </c>
    </row>
    <row r="1005" spans="10:11">
      <c r="J1005" s="100" t="str">
        <f t="shared" si="79"/>
        <v/>
      </c>
      <c r="K1005" s="100" t="str">
        <f t="shared" si="80"/>
        <v/>
      </c>
    </row>
    <row r="1006" spans="10:11">
      <c r="J1006" s="100" t="str">
        <f t="shared" si="79"/>
        <v/>
      </c>
      <c r="K1006" s="100" t="str">
        <f t="shared" si="80"/>
        <v/>
      </c>
    </row>
    <row r="1007" spans="10:11">
      <c r="J1007" s="100" t="str">
        <f t="shared" si="79"/>
        <v/>
      </c>
      <c r="K1007" s="100" t="str">
        <f t="shared" si="80"/>
        <v/>
      </c>
    </row>
    <row r="1008" spans="10:11">
      <c r="J1008" s="100" t="str">
        <f t="shared" si="79"/>
        <v/>
      </c>
      <c r="K1008" s="100" t="str">
        <f t="shared" si="80"/>
        <v/>
      </c>
    </row>
    <row r="1009" spans="10:11">
      <c r="J1009" s="100" t="str">
        <f t="shared" si="79"/>
        <v/>
      </c>
      <c r="K1009" s="100" t="str">
        <f t="shared" si="80"/>
        <v/>
      </c>
    </row>
    <row r="1010" spans="10:11">
      <c r="J1010" s="100" t="str">
        <f t="shared" si="79"/>
        <v/>
      </c>
      <c r="K1010" s="100" t="str">
        <f t="shared" si="80"/>
        <v/>
      </c>
    </row>
    <row r="1011" spans="10:11">
      <c r="J1011" s="100" t="str">
        <f t="shared" si="79"/>
        <v/>
      </c>
      <c r="K1011" s="100" t="str">
        <f t="shared" si="80"/>
        <v/>
      </c>
    </row>
    <row r="1012" spans="10:11">
      <c r="J1012" s="100" t="str">
        <f t="shared" si="79"/>
        <v/>
      </c>
      <c r="K1012" s="100" t="str">
        <f t="shared" si="80"/>
        <v/>
      </c>
    </row>
    <row r="1013" spans="10:11">
      <c r="J1013" s="100" t="str">
        <f t="shared" si="79"/>
        <v/>
      </c>
      <c r="K1013" s="100" t="str">
        <f t="shared" si="80"/>
        <v/>
      </c>
    </row>
    <row r="1014" spans="10:11">
      <c r="J1014" s="100" t="str">
        <f t="shared" si="79"/>
        <v/>
      </c>
      <c r="K1014" s="100" t="str">
        <f t="shared" si="80"/>
        <v/>
      </c>
    </row>
    <row r="1015" spans="10:11">
      <c r="J1015" s="100" t="str">
        <f t="shared" si="79"/>
        <v/>
      </c>
      <c r="K1015" s="100" t="str">
        <f t="shared" si="80"/>
        <v/>
      </c>
    </row>
    <row r="1016" spans="10:11">
      <c r="J1016" s="100" t="str">
        <f t="shared" si="79"/>
        <v/>
      </c>
      <c r="K1016" s="100" t="str">
        <f t="shared" si="80"/>
        <v/>
      </c>
    </row>
    <row r="1017" spans="10:11">
      <c r="J1017" s="100" t="str">
        <f t="shared" si="79"/>
        <v/>
      </c>
      <c r="K1017" s="100" t="str">
        <f t="shared" si="80"/>
        <v/>
      </c>
    </row>
    <row r="1018" spans="10:11">
      <c r="J1018" s="100" t="str">
        <f t="shared" si="79"/>
        <v/>
      </c>
      <c r="K1018" s="100" t="str">
        <f t="shared" si="80"/>
        <v/>
      </c>
    </row>
    <row r="1019" spans="10:11">
      <c r="J1019" s="100" t="str">
        <f t="shared" si="79"/>
        <v/>
      </c>
      <c r="K1019" s="100" t="str">
        <f t="shared" si="80"/>
        <v/>
      </c>
    </row>
    <row r="1020" spans="10:11">
      <c r="J1020" s="100" t="str">
        <f t="shared" si="79"/>
        <v/>
      </c>
      <c r="K1020" s="100" t="str">
        <f t="shared" si="80"/>
        <v/>
      </c>
    </row>
    <row r="1021" spans="10:11">
      <c r="J1021" s="100" t="str">
        <f t="shared" si="79"/>
        <v/>
      </c>
      <c r="K1021" s="100" t="str">
        <f t="shared" si="80"/>
        <v/>
      </c>
    </row>
    <row r="1022" spans="10:11">
      <c r="J1022" s="100" t="str">
        <f t="shared" si="79"/>
        <v/>
      </c>
      <c r="K1022" s="100" t="str">
        <f t="shared" si="80"/>
        <v/>
      </c>
    </row>
    <row r="1023" spans="10:11">
      <c r="J1023" s="100" t="str">
        <f t="shared" si="79"/>
        <v/>
      </c>
      <c r="K1023" s="100" t="str">
        <f t="shared" si="80"/>
        <v/>
      </c>
    </row>
    <row r="1024" spans="10:11">
      <c r="J1024" s="100" t="str">
        <f t="shared" si="79"/>
        <v/>
      </c>
      <c r="K1024" s="100" t="str">
        <f t="shared" si="80"/>
        <v/>
      </c>
    </row>
    <row r="1025" spans="10:11">
      <c r="J1025" s="100" t="str">
        <f t="shared" si="79"/>
        <v/>
      </c>
      <c r="K1025" s="100" t="str">
        <f t="shared" si="80"/>
        <v/>
      </c>
    </row>
    <row r="1026" spans="10:11">
      <c r="J1026" s="100" t="str">
        <f t="shared" si="79"/>
        <v/>
      </c>
      <c r="K1026" s="100" t="str">
        <f t="shared" si="80"/>
        <v/>
      </c>
    </row>
    <row r="1027" spans="10:11">
      <c r="J1027" s="100" t="str">
        <f t="shared" si="79"/>
        <v/>
      </c>
      <c r="K1027" s="100" t="str">
        <f t="shared" si="80"/>
        <v/>
      </c>
    </row>
    <row r="1028" spans="10:11">
      <c r="J1028" s="100" t="str">
        <f t="shared" si="79"/>
        <v/>
      </c>
      <c r="K1028" s="100" t="str">
        <f t="shared" si="80"/>
        <v/>
      </c>
    </row>
    <row r="1029" spans="10:11">
      <c r="J1029" s="100" t="str">
        <f t="shared" si="79"/>
        <v/>
      </c>
      <c r="K1029" s="100" t="str">
        <f t="shared" si="80"/>
        <v/>
      </c>
    </row>
    <row r="1030" spans="10:11">
      <c r="J1030" s="100" t="str">
        <f t="shared" si="79"/>
        <v/>
      </c>
      <c r="K1030" s="100" t="str">
        <f t="shared" si="80"/>
        <v/>
      </c>
    </row>
    <row r="1031" spans="10:11">
      <c r="J1031" s="100" t="str">
        <f t="shared" si="79"/>
        <v/>
      </c>
      <c r="K1031" s="100" t="str">
        <f t="shared" si="80"/>
        <v/>
      </c>
    </row>
    <row r="1032" spans="10:11">
      <c r="J1032" s="100" t="str">
        <f t="shared" si="79"/>
        <v/>
      </c>
      <c r="K1032" s="100" t="str">
        <f t="shared" si="80"/>
        <v/>
      </c>
    </row>
    <row r="1033" spans="10:11">
      <c r="J1033" s="100" t="str">
        <f t="shared" si="79"/>
        <v/>
      </c>
      <c r="K1033" s="100" t="str">
        <f t="shared" si="80"/>
        <v/>
      </c>
    </row>
    <row r="1034" spans="10:11">
      <c r="J1034" s="100" t="str">
        <f t="shared" si="79"/>
        <v/>
      </c>
      <c r="K1034" s="100" t="str">
        <f t="shared" si="80"/>
        <v/>
      </c>
    </row>
    <row r="1035" spans="10:11">
      <c r="J1035" s="100" t="str">
        <f t="shared" ref="J1035:J1098" si="81">C1035&amp;D1035&amp;G1035</f>
        <v/>
      </c>
      <c r="K1035" s="100" t="str">
        <f t="shared" ref="K1035:K1098" si="82">C1035&amp;D1035&amp;H1035</f>
        <v/>
      </c>
    </row>
    <row r="1036" spans="10:11">
      <c r="J1036" s="100" t="str">
        <f t="shared" si="81"/>
        <v/>
      </c>
      <c r="K1036" s="100" t="str">
        <f t="shared" si="82"/>
        <v/>
      </c>
    </row>
    <row r="1037" spans="10:11">
      <c r="J1037" s="100" t="str">
        <f t="shared" si="81"/>
        <v/>
      </c>
      <c r="K1037" s="100" t="str">
        <f t="shared" si="82"/>
        <v/>
      </c>
    </row>
    <row r="1038" spans="10:11">
      <c r="J1038" s="100" t="str">
        <f t="shared" si="81"/>
        <v/>
      </c>
      <c r="K1038" s="100" t="str">
        <f t="shared" si="82"/>
        <v/>
      </c>
    </row>
    <row r="1039" spans="10:11">
      <c r="J1039" s="100" t="str">
        <f t="shared" si="81"/>
        <v/>
      </c>
      <c r="K1039" s="100" t="str">
        <f t="shared" si="82"/>
        <v/>
      </c>
    </row>
    <row r="1040" spans="10:11">
      <c r="J1040" s="100" t="str">
        <f t="shared" si="81"/>
        <v/>
      </c>
      <c r="K1040" s="100" t="str">
        <f t="shared" si="82"/>
        <v/>
      </c>
    </row>
    <row r="1041" spans="10:11">
      <c r="J1041" s="100" t="str">
        <f t="shared" si="81"/>
        <v/>
      </c>
      <c r="K1041" s="100" t="str">
        <f t="shared" si="82"/>
        <v/>
      </c>
    </row>
    <row r="1042" spans="10:11">
      <c r="J1042" s="100" t="str">
        <f t="shared" si="81"/>
        <v/>
      </c>
      <c r="K1042" s="100" t="str">
        <f t="shared" si="82"/>
        <v/>
      </c>
    </row>
    <row r="1043" spans="10:11">
      <c r="J1043" s="100" t="str">
        <f t="shared" si="81"/>
        <v/>
      </c>
      <c r="K1043" s="100" t="str">
        <f t="shared" si="82"/>
        <v/>
      </c>
    </row>
    <row r="1044" spans="10:11">
      <c r="J1044" s="100" t="str">
        <f t="shared" si="81"/>
        <v/>
      </c>
      <c r="K1044" s="100" t="str">
        <f t="shared" si="82"/>
        <v/>
      </c>
    </row>
    <row r="1045" spans="10:11">
      <c r="J1045" s="100" t="str">
        <f t="shared" si="81"/>
        <v/>
      </c>
      <c r="K1045" s="100" t="str">
        <f t="shared" si="82"/>
        <v/>
      </c>
    </row>
    <row r="1046" spans="10:11">
      <c r="J1046" s="100" t="str">
        <f t="shared" si="81"/>
        <v/>
      </c>
      <c r="K1046" s="100" t="str">
        <f t="shared" si="82"/>
        <v/>
      </c>
    </row>
    <row r="1047" spans="10:11">
      <c r="J1047" s="100" t="str">
        <f t="shared" si="81"/>
        <v/>
      </c>
      <c r="K1047" s="100" t="str">
        <f t="shared" si="82"/>
        <v/>
      </c>
    </row>
    <row r="1048" spans="10:11">
      <c r="J1048" s="100" t="str">
        <f t="shared" si="81"/>
        <v/>
      </c>
      <c r="K1048" s="100" t="str">
        <f t="shared" si="82"/>
        <v/>
      </c>
    </row>
    <row r="1049" spans="10:11">
      <c r="J1049" s="100" t="str">
        <f t="shared" si="81"/>
        <v/>
      </c>
      <c r="K1049" s="100" t="str">
        <f t="shared" si="82"/>
        <v/>
      </c>
    </row>
    <row r="1050" spans="10:11">
      <c r="J1050" s="100" t="str">
        <f t="shared" si="81"/>
        <v/>
      </c>
      <c r="K1050" s="100" t="str">
        <f t="shared" si="82"/>
        <v/>
      </c>
    </row>
    <row r="1051" spans="10:11">
      <c r="J1051" s="100" t="str">
        <f t="shared" si="81"/>
        <v/>
      </c>
      <c r="K1051" s="100" t="str">
        <f t="shared" si="82"/>
        <v/>
      </c>
    </row>
    <row r="1052" spans="10:11">
      <c r="J1052" s="100" t="str">
        <f t="shared" si="81"/>
        <v/>
      </c>
      <c r="K1052" s="100" t="str">
        <f t="shared" si="82"/>
        <v/>
      </c>
    </row>
    <row r="1053" spans="10:11">
      <c r="J1053" s="100" t="str">
        <f t="shared" si="81"/>
        <v/>
      </c>
      <c r="K1053" s="100" t="str">
        <f t="shared" si="82"/>
        <v/>
      </c>
    </row>
    <row r="1054" spans="10:11">
      <c r="J1054" s="100" t="str">
        <f t="shared" si="81"/>
        <v/>
      </c>
      <c r="K1054" s="100" t="str">
        <f t="shared" si="82"/>
        <v/>
      </c>
    </row>
    <row r="1055" spans="10:11">
      <c r="J1055" s="100" t="str">
        <f t="shared" si="81"/>
        <v/>
      </c>
      <c r="K1055" s="100" t="str">
        <f t="shared" si="82"/>
        <v/>
      </c>
    </row>
    <row r="1056" spans="10:11">
      <c r="J1056" s="100" t="str">
        <f t="shared" si="81"/>
        <v/>
      </c>
      <c r="K1056" s="100" t="str">
        <f t="shared" si="82"/>
        <v/>
      </c>
    </row>
    <row r="1057" spans="10:11">
      <c r="J1057" s="100" t="str">
        <f t="shared" si="81"/>
        <v/>
      </c>
      <c r="K1057" s="100" t="str">
        <f t="shared" si="82"/>
        <v/>
      </c>
    </row>
    <row r="1058" spans="10:11">
      <c r="J1058" s="100" t="str">
        <f t="shared" si="81"/>
        <v/>
      </c>
      <c r="K1058" s="100" t="str">
        <f t="shared" si="82"/>
        <v/>
      </c>
    </row>
    <row r="1059" spans="10:11">
      <c r="J1059" s="100" t="str">
        <f t="shared" si="81"/>
        <v/>
      </c>
      <c r="K1059" s="100" t="str">
        <f t="shared" si="82"/>
        <v/>
      </c>
    </row>
    <row r="1060" spans="10:11">
      <c r="J1060" s="100" t="str">
        <f t="shared" si="81"/>
        <v/>
      </c>
      <c r="K1060" s="100" t="str">
        <f t="shared" si="82"/>
        <v/>
      </c>
    </row>
    <row r="1061" spans="10:11">
      <c r="J1061" s="100" t="str">
        <f t="shared" si="81"/>
        <v/>
      </c>
      <c r="K1061" s="100" t="str">
        <f t="shared" si="82"/>
        <v/>
      </c>
    </row>
    <row r="1062" spans="10:11">
      <c r="J1062" s="100" t="str">
        <f t="shared" si="81"/>
        <v/>
      </c>
      <c r="K1062" s="100" t="str">
        <f t="shared" si="82"/>
        <v/>
      </c>
    </row>
    <row r="1063" spans="10:11">
      <c r="J1063" s="100" t="str">
        <f t="shared" si="81"/>
        <v/>
      </c>
      <c r="K1063" s="100" t="str">
        <f t="shared" si="82"/>
        <v/>
      </c>
    </row>
    <row r="1064" spans="10:11">
      <c r="J1064" s="100" t="str">
        <f t="shared" si="81"/>
        <v/>
      </c>
      <c r="K1064" s="100" t="str">
        <f t="shared" si="82"/>
        <v/>
      </c>
    </row>
    <row r="1065" spans="10:11">
      <c r="J1065" s="100" t="str">
        <f t="shared" si="81"/>
        <v/>
      </c>
      <c r="K1065" s="100" t="str">
        <f t="shared" si="82"/>
        <v/>
      </c>
    </row>
    <row r="1066" spans="10:11">
      <c r="J1066" s="100" t="str">
        <f t="shared" si="81"/>
        <v/>
      </c>
      <c r="K1066" s="100" t="str">
        <f t="shared" si="82"/>
        <v/>
      </c>
    </row>
    <row r="1067" spans="10:11">
      <c r="J1067" s="100" t="str">
        <f t="shared" si="81"/>
        <v/>
      </c>
      <c r="K1067" s="100" t="str">
        <f t="shared" si="82"/>
        <v/>
      </c>
    </row>
    <row r="1068" spans="10:11">
      <c r="J1068" s="100" t="str">
        <f t="shared" si="81"/>
        <v/>
      </c>
      <c r="K1068" s="100" t="str">
        <f t="shared" si="82"/>
        <v/>
      </c>
    </row>
    <row r="1069" spans="10:11">
      <c r="J1069" s="100" t="str">
        <f t="shared" si="81"/>
        <v/>
      </c>
      <c r="K1069" s="100" t="str">
        <f t="shared" si="82"/>
        <v/>
      </c>
    </row>
    <row r="1070" spans="10:11">
      <c r="J1070" s="100" t="str">
        <f t="shared" si="81"/>
        <v/>
      </c>
      <c r="K1070" s="100" t="str">
        <f t="shared" si="82"/>
        <v/>
      </c>
    </row>
    <row r="1071" spans="10:11">
      <c r="J1071" s="100" t="str">
        <f t="shared" si="81"/>
        <v/>
      </c>
      <c r="K1071" s="100" t="str">
        <f t="shared" si="82"/>
        <v/>
      </c>
    </row>
    <row r="1072" spans="10:11">
      <c r="J1072" s="100" t="str">
        <f t="shared" si="81"/>
        <v/>
      </c>
      <c r="K1072" s="100" t="str">
        <f t="shared" si="82"/>
        <v/>
      </c>
    </row>
    <row r="1073" spans="10:11">
      <c r="J1073" s="100" t="str">
        <f t="shared" si="81"/>
        <v/>
      </c>
      <c r="K1073" s="100" t="str">
        <f t="shared" si="82"/>
        <v/>
      </c>
    </row>
    <row r="1074" spans="10:11">
      <c r="J1074" s="100" t="str">
        <f t="shared" si="81"/>
        <v/>
      </c>
      <c r="K1074" s="100" t="str">
        <f t="shared" si="82"/>
        <v/>
      </c>
    </row>
    <row r="1075" spans="10:11">
      <c r="J1075" s="100" t="str">
        <f t="shared" si="81"/>
        <v/>
      </c>
      <c r="K1075" s="100" t="str">
        <f t="shared" si="82"/>
        <v/>
      </c>
    </row>
    <row r="1076" spans="10:11">
      <c r="J1076" s="100" t="str">
        <f t="shared" si="81"/>
        <v/>
      </c>
      <c r="K1076" s="100" t="str">
        <f t="shared" si="82"/>
        <v/>
      </c>
    </row>
    <row r="1077" spans="10:11">
      <c r="J1077" s="100" t="str">
        <f t="shared" si="81"/>
        <v/>
      </c>
      <c r="K1077" s="100" t="str">
        <f t="shared" si="82"/>
        <v/>
      </c>
    </row>
    <row r="1078" spans="10:11">
      <c r="J1078" s="100" t="str">
        <f t="shared" si="81"/>
        <v/>
      </c>
      <c r="K1078" s="100" t="str">
        <f t="shared" si="82"/>
        <v/>
      </c>
    </row>
    <row r="1079" spans="10:11">
      <c r="J1079" s="100" t="str">
        <f t="shared" si="81"/>
        <v/>
      </c>
      <c r="K1079" s="100" t="str">
        <f t="shared" si="82"/>
        <v/>
      </c>
    </row>
    <row r="1080" spans="10:11">
      <c r="J1080" s="100" t="str">
        <f t="shared" si="81"/>
        <v/>
      </c>
      <c r="K1080" s="100" t="str">
        <f t="shared" si="82"/>
        <v/>
      </c>
    </row>
    <row r="1081" spans="10:11">
      <c r="J1081" s="100" t="str">
        <f t="shared" si="81"/>
        <v/>
      </c>
      <c r="K1081" s="100" t="str">
        <f t="shared" si="82"/>
        <v/>
      </c>
    </row>
    <row r="1082" spans="10:11">
      <c r="J1082" s="100" t="str">
        <f t="shared" si="81"/>
        <v/>
      </c>
      <c r="K1082" s="100" t="str">
        <f t="shared" si="82"/>
        <v/>
      </c>
    </row>
    <row r="1083" spans="10:11">
      <c r="J1083" s="100" t="str">
        <f t="shared" si="81"/>
        <v/>
      </c>
      <c r="K1083" s="100" t="str">
        <f t="shared" si="82"/>
        <v/>
      </c>
    </row>
    <row r="1084" spans="10:11">
      <c r="J1084" s="100" t="str">
        <f t="shared" si="81"/>
        <v/>
      </c>
      <c r="K1084" s="100" t="str">
        <f t="shared" si="82"/>
        <v/>
      </c>
    </row>
    <row r="1085" spans="10:11">
      <c r="J1085" s="100" t="str">
        <f t="shared" si="81"/>
        <v/>
      </c>
      <c r="K1085" s="100" t="str">
        <f t="shared" si="82"/>
        <v/>
      </c>
    </row>
    <row r="1086" spans="10:11">
      <c r="J1086" s="100" t="str">
        <f t="shared" si="81"/>
        <v/>
      </c>
      <c r="K1086" s="100" t="str">
        <f t="shared" si="82"/>
        <v/>
      </c>
    </row>
    <row r="1087" spans="10:11">
      <c r="J1087" s="100" t="str">
        <f t="shared" si="81"/>
        <v/>
      </c>
      <c r="K1087" s="100" t="str">
        <f t="shared" si="82"/>
        <v/>
      </c>
    </row>
    <row r="1088" spans="10:11">
      <c r="J1088" s="100" t="str">
        <f t="shared" si="81"/>
        <v/>
      </c>
      <c r="K1088" s="100" t="str">
        <f t="shared" si="82"/>
        <v/>
      </c>
    </row>
    <row r="1089" spans="10:11">
      <c r="J1089" s="100" t="str">
        <f t="shared" si="81"/>
        <v/>
      </c>
      <c r="K1089" s="100" t="str">
        <f t="shared" si="82"/>
        <v/>
      </c>
    </row>
    <row r="1090" spans="10:11">
      <c r="J1090" s="100" t="str">
        <f t="shared" si="81"/>
        <v/>
      </c>
      <c r="K1090" s="100" t="str">
        <f t="shared" si="82"/>
        <v/>
      </c>
    </row>
    <row r="1091" spans="10:11">
      <c r="J1091" s="100" t="str">
        <f t="shared" si="81"/>
        <v/>
      </c>
      <c r="K1091" s="100" t="str">
        <f t="shared" si="82"/>
        <v/>
      </c>
    </row>
    <row r="1092" spans="10:11">
      <c r="J1092" s="100" t="str">
        <f t="shared" si="81"/>
        <v/>
      </c>
      <c r="K1092" s="100" t="str">
        <f t="shared" si="82"/>
        <v/>
      </c>
    </row>
    <row r="1093" spans="10:11">
      <c r="J1093" s="100" t="str">
        <f t="shared" si="81"/>
        <v/>
      </c>
      <c r="K1093" s="100" t="str">
        <f t="shared" si="82"/>
        <v/>
      </c>
    </row>
    <row r="1094" spans="10:11">
      <c r="J1094" s="100" t="str">
        <f t="shared" si="81"/>
        <v/>
      </c>
      <c r="K1094" s="100" t="str">
        <f t="shared" si="82"/>
        <v/>
      </c>
    </row>
    <row r="1095" spans="10:11">
      <c r="J1095" s="100" t="str">
        <f t="shared" si="81"/>
        <v/>
      </c>
      <c r="K1095" s="100" t="str">
        <f t="shared" si="82"/>
        <v/>
      </c>
    </row>
    <row r="1096" spans="10:11">
      <c r="J1096" s="100" t="str">
        <f t="shared" si="81"/>
        <v/>
      </c>
      <c r="K1096" s="100" t="str">
        <f t="shared" si="82"/>
        <v/>
      </c>
    </row>
    <row r="1097" spans="10:11">
      <c r="J1097" s="100" t="str">
        <f t="shared" si="81"/>
        <v/>
      </c>
      <c r="K1097" s="100" t="str">
        <f t="shared" si="82"/>
        <v/>
      </c>
    </row>
    <row r="1098" spans="10:11">
      <c r="J1098" s="100" t="str">
        <f t="shared" si="81"/>
        <v/>
      </c>
      <c r="K1098" s="100" t="str">
        <f t="shared" si="82"/>
        <v/>
      </c>
    </row>
    <row r="1099" spans="10:11">
      <c r="J1099" s="100" t="str">
        <f t="shared" ref="J1099:J1162" si="83">C1099&amp;D1099&amp;G1099</f>
        <v/>
      </c>
      <c r="K1099" s="100" t="str">
        <f t="shared" ref="K1099:K1162" si="84">C1099&amp;D1099&amp;H1099</f>
        <v/>
      </c>
    </row>
    <row r="1100" spans="10:11">
      <c r="J1100" s="100" t="str">
        <f t="shared" si="83"/>
        <v/>
      </c>
      <c r="K1100" s="100" t="str">
        <f t="shared" si="84"/>
        <v/>
      </c>
    </row>
    <row r="1101" spans="10:11">
      <c r="J1101" s="100" t="str">
        <f t="shared" si="83"/>
        <v/>
      </c>
      <c r="K1101" s="100" t="str">
        <f t="shared" si="84"/>
        <v/>
      </c>
    </row>
    <row r="1102" spans="10:11">
      <c r="J1102" s="100" t="str">
        <f t="shared" si="83"/>
        <v/>
      </c>
      <c r="K1102" s="100" t="str">
        <f t="shared" si="84"/>
        <v/>
      </c>
    </row>
    <row r="1103" spans="10:11">
      <c r="J1103" s="100" t="str">
        <f t="shared" si="83"/>
        <v/>
      </c>
      <c r="K1103" s="100" t="str">
        <f t="shared" si="84"/>
        <v/>
      </c>
    </row>
    <row r="1104" spans="10:11">
      <c r="J1104" s="100" t="str">
        <f t="shared" si="83"/>
        <v/>
      </c>
      <c r="K1104" s="100" t="str">
        <f t="shared" si="84"/>
        <v/>
      </c>
    </row>
    <row r="1105" spans="10:11">
      <c r="J1105" s="100" t="str">
        <f t="shared" si="83"/>
        <v/>
      </c>
      <c r="K1105" s="100" t="str">
        <f t="shared" si="84"/>
        <v/>
      </c>
    </row>
    <row r="1106" spans="10:11">
      <c r="J1106" s="100" t="str">
        <f t="shared" si="83"/>
        <v/>
      </c>
      <c r="K1106" s="100" t="str">
        <f t="shared" si="84"/>
        <v/>
      </c>
    </row>
    <row r="1107" spans="10:11">
      <c r="J1107" s="100" t="str">
        <f t="shared" si="83"/>
        <v/>
      </c>
      <c r="K1107" s="100" t="str">
        <f t="shared" si="84"/>
        <v/>
      </c>
    </row>
    <row r="1108" spans="10:11">
      <c r="J1108" s="100" t="str">
        <f t="shared" si="83"/>
        <v/>
      </c>
      <c r="K1108" s="100" t="str">
        <f t="shared" si="84"/>
        <v/>
      </c>
    </row>
    <row r="1109" spans="10:11">
      <c r="J1109" s="100" t="str">
        <f t="shared" si="83"/>
        <v/>
      </c>
      <c r="K1109" s="100" t="str">
        <f t="shared" si="84"/>
        <v/>
      </c>
    </row>
    <row r="1110" spans="10:11">
      <c r="J1110" s="100" t="str">
        <f t="shared" si="83"/>
        <v/>
      </c>
      <c r="K1110" s="100" t="str">
        <f t="shared" si="84"/>
        <v/>
      </c>
    </row>
    <row r="1111" spans="10:11">
      <c r="J1111" s="100" t="str">
        <f t="shared" si="83"/>
        <v/>
      </c>
      <c r="K1111" s="100" t="str">
        <f t="shared" si="84"/>
        <v/>
      </c>
    </row>
    <row r="1112" spans="10:11">
      <c r="J1112" s="100" t="str">
        <f t="shared" si="83"/>
        <v/>
      </c>
      <c r="K1112" s="100" t="str">
        <f t="shared" si="84"/>
        <v/>
      </c>
    </row>
    <row r="1113" spans="10:11">
      <c r="J1113" s="100" t="str">
        <f t="shared" si="83"/>
        <v/>
      </c>
      <c r="K1113" s="100" t="str">
        <f t="shared" si="84"/>
        <v/>
      </c>
    </row>
    <row r="1114" spans="10:11">
      <c r="J1114" s="100" t="str">
        <f t="shared" si="83"/>
        <v/>
      </c>
      <c r="K1114" s="100" t="str">
        <f t="shared" si="84"/>
        <v/>
      </c>
    </row>
    <row r="1115" spans="10:11">
      <c r="J1115" s="100" t="str">
        <f t="shared" si="83"/>
        <v/>
      </c>
      <c r="K1115" s="100" t="str">
        <f t="shared" si="84"/>
        <v/>
      </c>
    </row>
    <row r="1116" spans="10:11">
      <c r="J1116" s="100" t="str">
        <f t="shared" si="83"/>
        <v/>
      </c>
      <c r="K1116" s="100" t="str">
        <f t="shared" si="84"/>
        <v/>
      </c>
    </row>
    <row r="1117" spans="10:11">
      <c r="J1117" s="100" t="str">
        <f t="shared" si="83"/>
        <v/>
      </c>
      <c r="K1117" s="100" t="str">
        <f t="shared" si="84"/>
        <v/>
      </c>
    </row>
    <row r="1118" spans="10:11">
      <c r="J1118" s="100" t="str">
        <f t="shared" si="83"/>
        <v/>
      </c>
      <c r="K1118" s="100" t="str">
        <f t="shared" si="84"/>
        <v/>
      </c>
    </row>
    <row r="1119" spans="10:11">
      <c r="J1119" s="100" t="str">
        <f t="shared" si="83"/>
        <v/>
      </c>
      <c r="K1119" s="100" t="str">
        <f t="shared" si="84"/>
        <v/>
      </c>
    </row>
    <row r="1120" spans="10:11">
      <c r="J1120" s="100" t="str">
        <f t="shared" si="83"/>
        <v/>
      </c>
      <c r="K1120" s="100" t="str">
        <f t="shared" si="84"/>
        <v/>
      </c>
    </row>
    <row r="1121" spans="10:11">
      <c r="J1121" s="100" t="str">
        <f t="shared" si="83"/>
        <v/>
      </c>
      <c r="K1121" s="100" t="str">
        <f t="shared" si="84"/>
        <v/>
      </c>
    </row>
    <row r="1122" spans="10:11">
      <c r="J1122" s="100" t="str">
        <f t="shared" si="83"/>
        <v/>
      </c>
      <c r="K1122" s="100" t="str">
        <f t="shared" si="84"/>
        <v/>
      </c>
    </row>
    <row r="1123" spans="10:11">
      <c r="J1123" s="100" t="str">
        <f t="shared" si="83"/>
        <v/>
      </c>
      <c r="K1123" s="100" t="str">
        <f t="shared" si="84"/>
        <v/>
      </c>
    </row>
    <row r="1124" spans="10:11">
      <c r="J1124" s="100" t="str">
        <f t="shared" si="83"/>
        <v/>
      </c>
      <c r="K1124" s="100" t="str">
        <f t="shared" si="84"/>
        <v/>
      </c>
    </row>
    <row r="1125" spans="10:11">
      <c r="J1125" s="100" t="str">
        <f t="shared" si="83"/>
        <v/>
      </c>
      <c r="K1125" s="100" t="str">
        <f t="shared" si="84"/>
        <v/>
      </c>
    </row>
    <row r="1126" spans="10:11">
      <c r="J1126" s="100" t="str">
        <f t="shared" si="83"/>
        <v/>
      </c>
      <c r="K1126" s="100" t="str">
        <f t="shared" si="84"/>
        <v/>
      </c>
    </row>
    <row r="1127" spans="10:11">
      <c r="J1127" s="100" t="str">
        <f t="shared" si="83"/>
        <v/>
      </c>
      <c r="K1127" s="100" t="str">
        <f t="shared" si="84"/>
        <v/>
      </c>
    </row>
    <row r="1128" spans="10:11">
      <c r="J1128" s="100" t="str">
        <f t="shared" si="83"/>
        <v/>
      </c>
      <c r="K1128" s="100" t="str">
        <f t="shared" si="84"/>
        <v/>
      </c>
    </row>
    <row r="1129" spans="10:11">
      <c r="J1129" s="100" t="str">
        <f t="shared" si="83"/>
        <v/>
      </c>
      <c r="K1129" s="100" t="str">
        <f t="shared" si="84"/>
        <v/>
      </c>
    </row>
    <row r="1130" spans="10:11">
      <c r="J1130" s="100" t="str">
        <f t="shared" si="83"/>
        <v/>
      </c>
      <c r="K1130" s="100" t="str">
        <f t="shared" si="84"/>
        <v/>
      </c>
    </row>
    <row r="1131" spans="10:11">
      <c r="J1131" s="100" t="str">
        <f t="shared" si="83"/>
        <v/>
      </c>
      <c r="K1131" s="100" t="str">
        <f t="shared" si="84"/>
        <v/>
      </c>
    </row>
    <row r="1132" spans="10:11">
      <c r="J1132" s="100" t="str">
        <f t="shared" si="83"/>
        <v/>
      </c>
      <c r="K1132" s="100" t="str">
        <f t="shared" si="84"/>
        <v/>
      </c>
    </row>
    <row r="1133" spans="10:11">
      <c r="J1133" s="100" t="str">
        <f t="shared" si="83"/>
        <v/>
      </c>
      <c r="K1133" s="100" t="str">
        <f t="shared" si="84"/>
        <v/>
      </c>
    </row>
    <row r="1134" spans="10:11">
      <c r="J1134" s="100" t="str">
        <f t="shared" si="83"/>
        <v/>
      </c>
      <c r="K1134" s="100" t="str">
        <f t="shared" si="84"/>
        <v/>
      </c>
    </row>
    <row r="1135" spans="10:11">
      <c r="J1135" s="100" t="str">
        <f t="shared" si="83"/>
        <v/>
      </c>
      <c r="K1135" s="100" t="str">
        <f t="shared" si="84"/>
        <v/>
      </c>
    </row>
    <row r="1136" spans="10:11">
      <c r="J1136" s="100" t="str">
        <f t="shared" si="83"/>
        <v/>
      </c>
      <c r="K1136" s="100" t="str">
        <f t="shared" si="84"/>
        <v/>
      </c>
    </row>
    <row r="1137" spans="10:11">
      <c r="J1137" s="100" t="str">
        <f t="shared" si="83"/>
        <v/>
      </c>
      <c r="K1137" s="100" t="str">
        <f t="shared" si="84"/>
        <v/>
      </c>
    </row>
    <row r="1138" spans="10:11">
      <c r="J1138" s="100" t="str">
        <f t="shared" si="83"/>
        <v/>
      </c>
      <c r="K1138" s="100" t="str">
        <f t="shared" si="84"/>
        <v/>
      </c>
    </row>
    <row r="1139" spans="10:11">
      <c r="J1139" s="100" t="str">
        <f t="shared" si="83"/>
        <v/>
      </c>
      <c r="K1139" s="100" t="str">
        <f t="shared" si="84"/>
        <v/>
      </c>
    </row>
    <row r="1140" spans="10:11">
      <c r="J1140" s="100" t="str">
        <f t="shared" si="83"/>
        <v/>
      </c>
      <c r="K1140" s="100" t="str">
        <f t="shared" si="84"/>
        <v/>
      </c>
    </row>
    <row r="1141" spans="10:11">
      <c r="J1141" s="100" t="str">
        <f t="shared" si="83"/>
        <v/>
      </c>
      <c r="K1141" s="100" t="str">
        <f t="shared" si="84"/>
        <v/>
      </c>
    </row>
    <row r="1142" spans="10:11">
      <c r="J1142" s="100" t="str">
        <f t="shared" si="83"/>
        <v/>
      </c>
      <c r="K1142" s="100" t="str">
        <f t="shared" si="84"/>
        <v/>
      </c>
    </row>
    <row r="1143" spans="10:11">
      <c r="J1143" s="100" t="str">
        <f t="shared" si="83"/>
        <v/>
      </c>
      <c r="K1143" s="100" t="str">
        <f t="shared" si="84"/>
        <v/>
      </c>
    </row>
    <row r="1144" spans="10:11">
      <c r="J1144" s="100" t="str">
        <f t="shared" si="83"/>
        <v/>
      </c>
      <c r="K1144" s="100" t="str">
        <f t="shared" si="84"/>
        <v/>
      </c>
    </row>
    <row r="1145" spans="10:11">
      <c r="J1145" s="100" t="str">
        <f t="shared" si="83"/>
        <v/>
      </c>
      <c r="K1145" s="100" t="str">
        <f t="shared" si="84"/>
        <v/>
      </c>
    </row>
    <row r="1146" spans="10:11">
      <c r="J1146" s="100" t="str">
        <f t="shared" si="83"/>
        <v/>
      </c>
      <c r="K1146" s="100" t="str">
        <f t="shared" si="84"/>
        <v/>
      </c>
    </row>
    <row r="1147" spans="10:11">
      <c r="J1147" s="100" t="str">
        <f t="shared" si="83"/>
        <v/>
      </c>
      <c r="K1147" s="100" t="str">
        <f t="shared" si="84"/>
        <v/>
      </c>
    </row>
    <row r="1148" spans="10:11">
      <c r="J1148" s="100" t="str">
        <f t="shared" si="83"/>
        <v/>
      </c>
      <c r="K1148" s="100" t="str">
        <f t="shared" si="84"/>
        <v/>
      </c>
    </row>
    <row r="1149" spans="10:11">
      <c r="J1149" s="100" t="str">
        <f t="shared" si="83"/>
        <v/>
      </c>
      <c r="K1149" s="100" t="str">
        <f t="shared" si="84"/>
        <v/>
      </c>
    </row>
    <row r="1150" spans="10:11">
      <c r="J1150" s="100" t="str">
        <f t="shared" si="83"/>
        <v/>
      </c>
      <c r="K1150" s="100" t="str">
        <f t="shared" si="84"/>
        <v/>
      </c>
    </row>
    <row r="1151" spans="10:11">
      <c r="J1151" s="100" t="str">
        <f t="shared" si="83"/>
        <v/>
      </c>
      <c r="K1151" s="100" t="str">
        <f t="shared" si="84"/>
        <v/>
      </c>
    </row>
    <row r="1152" spans="10:11">
      <c r="J1152" s="100" t="str">
        <f t="shared" si="83"/>
        <v/>
      </c>
      <c r="K1152" s="100" t="str">
        <f t="shared" si="84"/>
        <v/>
      </c>
    </row>
    <row r="1153" spans="10:11">
      <c r="J1153" s="100" t="str">
        <f t="shared" si="83"/>
        <v/>
      </c>
      <c r="K1153" s="100" t="str">
        <f t="shared" si="84"/>
        <v/>
      </c>
    </row>
    <row r="1154" spans="10:11">
      <c r="J1154" s="100" t="str">
        <f t="shared" si="83"/>
        <v/>
      </c>
      <c r="K1154" s="100" t="str">
        <f t="shared" si="84"/>
        <v/>
      </c>
    </row>
    <row r="1155" spans="10:11">
      <c r="J1155" s="100" t="str">
        <f t="shared" si="83"/>
        <v/>
      </c>
      <c r="K1155" s="100" t="str">
        <f t="shared" si="84"/>
        <v/>
      </c>
    </row>
    <row r="1156" spans="10:11">
      <c r="J1156" s="100" t="str">
        <f t="shared" si="83"/>
        <v/>
      </c>
      <c r="K1156" s="100" t="str">
        <f t="shared" si="84"/>
        <v/>
      </c>
    </row>
    <row r="1157" spans="10:11">
      <c r="J1157" s="100" t="str">
        <f t="shared" si="83"/>
        <v/>
      </c>
      <c r="K1157" s="100" t="str">
        <f t="shared" si="84"/>
        <v/>
      </c>
    </row>
    <row r="1158" spans="10:11">
      <c r="J1158" s="100" t="str">
        <f t="shared" si="83"/>
        <v/>
      </c>
      <c r="K1158" s="100" t="str">
        <f t="shared" si="84"/>
        <v/>
      </c>
    </row>
    <row r="1159" spans="10:11">
      <c r="J1159" s="100" t="str">
        <f t="shared" si="83"/>
        <v/>
      </c>
      <c r="K1159" s="100" t="str">
        <f t="shared" si="84"/>
        <v/>
      </c>
    </row>
    <row r="1160" spans="10:11">
      <c r="J1160" s="100" t="str">
        <f t="shared" si="83"/>
        <v/>
      </c>
      <c r="K1160" s="100" t="str">
        <f t="shared" si="84"/>
        <v/>
      </c>
    </row>
    <row r="1161" spans="10:11">
      <c r="J1161" s="100" t="str">
        <f t="shared" si="83"/>
        <v/>
      </c>
      <c r="K1161" s="100" t="str">
        <f t="shared" si="84"/>
        <v/>
      </c>
    </row>
    <row r="1162" spans="10:11">
      <c r="J1162" s="100" t="str">
        <f t="shared" si="83"/>
        <v/>
      </c>
      <c r="K1162" s="100" t="str">
        <f t="shared" si="84"/>
        <v/>
      </c>
    </row>
    <row r="1163" spans="10:11">
      <c r="J1163" s="100" t="str">
        <f t="shared" ref="J1163:J1226" si="85">C1163&amp;D1163&amp;G1163</f>
        <v/>
      </c>
      <c r="K1163" s="100" t="str">
        <f t="shared" ref="K1163:K1226" si="86">C1163&amp;D1163&amp;H1163</f>
        <v/>
      </c>
    </row>
    <row r="1164" spans="10:11">
      <c r="J1164" s="100" t="str">
        <f t="shared" si="85"/>
        <v/>
      </c>
      <c r="K1164" s="100" t="str">
        <f t="shared" si="86"/>
        <v/>
      </c>
    </row>
    <row r="1165" spans="10:11">
      <c r="J1165" s="100" t="str">
        <f t="shared" si="85"/>
        <v/>
      </c>
      <c r="K1165" s="100" t="str">
        <f t="shared" si="86"/>
        <v/>
      </c>
    </row>
    <row r="1166" spans="10:11">
      <c r="J1166" s="100" t="str">
        <f t="shared" si="85"/>
        <v/>
      </c>
      <c r="K1166" s="100" t="str">
        <f t="shared" si="86"/>
        <v/>
      </c>
    </row>
    <row r="1167" spans="10:11">
      <c r="J1167" s="100" t="str">
        <f t="shared" si="85"/>
        <v/>
      </c>
      <c r="K1167" s="100" t="str">
        <f t="shared" si="86"/>
        <v/>
      </c>
    </row>
    <row r="1168" spans="10:11">
      <c r="J1168" s="100" t="str">
        <f t="shared" si="85"/>
        <v/>
      </c>
      <c r="K1168" s="100" t="str">
        <f t="shared" si="86"/>
        <v/>
      </c>
    </row>
    <row r="1169" spans="10:11">
      <c r="J1169" s="100" t="str">
        <f t="shared" si="85"/>
        <v/>
      </c>
      <c r="K1169" s="100" t="str">
        <f t="shared" si="86"/>
        <v/>
      </c>
    </row>
    <row r="1170" spans="10:11">
      <c r="J1170" s="100" t="str">
        <f t="shared" si="85"/>
        <v/>
      </c>
      <c r="K1170" s="100" t="str">
        <f t="shared" si="86"/>
        <v/>
      </c>
    </row>
    <row r="1171" spans="10:11">
      <c r="J1171" s="100" t="str">
        <f t="shared" si="85"/>
        <v/>
      </c>
      <c r="K1171" s="100" t="str">
        <f t="shared" si="86"/>
        <v/>
      </c>
    </row>
    <row r="1172" spans="10:11">
      <c r="J1172" s="100" t="str">
        <f t="shared" si="85"/>
        <v/>
      </c>
      <c r="K1172" s="100" t="str">
        <f t="shared" si="86"/>
        <v/>
      </c>
    </row>
    <row r="1173" spans="10:11">
      <c r="J1173" s="100" t="str">
        <f t="shared" si="85"/>
        <v/>
      </c>
      <c r="K1173" s="100" t="str">
        <f t="shared" si="86"/>
        <v/>
      </c>
    </row>
    <row r="1174" spans="10:11">
      <c r="J1174" s="100" t="str">
        <f t="shared" si="85"/>
        <v/>
      </c>
      <c r="K1174" s="100" t="str">
        <f t="shared" si="86"/>
        <v/>
      </c>
    </row>
    <row r="1175" spans="10:11">
      <c r="J1175" s="100" t="str">
        <f t="shared" si="85"/>
        <v/>
      </c>
      <c r="K1175" s="100" t="str">
        <f t="shared" si="86"/>
        <v/>
      </c>
    </row>
    <row r="1176" spans="10:11">
      <c r="J1176" s="100" t="str">
        <f t="shared" si="85"/>
        <v/>
      </c>
      <c r="K1176" s="100" t="str">
        <f t="shared" si="86"/>
        <v/>
      </c>
    </row>
    <row r="1177" spans="10:11">
      <c r="J1177" s="100" t="str">
        <f t="shared" si="85"/>
        <v/>
      </c>
      <c r="K1177" s="100" t="str">
        <f t="shared" si="86"/>
        <v/>
      </c>
    </row>
    <row r="1178" spans="10:11">
      <c r="J1178" s="100" t="str">
        <f t="shared" si="85"/>
        <v/>
      </c>
      <c r="K1178" s="100" t="str">
        <f t="shared" si="86"/>
        <v/>
      </c>
    </row>
    <row r="1179" spans="10:11">
      <c r="J1179" s="100" t="str">
        <f t="shared" si="85"/>
        <v/>
      </c>
      <c r="K1179" s="100" t="str">
        <f t="shared" si="86"/>
        <v/>
      </c>
    </row>
    <row r="1180" spans="10:11">
      <c r="J1180" s="100" t="str">
        <f t="shared" si="85"/>
        <v/>
      </c>
      <c r="K1180" s="100" t="str">
        <f t="shared" si="86"/>
        <v/>
      </c>
    </row>
    <row r="1181" spans="10:11">
      <c r="J1181" s="100" t="str">
        <f t="shared" si="85"/>
        <v/>
      </c>
      <c r="K1181" s="100" t="str">
        <f t="shared" si="86"/>
        <v/>
      </c>
    </row>
    <row r="1182" spans="10:11">
      <c r="J1182" s="100" t="str">
        <f t="shared" si="85"/>
        <v/>
      </c>
      <c r="K1182" s="100" t="str">
        <f t="shared" si="86"/>
        <v/>
      </c>
    </row>
    <row r="1183" spans="10:11">
      <c r="J1183" s="100" t="str">
        <f t="shared" si="85"/>
        <v/>
      </c>
      <c r="K1183" s="100" t="str">
        <f t="shared" si="86"/>
        <v/>
      </c>
    </row>
    <row r="1184" spans="10:11">
      <c r="J1184" s="100" t="str">
        <f t="shared" si="85"/>
        <v/>
      </c>
      <c r="K1184" s="100" t="str">
        <f t="shared" si="86"/>
        <v/>
      </c>
    </row>
    <row r="1185" spans="10:11">
      <c r="J1185" s="100" t="str">
        <f t="shared" si="85"/>
        <v/>
      </c>
      <c r="K1185" s="100" t="str">
        <f t="shared" si="86"/>
        <v/>
      </c>
    </row>
    <row r="1186" spans="10:11">
      <c r="J1186" s="100" t="str">
        <f t="shared" si="85"/>
        <v/>
      </c>
      <c r="K1186" s="100" t="str">
        <f t="shared" si="86"/>
        <v/>
      </c>
    </row>
    <row r="1187" spans="10:11">
      <c r="J1187" s="100" t="str">
        <f t="shared" si="85"/>
        <v/>
      </c>
      <c r="K1187" s="100" t="str">
        <f t="shared" si="86"/>
        <v/>
      </c>
    </row>
    <row r="1188" spans="10:11">
      <c r="J1188" s="100" t="str">
        <f t="shared" si="85"/>
        <v/>
      </c>
      <c r="K1188" s="100" t="str">
        <f t="shared" si="86"/>
        <v/>
      </c>
    </row>
    <row r="1189" spans="10:11">
      <c r="J1189" s="100" t="str">
        <f t="shared" si="85"/>
        <v/>
      </c>
      <c r="K1189" s="100" t="str">
        <f t="shared" si="86"/>
        <v/>
      </c>
    </row>
    <row r="1190" spans="10:11">
      <c r="J1190" s="100" t="str">
        <f t="shared" si="85"/>
        <v/>
      </c>
      <c r="K1190" s="100" t="str">
        <f t="shared" si="86"/>
        <v/>
      </c>
    </row>
    <row r="1191" spans="10:11">
      <c r="J1191" s="100" t="str">
        <f t="shared" si="85"/>
        <v/>
      </c>
      <c r="K1191" s="100" t="str">
        <f t="shared" si="86"/>
        <v/>
      </c>
    </row>
    <row r="1192" spans="10:11">
      <c r="J1192" s="100" t="str">
        <f t="shared" si="85"/>
        <v/>
      </c>
      <c r="K1192" s="100" t="str">
        <f t="shared" si="86"/>
        <v/>
      </c>
    </row>
    <row r="1193" spans="10:11">
      <c r="J1193" s="100" t="str">
        <f t="shared" si="85"/>
        <v/>
      </c>
      <c r="K1193" s="100" t="str">
        <f t="shared" si="86"/>
        <v/>
      </c>
    </row>
    <row r="1194" spans="10:11">
      <c r="J1194" s="100" t="str">
        <f t="shared" si="85"/>
        <v/>
      </c>
      <c r="K1194" s="100" t="str">
        <f t="shared" si="86"/>
        <v/>
      </c>
    </row>
    <row r="1195" spans="10:11">
      <c r="J1195" s="100" t="str">
        <f t="shared" si="85"/>
        <v/>
      </c>
      <c r="K1195" s="100" t="str">
        <f t="shared" si="86"/>
        <v/>
      </c>
    </row>
    <row r="1196" spans="10:11">
      <c r="J1196" s="100" t="str">
        <f t="shared" si="85"/>
        <v/>
      </c>
      <c r="K1196" s="100" t="str">
        <f t="shared" si="86"/>
        <v/>
      </c>
    </row>
    <row r="1197" spans="10:11">
      <c r="J1197" s="100" t="str">
        <f t="shared" si="85"/>
        <v/>
      </c>
      <c r="K1197" s="100" t="str">
        <f t="shared" si="86"/>
        <v/>
      </c>
    </row>
    <row r="1198" spans="10:11">
      <c r="J1198" s="100" t="str">
        <f t="shared" si="85"/>
        <v/>
      </c>
      <c r="K1198" s="100" t="str">
        <f t="shared" si="86"/>
        <v/>
      </c>
    </row>
    <row r="1199" spans="10:11">
      <c r="J1199" s="100" t="str">
        <f t="shared" si="85"/>
        <v/>
      </c>
      <c r="K1199" s="100" t="str">
        <f t="shared" si="86"/>
        <v/>
      </c>
    </row>
    <row r="1200" spans="10:11">
      <c r="J1200" s="100" t="str">
        <f t="shared" si="85"/>
        <v/>
      </c>
      <c r="K1200" s="100" t="str">
        <f t="shared" si="86"/>
        <v/>
      </c>
    </row>
    <row r="1201" spans="10:11">
      <c r="J1201" s="100" t="str">
        <f t="shared" si="85"/>
        <v/>
      </c>
      <c r="K1201" s="100" t="str">
        <f t="shared" si="86"/>
        <v/>
      </c>
    </row>
    <row r="1202" spans="10:11">
      <c r="J1202" s="100" t="str">
        <f t="shared" si="85"/>
        <v/>
      </c>
      <c r="K1202" s="100" t="str">
        <f t="shared" si="86"/>
        <v/>
      </c>
    </row>
    <row r="1203" spans="10:11">
      <c r="J1203" s="100" t="str">
        <f t="shared" si="85"/>
        <v/>
      </c>
      <c r="K1203" s="100" t="str">
        <f t="shared" si="86"/>
        <v/>
      </c>
    </row>
    <row r="1204" spans="10:11">
      <c r="J1204" s="100" t="str">
        <f t="shared" si="85"/>
        <v/>
      </c>
      <c r="K1204" s="100" t="str">
        <f t="shared" si="86"/>
        <v/>
      </c>
    </row>
    <row r="1205" spans="10:11">
      <c r="J1205" s="100" t="str">
        <f t="shared" si="85"/>
        <v/>
      </c>
      <c r="K1205" s="100" t="str">
        <f t="shared" si="86"/>
        <v/>
      </c>
    </row>
    <row r="1206" spans="10:11">
      <c r="J1206" s="100" t="str">
        <f t="shared" si="85"/>
        <v/>
      </c>
      <c r="K1206" s="100" t="str">
        <f t="shared" si="86"/>
        <v/>
      </c>
    </row>
    <row r="1207" spans="10:11">
      <c r="J1207" s="100" t="str">
        <f t="shared" si="85"/>
        <v/>
      </c>
      <c r="K1207" s="100" t="str">
        <f t="shared" si="86"/>
        <v/>
      </c>
    </row>
    <row r="1208" spans="10:11">
      <c r="J1208" s="100" t="str">
        <f t="shared" si="85"/>
        <v/>
      </c>
      <c r="K1208" s="100" t="str">
        <f t="shared" si="86"/>
        <v/>
      </c>
    </row>
    <row r="1209" spans="10:11">
      <c r="J1209" s="100" t="str">
        <f t="shared" si="85"/>
        <v/>
      </c>
      <c r="K1209" s="100" t="str">
        <f t="shared" si="86"/>
        <v/>
      </c>
    </row>
    <row r="1210" spans="10:11">
      <c r="J1210" s="100" t="str">
        <f t="shared" si="85"/>
        <v/>
      </c>
      <c r="K1210" s="100" t="str">
        <f t="shared" si="86"/>
        <v/>
      </c>
    </row>
    <row r="1211" spans="10:11">
      <c r="J1211" s="100" t="str">
        <f t="shared" si="85"/>
        <v/>
      </c>
      <c r="K1211" s="100" t="str">
        <f t="shared" si="86"/>
        <v/>
      </c>
    </row>
    <row r="1212" spans="10:11">
      <c r="J1212" s="100" t="str">
        <f t="shared" si="85"/>
        <v/>
      </c>
      <c r="K1212" s="100" t="str">
        <f t="shared" si="86"/>
        <v/>
      </c>
    </row>
    <row r="1213" spans="10:11">
      <c r="J1213" s="100" t="str">
        <f t="shared" si="85"/>
        <v/>
      </c>
      <c r="K1213" s="100" t="str">
        <f t="shared" si="86"/>
        <v/>
      </c>
    </row>
    <row r="1214" spans="10:11">
      <c r="J1214" s="100" t="str">
        <f t="shared" si="85"/>
        <v/>
      </c>
      <c r="K1214" s="100" t="str">
        <f t="shared" si="86"/>
        <v/>
      </c>
    </row>
    <row r="1215" spans="10:11">
      <c r="J1215" s="100" t="str">
        <f t="shared" si="85"/>
        <v/>
      </c>
      <c r="K1215" s="100" t="str">
        <f t="shared" si="86"/>
        <v/>
      </c>
    </row>
    <row r="1216" spans="10:11">
      <c r="J1216" s="100" t="str">
        <f t="shared" si="85"/>
        <v/>
      </c>
      <c r="K1216" s="100" t="str">
        <f t="shared" si="86"/>
        <v/>
      </c>
    </row>
    <row r="1217" spans="10:11">
      <c r="J1217" s="100" t="str">
        <f t="shared" si="85"/>
        <v/>
      </c>
      <c r="K1217" s="100" t="str">
        <f t="shared" si="86"/>
        <v/>
      </c>
    </row>
    <row r="1218" spans="10:11">
      <c r="J1218" s="100" t="str">
        <f t="shared" si="85"/>
        <v/>
      </c>
      <c r="K1218" s="100" t="str">
        <f t="shared" si="86"/>
        <v/>
      </c>
    </row>
    <row r="1219" spans="10:11">
      <c r="J1219" s="100" t="str">
        <f t="shared" si="85"/>
        <v/>
      </c>
      <c r="K1219" s="100" t="str">
        <f t="shared" si="86"/>
        <v/>
      </c>
    </row>
    <row r="1220" spans="10:11">
      <c r="J1220" s="100" t="str">
        <f t="shared" si="85"/>
        <v/>
      </c>
      <c r="K1220" s="100" t="str">
        <f t="shared" si="86"/>
        <v/>
      </c>
    </row>
    <row r="1221" spans="10:11">
      <c r="J1221" s="100" t="str">
        <f t="shared" si="85"/>
        <v/>
      </c>
      <c r="K1221" s="100" t="str">
        <f t="shared" si="86"/>
        <v/>
      </c>
    </row>
    <row r="1222" spans="10:11">
      <c r="J1222" s="100" t="str">
        <f t="shared" si="85"/>
        <v/>
      </c>
      <c r="K1222" s="100" t="str">
        <f t="shared" si="86"/>
        <v/>
      </c>
    </row>
    <row r="1223" spans="10:11">
      <c r="J1223" s="100" t="str">
        <f t="shared" si="85"/>
        <v/>
      </c>
      <c r="K1223" s="100" t="str">
        <f t="shared" si="86"/>
        <v/>
      </c>
    </row>
    <row r="1224" spans="10:11">
      <c r="J1224" s="100" t="str">
        <f t="shared" si="85"/>
        <v/>
      </c>
      <c r="K1224" s="100" t="str">
        <f t="shared" si="86"/>
        <v/>
      </c>
    </row>
    <row r="1225" spans="10:11">
      <c r="J1225" s="100" t="str">
        <f t="shared" si="85"/>
        <v/>
      </c>
      <c r="K1225" s="100" t="str">
        <f t="shared" si="86"/>
        <v/>
      </c>
    </row>
    <row r="1226" spans="10:11">
      <c r="J1226" s="100" t="str">
        <f t="shared" si="85"/>
        <v/>
      </c>
      <c r="K1226" s="100" t="str">
        <f t="shared" si="86"/>
        <v/>
      </c>
    </row>
    <row r="1227" spans="10:11">
      <c r="J1227" s="100" t="str">
        <f t="shared" ref="J1227:J1290" si="87">C1227&amp;D1227&amp;G1227</f>
        <v/>
      </c>
      <c r="K1227" s="100" t="str">
        <f t="shared" ref="K1227:K1290" si="88">C1227&amp;D1227&amp;H1227</f>
        <v/>
      </c>
    </row>
    <row r="1228" spans="10:11">
      <c r="J1228" s="100" t="str">
        <f t="shared" si="87"/>
        <v/>
      </c>
      <c r="K1228" s="100" t="str">
        <f t="shared" si="88"/>
        <v/>
      </c>
    </row>
    <row r="1229" spans="10:11">
      <c r="J1229" s="100" t="str">
        <f t="shared" si="87"/>
        <v/>
      </c>
      <c r="K1229" s="100" t="str">
        <f t="shared" si="88"/>
        <v/>
      </c>
    </row>
    <row r="1230" spans="10:11">
      <c r="J1230" s="100" t="str">
        <f t="shared" si="87"/>
        <v/>
      </c>
      <c r="K1230" s="100" t="str">
        <f t="shared" si="88"/>
        <v/>
      </c>
    </row>
    <row r="1231" spans="10:11">
      <c r="J1231" s="100" t="str">
        <f t="shared" si="87"/>
        <v/>
      </c>
      <c r="K1231" s="100" t="str">
        <f t="shared" si="88"/>
        <v/>
      </c>
    </row>
    <row r="1232" spans="10:11">
      <c r="J1232" s="100" t="str">
        <f t="shared" si="87"/>
        <v/>
      </c>
      <c r="K1232" s="100" t="str">
        <f t="shared" si="88"/>
        <v/>
      </c>
    </row>
    <row r="1233" spans="10:11">
      <c r="J1233" s="100" t="str">
        <f t="shared" si="87"/>
        <v/>
      </c>
      <c r="K1233" s="100" t="str">
        <f t="shared" si="88"/>
        <v/>
      </c>
    </row>
    <row r="1234" spans="10:11">
      <c r="J1234" s="100" t="str">
        <f t="shared" si="87"/>
        <v/>
      </c>
      <c r="K1234" s="100" t="str">
        <f t="shared" si="88"/>
        <v/>
      </c>
    </row>
    <row r="1235" spans="10:11">
      <c r="J1235" s="100" t="str">
        <f t="shared" si="87"/>
        <v/>
      </c>
      <c r="K1235" s="100" t="str">
        <f t="shared" si="88"/>
        <v/>
      </c>
    </row>
    <row r="1236" spans="10:11">
      <c r="J1236" s="100" t="str">
        <f t="shared" si="87"/>
        <v/>
      </c>
      <c r="K1236" s="100" t="str">
        <f t="shared" si="88"/>
        <v/>
      </c>
    </row>
    <row r="1237" spans="10:11">
      <c r="J1237" s="100" t="str">
        <f t="shared" si="87"/>
        <v/>
      </c>
      <c r="K1237" s="100" t="str">
        <f t="shared" si="88"/>
        <v/>
      </c>
    </row>
    <row r="1238" spans="10:11">
      <c r="J1238" s="100" t="str">
        <f t="shared" si="87"/>
        <v/>
      </c>
      <c r="K1238" s="100" t="str">
        <f t="shared" si="88"/>
        <v/>
      </c>
    </row>
    <row r="1239" spans="10:11">
      <c r="J1239" s="100" t="str">
        <f t="shared" si="87"/>
        <v/>
      </c>
      <c r="K1239" s="100" t="str">
        <f t="shared" si="88"/>
        <v/>
      </c>
    </row>
    <row r="1240" spans="10:11">
      <c r="J1240" s="100" t="str">
        <f t="shared" si="87"/>
        <v/>
      </c>
      <c r="K1240" s="100" t="str">
        <f t="shared" si="88"/>
        <v/>
      </c>
    </row>
    <row r="1241" spans="10:11">
      <c r="J1241" s="100" t="str">
        <f t="shared" si="87"/>
        <v/>
      </c>
      <c r="K1241" s="100" t="str">
        <f t="shared" si="88"/>
        <v/>
      </c>
    </row>
    <row r="1242" spans="10:11">
      <c r="J1242" s="100" t="str">
        <f t="shared" si="87"/>
        <v/>
      </c>
      <c r="K1242" s="100" t="str">
        <f t="shared" si="88"/>
        <v/>
      </c>
    </row>
    <row r="1243" spans="10:11">
      <c r="J1243" s="100" t="str">
        <f t="shared" si="87"/>
        <v/>
      </c>
      <c r="K1243" s="100" t="str">
        <f t="shared" si="88"/>
        <v/>
      </c>
    </row>
    <row r="1244" spans="10:11">
      <c r="J1244" s="100" t="str">
        <f t="shared" si="87"/>
        <v/>
      </c>
      <c r="K1244" s="100" t="str">
        <f t="shared" si="88"/>
        <v/>
      </c>
    </row>
    <row r="1245" spans="10:11">
      <c r="J1245" s="100" t="str">
        <f t="shared" si="87"/>
        <v/>
      </c>
      <c r="K1245" s="100" t="str">
        <f t="shared" si="88"/>
        <v/>
      </c>
    </row>
    <row r="1246" spans="10:11">
      <c r="J1246" s="100" t="str">
        <f t="shared" si="87"/>
        <v/>
      </c>
      <c r="K1246" s="100" t="str">
        <f t="shared" si="88"/>
        <v/>
      </c>
    </row>
    <row r="1247" spans="10:11">
      <c r="J1247" s="100" t="str">
        <f t="shared" si="87"/>
        <v/>
      </c>
      <c r="K1247" s="100" t="str">
        <f t="shared" si="88"/>
        <v/>
      </c>
    </row>
    <row r="1248" spans="10:11">
      <c r="J1248" s="100" t="str">
        <f t="shared" si="87"/>
        <v/>
      </c>
      <c r="K1248" s="100" t="str">
        <f t="shared" si="88"/>
        <v/>
      </c>
    </row>
    <row r="1249" spans="10:11">
      <c r="J1249" s="100" t="str">
        <f t="shared" si="87"/>
        <v/>
      </c>
      <c r="K1249" s="100" t="str">
        <f t="shared" si="88"/>
        <v/>
      </c>
    </row>
    <row r="1250" spans="10:11">
      <c r="J1250" s="100" t="str">
        <f t="shared" si="87"/>
        <v/>
      </c>
      <c r="K1250" s="100" t="str">
        <f t="shared" si="88"/>
        <v/>
      </c>
    </row>
    <row r="1251" spans="10:11">
      <c r="J1251" s="100" t="str">
        <f t="shared" si="87"/>
        <v/>
      </c>
      <c r="K1251" s="100" t="str">
        <f t="shared" si="88"/>
        <v/>
      </c>
    </row>
    <row r="1252" spans="10:11">
      <c r="J1252" s="100" t="str">
        <f t="shared" si="87"/>
        <v/>
      </c>
      <c r="K1252" s="100" t="str">
        <f t="shared" si="88"/>
        <v/>
      </c>
    </row>
    <row r="1253" spans="10:11">
      <c r="J1253" s="100" t="str">
        <f t="shared" si="87"/>
        <v/>
      </c>
      <c r="K1253" s="100" t="str">
        <f t="shared" si="88"/>
        <v/>
      </c>
    </row>
    <row r="1254" spans="10:11">
      <c r="J1254" s="100" t="str">
        <f t="shared" si="87"/>
        <v/>
      </c>
      <c r="K1254" s="100" t="str">
        <f t="shared" si="88"/>
        <v/>
      </c>
    </row>
    <row r="1255" spans="10:11">
      <c r="J1255" s="100" t="str">
        <f t="shared" si="87"/>
        <v/>
      </c>
      <c r="K1255" s="100" t="str">
        <f t="shared" si="88"/>
        <v/>
      </c>
    </row>
    <row r="1256" spans="10:11">
      <c r="J1256" s="100" t="str">
        <f t="shared" si="87"/>
        <v/>
      </c>
      <c r="K1256" s="100" t="str">
        <f t="shared" si="88"/>
        <v/>
      </c>
    </row>
    <row r="1257" spans="10:11">
      <c r="J1257" s="100" t="str">
        <f t="shared" si="87"/>
        <v/>
      </c>
      <c r="K1257" s="100" t="str">
        <f t="shared" si="88"/>
        <v/>
      </c>
    </row>
    <row r="1258" spans="10:11">
      <c r="J1258" s="100" t="str">
        <f t="shared" si="87"/>
        <v/>
      </c>
      <c r="K1258" s="100" t="str">
        <f t="shared" si="88"/>
        <v/>
      </c>
    </row>
    <row r="1259" spans="10:11">
      <c r="J1259" s="100" t="str">
        <f t="shared" si="87"/>
        <v/>
      </c>
      <c r="K1259" s="100" t="str">
        <f t="shared" si="88"/>
        <v/>
      </c>
    </row>
    <row r="1260" spans="10:11">
      <c r="J1260" s="100" t="str">
        <f t="shared" si="87"/>
        <v/>
      </c>
      <c r="K1260" s="100" t="str">
        <f t="shared" si="88"/>
        <v/>
      </c>
    </row>
    <row r="1261" spans="10:11">
      <c r="J1261" s="100" t="str">
        <f t="shared" si="87"/>
        <v/>
      </c>
      <c r="K1261" s="100" t="str">
        <f t="shared" si="88"/>
        <v/>
      </c>
    </row>
    <row r="1262" spans="10:11">
      <c r="J1262" s="100" t="str">
        <f t="shared" si="87"/>
        <v/>
      </c>
      <c r="K1262" s="100" t="str">
        <f t="shared" si="88"/>
        <v/>
      </c>
    </row>
    <row r="1263" spans="10:11">
      <c r="J1263" s="100" t="str">
        <f t="shared" si="87"/>
        <v/>
      </c>
      <c r="K1263" s="100" t="str">
        <f t="shared" si="88"/>
        <v/>
      </c>
    </row>
    <row r="1264" spans="10:11">
      <c r="J1264" s="100" t="str">
        <f t="shared" si="87"/>
        <v/>
      </c>
      <c r="K1264" s="100" t="str">
        <f t="shared" si="88"/>
        <v/>
      </c>
    </row>
    <row r="1265" spans="10:11">
      <c r="J1265" s="100" t="str">
        <f t="shared" si="87"/>
        <v/>
      </c>
      <c r="K1265" s="100" t="str">
        <f t="shared" si="88"/>
        <v/>
      </c>
    </row>
    <row r="1266" spans="10:11">
      <c r="J1266" s="100" t="str">
        <f t="shared" si="87"/>
        <v/>
      </c>
      <c r="K1266" s="100" t="str">
        <f t="shared" si="88"/>
        <v/>
      </c>
    </row>
    <row r="1267" spans="10:11">
      <c r="J1267" s="100" t="str">
        <f t="shared" si="87"/>
        <v/>
      </c>
      <c r="K1267" s="100" t="str">
        <f t="shared" si="88"/>
        <v/>
      </c>
    </row>
    <row r="1268" spans="10:11">
      <c r="J1268" s="100" t="str">
        <f t="shared" si="87"/>
        <v/>
      </c>
      <c r="K1268" s="100" t="str">
        <f t="shared" si="88"/>
        <v/>
      </c>
    </row>
    <row r="1269" spans="10:11">
      <c r="J1269" s="100" t="str">
        <f t="shared" si="87"/>
        <v/>
      </c>
      <c r="K1269" s="100" t="str">
        <f t="shared" si="88"/>
        <v/>
      </c>
    </row>
    <row r="1270" spans="10:11">
      <c r="J1270" s="100" t="str">
        <f t="shared" si="87"/>
        <v/>
      </c>
      <c r="K1270" s="100" t="str">
        <f t="shared" si="88"/>
        <v/>
      </c>
    </row>
    <row r="1271" spans="10:11">
      <c r="J1271" s="100" t="str">
        <f t="shared" si="87"/>
        <v/>
      </c>
      <c r="K1271" s="100" t="str">
        <f t="shared" si="88"/>
        <v/>
      </c>
    </row>
    <row r="1272" spans="10:11">
      <c r="J1272" s="100" t="str">
        <f t="shared" si="87"/>
        <v/>
      </c>
      <c r="K1272" s="100" t="str">
        <f t="shared" si="88"/>
        <v/>
      </c>
    </row>
    <row r="1273" spans="10:11">
      <c r="J1273" s="100" t="str">
        <f t="shared" si="87"/>
        <v/>
      </c>
      <c r="K1273" s="100" t="str">
        <f t="shared" si="88"/>
        <v/>
      </c>
    </row>
    <row r="1274" spans="10:11">
      <c r="J1274" s="100" t="str">
        <f t="shared" si="87"/>
        <v/>
      </c>
      <c r="K1274" s="100" t="str">
        <f t="shared" si="88"/>
        <v/>
      </c>
    </row>
    <row r="1275" spans="10:11">
      <c r="J1275" s="100" t="str">
        <f t="shared" si="87"/>
        <v/>
      </c>
      <c r="K1275" s="100" t="str">
        <f t="shared" si="88"/>
        <v/>
      </c>
    </row>
    <row r="1276" spans="10:11">
      <c r="J1276" s="100" t="str">
        <f t="shared" si="87"/>
        <v/>
      </c>
      <c r="K1276" s="100" t="str">
        <f t="shared" si="88"/>
        <v/>
      </c>
    </row>
    <row r="1277" spans="10:11">
      <c r="J1277" s="100" t="str">
        <f t="shared" si="87"/>
        <v/>
      </c>
      <c r="K1277" s="100" t="str">
        <f t="shared" si="88"/>
        <v/>
      </c>
    </row>
    <row r="1278" spans="10:11">
      <c r="J1278" s="100" t="str">
        <f t="shared" si="87"/>
        <v/>
      </c>
      <c r="K1278" s="100" t="str">
        <f t="shared" si="88"/>
        <v/>
      </c>
    </row>
    <row r="1279" spans="10:11">
      <c r="J1279" s="100" t="str">
        <f t="shared" si="87"/>
        <v/>
      </c>
      <c r="K1279" s="100" t="str">
        <f t="shared" si="88"/>
        <v/>
      </c>
    </row>
    <row r="1280" spans="10:11">
      <c r="J1280" s="100" t="str">
        <f t="shared" si="87"/>
        <v/>
      </c>
      <c r="K1280" s="100" t="str">
        <f t="shared" si="88"/>
        <v/>
      </c>
    </row>
    <row r="1281" spans="10:11">
      <c r="J1281" s="100" t="str">
        <f t="shared" si="87"/>
        <v/>
      </c>
      <c r="K1281" s="100" t="str">
        <f t="shared" si="88"/>
        <v/>
      </c>
    </row>
    <row r="1282" spans="10:11">
      <c r="J1282" s="100" t="str">
        <f t="shared" si="87"/>
        <v/>
      </c>
      <c r="K1282" s="100" t="str">
        <f t="shared" si="88"/>
        <v/>
      </c>
    </row>
    <row r="1283" spans="10:11">
      <c r="J1283" s="100" t="str">
        <f t="shared" si="87"/>
        <v/>
      </c>
      <c r="K1283" s="100" t="str">
        <f t="shared" si="88"/>
        <v/>
      </c>
    </row>
    <row r="1284" spans="10:11">
      <c r="J1284" s="100" t="str">
        <f t="shared" si="87"/>
        <v/>
      </c>
      <c r="K1284" s="100" t="str">
        <f t="shared" si="88"/>
        <v/>
      </c>
    </row>
    <row r="1285" spans="10:11">
      <c r="J1285" s="100" t="str">
        <f t="shared" si="87"/>
        <v/>
      </c>
      <c r="K1285" s="100" t="str">
        <f t="shared" si="88"/>
        <v/>
      </c>
    </row>
    <row r="1286" spans="10:11">
      <c r="J1286" s="100" t="str">
        <f t="shared" si="87"/>
        <v/>
      </c>
      <c r="K1286" s="100" t="str">
        <f t="shared" si="88"/>
        <v/>
      </c>
    </row>
    <row r="1287" spans="10:11">
      <c r="J1287" s="100" t="str">
        <f t="shared" si="87"/>
        <v/>
      </c>
      <c r="K1287" s="100" t="str">
        <f t="shared" si="88"/>
        <v/>
      </c>
    </row>
    <row r="1288" spans="10:11">
      <c r="J1288" s="100" t="str">
        <f t="shared" si="87"/>
        <v/>
      </c>
      <c r="K1288" s="100" t="str">
        <f t="shared" si="88"/>
        <v/>
      </c>
    </row>
    <row r="1289" spans="10:11">
      <c r="J1289" s="100" t="str">
        <f t="shared" si="87"/>
        <v/>
      </c>
      <c r="K1289" s="100" t="str">
        <f t="shared" si="88"/>
        <v/>
      </c>
    </row>
    <row r="1290" spans="10:11">
      <c r="J1290" s="100" t="str">
        <f t="shared" si="87"/>
        <v/>
      </c>
      <c r="K1290" s="100" t="str">
        <f t="shared" si="88"/>
        <v/>
      </c>
    </row>
    <row r="1291" spans="10:11">
      <c r="J1291" s="100" t="str">
        <f t="shared" ref="J1291:J1354" si="89">C1291&amp;D1291&amp;G1291</f>
        <v/>
      </c>
      <c r="K1291" s="100" t="str">
        <f t="shared" ref="K1291:K1354" si="90">C1291&amp;D1291&amp;H1291</f>
        <v/>
      </c>
    </row>
    <row r="1292" spans="10:11">
      <c r="J1292" s="100" t="str">
        <f t="shared" si="89"/>
        <v/>
      </c>
      <c r="K1292" s="100" t="str">
        <f t="shared" si="90"/>
        <v/>
      </c>
    </row>
    <row r="1293" spans="10:11">
      <c r="J1293" s="100" t="str">
        <f t="shared" si="89"/>
        <v/>
      </c>
      <c r="K1293" s="100" t="str">
        <f t="shared" si="90"/>
        <v/>
      </c>
    </row>
    <row r="1294" spans="10:11">
      <c r="J1294" s="100" t="str">
        <f t="shared" si="89"/>
        <v/>
      </c>
      <c r="K1294" s="100" t="str">
        <f t="shared" si="90"/>
        <v/>
      </c>
    </row>
    <row r="1295" spans="10:11">
      <c r="J1295" s="100" t="str">
        <f t="shared" si="89"/>
        <v/>
      </c>
      <c r="K1295" s="100" t="str">
        <f t="shared" si="90"/>
        <v/>
      </c>
    </row>
    <row r="1296" spans="10:11">
      <c r="J1296" s="100" t="str">
        <f t="shared" si="89"/>
        <v/>
      </c>
      <c r="K1296" s="100" t="str">
        <f t="shared" si="90"/>
        <v/>
      </c>
    </row>
    <row r="1297" spans="10:11">
      <c r="J1297" s="100" t="str">
        <f t="shared" si="89"/>
        <v/>
      </c>
      <c r="K1297" s="100" t="str">
        <f t="shared" si="90"/>
        <v/>
      </c>
    </row>
    <row r="1298" spans="10:11">
      <c r="J1298" s="100" t="str">
        <f t="shared" si="89"/>
        <v/>
      </c>
      <c r="K1298" s="100" t="str">
        <f t="shared" si="90"/>
        <v/>
      </c>
    </row>
    <row r="1299" spans="10:11">
      <c r="J1299" s="100" t="str">
        <f t="shared" si="89"/>
        <v/>
      </c>
      <c r="K1299" s="100" t="str">
        <f t="shared" si="90"/>
        <v/>
      </c>
    </row>
    <row r="1300" spans="10:11">
      <c r="J1300" s="100" t="str">
        <f t="shared" si="89"/>
        <v/>
      </c>
      <c r="K1300" s="100" t="str">
        <f t="shared" si="90"/>
        <v/>
      </c>
    </row>
    <row r="1301" spans="10:11">
      <c r="J1301" s="100" t="str">
        <f t="shared" si="89"/>
        <v/>
      </c>
      <c r="K1301" s="100" t="str">
        <f t="shared" si="90"/>
        <v/>
      </c>
    </row>
    <row r="1302" spans="10:11">
      <c r="J1302" s="100" t="str">
        <f t="shared" si="89"/>
        <v/>
      </c>
      <c r="K1302" s="100" t="str">
        <f t="shared" si="90"/>
        <v/>
      </c>
    </row>
    <row r="1303" spans="10:11">
      <c r="J1303" s="100" t="str">
        <f t="shared" si="89"/>
        <v/>
      </c>
      <c r="K1303" s="100" t="str">
        <f t="shared" si="90"/>
        <v/>
      </c>
    </row>
    <row r="1304" spans="10:11">
      <c r="J1304" s="100" t="str">
        <f t="shared" si="89"/>
        <v/>
      </c>
      <c r="K1304" s="100" t="str">
        <f t="shared" si="90"/>
        <v/>
      </c>
    </row>
    <row r="1305" spans="10:11">
      <c r="J1305" s="100" t="str">
        <f t="shared" si="89"/>
        <v/>
      </c>
      <c r="K1305" s="100" t="str">
        <f t="shared" si="90"/>
        <v/>
      </c>
    </row>
    <row r="1306" spans="10:11">
      <c r="J1306" s="100" t="str">
        <f t="shared" si="89"/>
        <v/>
      </c>
      <c r="K1306" s="100" t="str">
        <f t="shared" si="90"/>
        <v/>
      </c>
    </row>
    <row r="1307" spans="10:11">
      <c r="J1307" s="100" t="str">
        <f t="shared" si="89"/>
        <v/>
      </c>
      <c r="K1307" s="100" t="str">
        <f t="shared" si="90"/>
        <v/>
      </c>
    </row>
    <row r="1308" spans="10:11">
      <c r="J1308" s="100" t="str">
        <f t="shared" si="89"/>
        <v/>
      </c>
      <c r="K1308" s="100" t="str">
        <f t="shared" si="90"/>
        <v/>
      </c>
    </row>
    <row r="1309" spans="10:11">
      <c r="J1309" s="100" t="str">
        <f t="shared" si="89"/>
        <v/>
      </c>
      <c r="K1309" s="100" t="str">
        <f t="shared" si="90"/>
        <v/>
      </c>
    </row>
    <row r="1310" spans="10:11">
      <c r="J1310" s="100" t="str">
        <f t="shared" si="89"/>
        <v/>
      </c>
      <c r="K1310" s="100" t="str">
        <f t="shared" si="90"/>
        <v/>
      </c>
    </row>
    <row r="1311" spans="10:11">
      <c r="J1311" s="100" t="str">
        <f t="shared" si="89"/>
        <v/>
      </c>
      <c r="K1311" s="100" t="str">
        <f t="shared" si="90"/>
        <v/>
      </c>
    </row>
    <row r="1312" spans="10:11">
      <c r="J1312" s="100" t="str">
        <f t="shared" si="89"/>
        <v/>
      </c>
      <c r="K1312" s="100" t="str">
        <f t="shared" si="90"/>
        <v/>
      </c>
    </row>
    <row r="1313" spans="10:11">
      <c r="J1313" s="100" t="str">
        <f t="shared" si="89"/>
        <v/>
      </c>
      <c r="K1313" s="100" t="str">
        <f t="shared" si="90"/>
        <v/>
      </c>
    </row>
    <row r="1314" spans="10:11">
      <c r="J1314" s="100" t="str">
        <f t="shared" si="89"/>
        <v/>
      </c>
      <c r="K1314" s="100" t="str">
        <f t="shared" si="90"/>
        <v/>
      </c>
    </row>
    <row r="1315" spans="10:11">
      <c r="J1315" s="100" t="str">
        <f t="shared" si="89"/>
        <v/>
      </c>
      <c r="K1315" s="100" t="str">
        <f t="shared" si="90"/>
        <v/>
      </c>
    </row>
    <row r="1316" spans="10:11">
      <c r="J1316" s="100" t="str">
        <f t="shared" si="89"/>
        <v/>
      </c>
      <c r="K1316" s="100" t="str">
        <f t="shared" si="90"/>
        <v/>
      </c>
    </row>
    <row r="1317" spans="10:11">
      <c r="J1317" s="100" t="str">
        <f t="shared" si="89"/>
        <v/>
      </c>
      <c r="K1317" s="100" t="str">
        <f t="shared" si="90"/>
        <v/>
      </c>
    </row>
    <row r="1318" spans="10:11">
      <c r="J1318" s="100" t="str">
        <f t="shared" si="89"/>
        <v/>
      </c>
      <c r="K1318" s="100" t="str">
        <f t="shared" si="90"/>
        <v/>
      </c>
    </row>
    <row r="1319" spans="10:11">
      <c r="J1319" s="100" t="str">
        <f t="shared" si="89"/>
        <v/>
      </c>
      <c r="K1319" s="100" t="str">
        <f t="shared" si="90"/>
        <v/>
      </c>
    </row>
    <row r="1320" spans="10:11">
      <c r="J1320" s="100" t="str">
        <f t="shared" si="89"/>
        <v/>
      </c>
      <c r="K1320" s="100" t="str">
        <f t="shared" si="90"/>
        <v/>
      </c>
    </row>
    <row r="1321" spans="10:11">
      <c r="J1321" s="100" t="str">
        <f t="shared" si="89"/>
        <v/>
      </c>
      <c r="K1321" s="100" t="str">
        <f t="shared" si="90"/>
        <v/>
      </c>
    </row>
    <row r="1322" spans="10:11">
      <c r="J1322" s="100" t="str">
        <f t="shared" si="89"/>
        <v/>
      </c>
      <c r="K1322" s="100" t="str">
        <f t="shared" si="90"/>
        <v/>
      </c>
    </row>
    <row r="1323" spans="10:11">
      <c r="J1323" s="100" t="str">
        <f t="shared" si="89"/>
        <v/>
      </c>
      <c r="K1323" s="100" t="str">
        <f t="shared" si="90"/>
        <v/>
      </c>
    </row>
    <row r="1324" spans="10:11">
      <c r="J1324" s="100" t="str">
        <f t="shared" si="89"/>
        <v/>
      </c>
      <c r="K1324" s="100" t="str">
        <f t="shared" si="90"/>
        <v/>
      </c>
    </row>
    <row r="1325" spans="10:11">
      <c r="J1325" s="100" t="str">
        <f t="shared" si="89"/>
        <v/>
      </c>
      <c r="K1325" s="100" t="str">
        <f t="shared" si="90"/>
        <v/>
      </c>
    </row>
    <row r="1326" spans="10:11">
      <c r="J1326" s="100" t="str">
        <f t="shared" si="89"/>
        <v/>
      </c>
      <c r="K1326" s="100" t="str">
        <f t="shared" si="90"/>
        <v/>
      </c>
    </row>
    <row r="1327" spans="10:11">
      <c r="J1327" s="100" t="str">
        <f t="shared" si="89"/>
        <v/>
      </c>
      <c r="K1327" s="100" t="str">
        <f t="shared" si="90"/>
        <v/>
      </c>
    </row>
    <row r="1328" spans="10:11">
      <c r="J1328" s="100" t="str">
        <f t="shared" si="89"/>
        <v/>
      </c>
      <c r="K1328" s="100" t="str">
        <f t="shared" si="90"/>
        <v/>
      </c>
    </row>
    <row r="1329" spans="10:11">
      <c r="J1329" s="100" t="str">
        <f t="shared" si="89"/>
        <v/>
      </c>
      <c r="K1329" s="100" t="str">
        <f t="shared" si="90"/>
        <v/>
      </c>
    </row>
    <row r="1330" spans="10:11">
      <c r="J1330" s="100" t="str">
        <f t="shared" si="89"/>
        <v/>
      </c>
      <c r="K1330" s="100" t="str">
        <f t="shared" si="90"/>
        <v/>
      </c>
    </row>
    <row r="1331" spans="10:11">
      <c r="J1331" s="100" t="str">
        <f t="shared" si="89"/>
        <v/>
      </c>
      <c r="K1331" s="100" t="str">
        <f t="shared" si="90"/>
        <v/>
      </c>
    </row>
    <row r="1332" spans="10:11">
      <c r="J1332" s="100" t="str">
        <f t="shared" si="89"/>
        <v/>
      </c>
      <c r="K1332" s="100" t="str">
        <f t="shared" si="90"/>
        <v/>
      </c>
    </row>
    <row r="1333" spans="10:11">
      <c r="J1333" s="100" t="str">
        <f t="shared" si="89"/>
        <v/>
      </c>
      <c r="K1333" s="100" t="str">
        <f t="shared" si="90"/>
        <v/>
      </c>
    </row>
    <row r="1334" spans="10:11">
      <c r="J1334" s="100" t="str">
        <f t="shared" si="89"/>
        <v/>
      </c>
      <c r="K1334" s="100" t="str">
        <f t="shared" si="90"/>
        <v/>
      </c>
    </row>
    <row r="1335" spans="10:11">
      <c r="J1335" s="100" t="str">
        <f t="shared" si="89"/>
        <v/>
      </c>
      <c r="K1335" s="100" t="str">
        <f t="shared" si="90"/>
        <v/>
      </c>
    </row>
    <row r="1336" spans="10:11">
      <c r="J1336" s="100" t="str">
        <f t="shared" si="89"/>
        <v/>
      </c>
      <c r="K1336" s="100" t="str">
        <f t="shared" si="90"/>
        <v/>
      </c>
    </row>
    <row r="1337" spans="10:11">
      <c r="J1337" s="100" t="str">
        <f t="shared" si="89"/>
        <v/>
      </c>
      <c r="K1337" s="100" t="str">
        <f t="shared" si="90"/>
        <v/>
      </c>
    </row>
    <row r="1338" spans="10:11">
      <c r="J1338" s="100" t="str">
        <f t="shared" si="89"/>
        <v/>
      </c>
      <c r="K1338" s="100" t="str">
        <f t="shared" si="90"/>
        <v/>
      </c>
    </row>
    <row r="1339" spans="10:11">
      <c r="J1339" s="100" t="str">
        <f t="shared" si="89"/>
        <v/>
      </c>
      <c r="K1339" s="100" t="str">
        <f t="shared" si="90"/>
        <v/>
      </c>
    </row>
    <row r="1340" spans="10:11">
      <c r="J1340" s="100" t="str">
        <f t="shared" si="89"/>
        <v/>
      </c>
      <c r="K1340" s="100" t="str">
        <f t="shared" si="90"/>
        <v/>
      </c>
    </row>
    <row r="1341" spans="10:11">
      <c r="J1341" s="100" t="str">
        <f t="shared" si="89"/>
        <v/>
      </c>
      <c r="K1341" s="100" t="str">
        <f t="shared" si="90"/>
        <v/>
      </c>
    </row>
    <row r="1342" spans="10:11">
      <c r="J1342" s="100" t="str">
        <f t="shared" si="89"/>
        <v/>
      </c>
      <c r="K1342" s="100" t="str">
        <f t="shared" si="90"/>
        <v/>
      </c>
    </row>
    <row r="1343" spans="10:11">
      <c r="J1343" s="100" t="str">
        <f t="shared" si="89"/>
        <v/>
      </c>
      <c r="K1343" s="100" t="str">
        <f t="shared" si="90"/>
        <v/>
      </c>
    </row>
    <row r="1344" spans="10:11">
      <c r="J1344" s="100" t="str">
        <f t="shared" si="89"/>
        <v/>
      </c>
      <c r="K1344" s="100" t="str">
        <f t="shared" si="90"/>
        <v/>
      </c>
    </row>
    <row r="1345" spans="10:11">
      <c r="J1345" s="100" t="str">
        <f t="shared" si="89"/>
        <v/>
      </c>
      <c r="K1345" s="100" t="str">
        <f t="shared" si="90"/>
        <v/>
      </c>
    </row>
    <row r="1346" spans="10:11">
      <c r="J1346" s="100" t="str">
        <f t="shared" si="89"/>
        <v/>
      </c>
      <c r="K1346" s="100" t="str">
        <f t="shared" si="90"/>
        <v/>
      </c>
    </row>
    <row r="1347" spans="10:11">
      <c r="J1347" s="100" t="str">
        <f t="shared" si="89"/>
        <v/>
      </c>
      <c r="K1347" s="100" t="str">
        <f t="shared" si="90"/>
        <v/>
      </c>
    </row>
    <row r="1348" spans="10:11">
      <c r="J1348" s="100" t="str">
        <f t="shared" si="89"/>
        <v/>
      </c>
      <c r="K1348" s="100" t="str">
        <f t="shared" si="90"/>
        <v/>
      </c>
    </row>
    <row r="1349" spans="10:11">
      <c r="J1349" s="100" t="str">
        <f t="shared" si="89"/>
        <v/>
      </c>
      <c r="K1349" s="100" t="str">
        <f t="shared" si="90"/>
        <v/>
      </c>
    </row>
    <row r="1350" spans="10:11">
      <c r="J1350" s="100" t="str">
        <f t="shared" si="89"/>
        <v/>
      </c>
      <c r="K1350" s="100" t="str">
        <f t="shared" si="90"/>
        <v/>
      </c>
    </row>
    <row r="1351" spans="10:11">
      <c r="J1351" s="100" t="str">
        <f t="shared" si="89"/>
        <v/>
      </c>
      <c r="K1351" s="100" t="str">
        <f t="shared" si="90"/>
        <v/>
      </c>
    </row>
    <row r="1352" spans="10:11">
      <c r="J1352" s="100" t="str">
        <f t="shared" si="89"/>
        <v/>
      </c>
      <c r="K1352" s="100" t="str">
        <f t="shared" si="90"/>
        <v/>
      </c>
    </row>
    <row r="1353" spans="10:11">
      <c r="J1353" s="100" t="str">
        <f t="shared" si="89"/>
        <v/>
      </c>
      <c r="K1353" s="100" t="str">
        <f t="shared" si="90"/>
        <v/>
      </c>
    </row>
    <row r="1354" spans="10:11">
      <c r="J1354" s="100" t="str">
        <f t="shared" si="89"/>
        <v/>
      </c>
      <c r="K1354" s="100" t="str">
        <f t="shared" si="90"/>
        <v/>
      </c>
    </row>
    <row r="1355" spans="10:11">
      <c r="J1355" s="100" t="str">
        <f t="shared" ref="J1355:J1418" si="91">C1355&amp;D1355&amp;G1355</f>
        <v/>
      </c>
      <c r="K1355" s="100" t="str">
        <f t="shared" ref="K1355:K1418" si="92">C1355&amp;D1355&amp;H1355</f>
        <v/>
      </c>
    </row>
    <row r="1356" spans="10:11">
      <c r="J1356" s="100" t="str">
        <f t="shared" si="91"/>
        <v/>
      </c>
      <c r="K1356" s="100" t="str">
        <f t="shared" si="92"/>
        <v/>
      </c>
    </row>
    <row r="1357" spans="10:11">
      <c r="J1357" s="100" t="str">
        <f t="shared" si="91"/>
        <v/>
      </c>
      <c r="K1357" s="100" t="str">
        <f t="shared" si="92"/>
        <v/>
      </c>
    </row>
    <row r="1358" spans="10:11">
      <c r="J1358" s="100" t="str">
        <f t="shared" si="91"/>
        <v/>
      </c>
      <c r="K1358" s="100" t="str">
        <f t="shared" si="92"/>
        <v/>
      </c>
    </row>
    <row r="1359" spans="10:11">
      <c r="J1359" s="100" t="str">
        <f t="shared" si="91"/>
        <v/>
      </c>
      <c r="K1359" s="100" t="str">
        <f t="shared" si="92"/>
        <v/>
      </c>
    </row>
    <row r="1360" spans="10:11">
      <c r="J1360" s="100" t="str">
        <f t="shared" si="91"/>
        <v/>
      </c>
      <c r="K1360" s="100" t="str">
        <f t="shared" si="92"/>
        <v/>
      </c>
    </row>
    <row r="1361" spans="10:11">
      <c r="J1361" s="100" t="str">
        <f t="shared" si="91"/>
        <v/>
      </c>
      <c r="K1361" s="100" t="str">
        <f t="shared" si="92"/>
        <v/>
      </c>
    </row>
    <row r="1362" spans="10:11">
      <c r="J1362" s="100" t="str">
        <f t="shared" si="91"/>
        <v/>
      </c>
      <c r="K1362" s="100" t="str">
        <f t="shared" si="92"/>
        <v/>
      </c>
    </row>
    <row r="1363" spans="10:11">
      <c r="J1363" s="100" t="str">
        <f t="shared" si="91"/>
        <v/>
      </c>
      <c r="K1363" s="100" t="str">
        <f t="shared" si="92"/>
        <v/>
      </c>
    </row>
    <row r="1364" spans="10:11">
      <c r="J1364" s="100" t="str">
        <f t="shared" si="91"/>
        <v/>
      </c>
      <c r="K1364" s="100" t="str">
        <f t="shared" si="92"/>
        <v/>
      </c>
    </row>
    <row r="1365" spans="10:11">
      <c r="J1365" s="100" t="str">
        <f t="shared" si="91"/>
        <v/>
      </c>
      <c r="K1365" s="100" t="str">
        <f t="shared" si="92"/>
        <v/>
      </c>
    </row>
    <row r="1366" spans="10:11">
      <c r="J1366" s="100" t="str">
        <f t="shared" si="91"/>
        <v/>
      </c>
      <c r="K1366" s="100" t="str">
        <f t="shared" si="92"/>
        <v/>
      </c>
    </row>
    <row r="1367" spans="10:11">
      <c r="J1367" s="100" t="str">
        <f t="shared" si="91"/>
        <v/>
      </c>
      <c r="K1367" s="100" t="str">
        <f t="shared" si="92"/>
        <v/>
      </c>
    </row>
    <row r="1368" spans="10:11">
      <c r="J1368" s="100" t="str">
        <f t="shared" si="91"/>
        <v/>
      </c>
      <c r="K1368" s="100" t="str">
        <f t="shared" si="92"/>
        <v/>
      </c>
    </row>
    <row r="1369" spans="10:11">
      <c r="J1369" s="100" t="str">
        <f t="shared" si="91"/>
        <v/>
      </c>
      <c r="K1369" s="100" t="str">
        <f t="shared" si="92"/>
        <v/>
      </c>
    </row>
    <row r="1370" spans="10:11">
      <c r="J1370" s="100" t="str">
        <f t="shared" si="91"/>
        <v/>
      </c>
      <c r="K1370" s="100" t="str">
        <f t="shared" si="92"/>
        <v/>
      </c>
    </row>
    <row r="1371" spans="10:11">
      <c r="J1371" s="100" t="str">
        <f t="shared" si="91"/>
        <v/>
      </c>
      <c r="K1371" s="100" t="str">
        <f t="shared" si="92"/>
        <v/>
      </c>
    </row>
    <row r="1372" spans="10:11">
      <c r="J1372" s="100" t="str">
        <f t="shared" si="91"/>
        <v/>
      </c>
      <c r="K1372" s="100" t="str">
        <f t="shared" si="92"/>
        <v/>
      </c>
    </row>
    <row r="1373" spans="10:11">
      <c r="J1373" s="100" t="str">
        <f t="shared" si="91"/>
        <v/>
      </c>
      <c r="K1373" s="100" t="str">
        <f t="shared" si="92"/>
        <v/>
      </c>
    </row>
    <row r="1374" spans="10:11">
      <c r="J1374" s="100" t="str">
        <f t="shared" si="91"/>
        <v/>
      </c>
      <c r="K1374" s="100" t="str">
        <f t="shared" si="92"/>
        <v/>
      </c>
    </row>
    <row r="1375" spans="10:11">
      <c r="J1375" s="100" t="str">
        <f t="shared" si="91"/>
        <v/>
      </c>
      <c r="K1375" s="100" t="str">
        <f t="shared" si="92"/>
        <v/>
      </c>
    </row>
    <row r="1376" spans="10:11">
      <c r="J1376" s="100" t="str">
        <f t="shared" si="91"/>
        <v/>
      </c>
      <c r="K1376" s="100" t="str">
        <f t="shared" si="92"/>
        <v/>
      </c>
    </row>
    <row r="1377" spans="10:11">
      <c r="J1377" s="100" t="str">
        <f t="shared" si="91"/>
        <v/>
      </c>
      <c r="K1377" s="100" t="str">
        <f t="shared" si="92"/>
        <v/>
      </c>
    </row>
    <row r="1378" spans="10:11">
      <c r="J1378" s="100" t="str">
        <f t="shared" si="91"/>
        <v/>
      </c>
      <c r="K1378" s="100" t="str">
        <f t="shared" si="92"/>
        <v/>
      </c>
    </row>
    <row r="1379" spans="10:11">
      <c r="J1379" s="100" t="str">
        <f t="shared" si="91"/>
        <v/>
      </c>
      <c r="K1379" s="100" t="str">
        <f t="shared" si="92"/>
        <v/>
      </c>
    </row>
    <row r="1380" spans="10:11">
      <c r="J1380" s="100" t="str">
        <f t="shared" si="91"/>
        <v/>
      </c>
      <c r="K1380" s="100" t="str">
        <f t="shared" si="92"/>
        <v/>
      </c>
    </row>
    <row r="1381" spans="10:11">
      <c r="J1381" s="100" t="str">
        <f t="shared" si="91"/>
        <v/>
      </c>
      <c r="K1381" s="100" t="str">
        <f t="shared" si="92"/>
        <v/>
      </c>
    </row>
    <row r="1382" spans="10:11">
      <c r="J1382" s="100" t="str">
        <f t="shared" si="91"/>
        <v/>
      </c>
      <c r="K1382" s="100" t="str">
        <f t="shared" si="92"/>
        <v/>
      </c>
    </row>
    <row r="1383" spans="10:11">
      <c r="J1383" s="100" t="str">
        <f t="shared" si="91"/>
        <v/>
      </c>
      <c r="K1383" s="100" t="str">
        <f t="shared" si="92"/>
        <v/>
      </c>
    </row>
    <row r="1384" spans="10:11">
      <c r="J1384" s="100" t="str">
        <f t="shared" si="91"/>
        <v/>
      </c>
      <c r="K1384" s="100" t="str">
        <f t="shared" si="92"/>
        <v/>
      </c>
    </row>
    <row r="1385" spans="10:11">
      <c r="J1385" s="100" t="str">
        <f t="shared" si="91"/>
        <v/>
      </c>
      <c r="K1385" s="100" t="str">
        <f t="shared" si="92"/>
        <v/>
      </c>
    </row>
    <row r="1386" spans="10:11">
      <c r="J1386" s="100" t="str">
        <f t="shared" si="91"/>
        <v/>
      </c>
      <c r="K1386" s="100" t="str">
        <f t="shared" si="92"/>
        <v/>
      </c>
    </row>
    <row r="1387" spans="10:11">
      <c r="J1387" s="100" t="str">
        <f t="shared" si="91"/>
        <v/>
      </c>
      <c r="K1387" s="100" t="str">
        <f t="shared" si="92"/>
        <v/>
      </c>
    </row>
    <row r="1388" spans="10:11">
      <c r="J1388" s="100" t="str">
        <f t="shared" si="91"/>
        <v/>
      </c>
      <c r="K1388" s="100" t="str">
        <f t="shared" si="92"/>
        <v/>
      </c>
    </row>
    <row r="1389" spans="10:11">
      <c r="J1389" s="100" t="str">
        <f t="shared" si="91"/>
        <v/>
      </c>
      <c r="K1389" s="100" t="str">
        <f t="shared" si="92"/>
        <v/>
      </c>
    </row>
    <row r="1390" spans="10:11">
      <c r="J1390" s="100" t="str">
        <f t="shared" si="91"/>
        <v/>
      </c>
      <c r="K1390" s="100" t="str">
        <f t="shared" si="92"/>
        <v/>
      </c>
    </row>
    <row r="1391" spans="10:11">
      <c r="J1391" s="100" t="str">
        <f t="shared" si="91"/>
        <v/>
      </c>
      <c r="K1391" s="100" t="str">
        <f t="shared" si="92"/>
        <v/>
      </c>
    </row>
    <row r="1392" spans="10:11">
      <c r="J1392" s="100" t="str">
        <f t="shared" si="91"/>
        <v/>
      </c>
      <c r="K1392" s="100" t="str">
        <f t="shared" si="92"/>
        <v/>
      </c>
    </row>
    <row r="1393" spans="10:11">
      <c r="J1393" s="100" t="str">
        <f t="shared" si="91"/>
        <v/>
      </c>
      <c r="K1393" s="100" t="str">
        <f t="shared" si="92"/>
        <v/>
      </c>
    </row>
    <row r="1394" spans="10:11">
      <c r="J1394" s="100" t="str">
        <f t="shared" si="91"/>
        <v/>
      </c>
      <c r="K1394" s="100" t="str">
        <f t="shared" si="92"/>
        <v/>
      </c>
    </row>
    <row r="1395" spans="10:11">
      <c r="J1395" s="100" t="str">
        <f t="shared" si="91"/>
        <v/>
      </c>
      <c r="K1395" s="100" t="str">
        <f t="shared" si="92"/>
        <v/>
      </c>
    </row>
    <row r="1396" spans="10:11">
      <c r="J1396" s="100" t="str">
        <f t="shared" si="91"/>
        <v/>
      </c>
      <c r="K1396" s="100" t="str">
        <f t="shared" si="92"/>
        <v/>
      </c>
    </row>
    <row r="1397" spans="10:11">
      <c r="J1397" s="100" t="str">
        <f t="shared" si="91"/>
        <v/>
      </c>
      <c r="K1397" s="100" t="str">
        <f t="shared" si="92"/>
        <v/>
      </c>
    </row>
    <row r="1398" spans="10:11">
      <c r="J1398" s="100" t="str">
        <f t="shared" si="91"/>
        <v/>
      </c>
      <c r="K1398" s="100" t="str">
        <f t="shared" si="92"/>
        <v/>
      </c>
    </row>
    <row r="1399" spans="10:11">
      <c r="J1399" s="100" t="str">
        <f t="shared" si="91"/>
        <v/>
      </c>
      <c r="K1399" s="100" t="str">
        <f t="shared" si="92"/>
        <v/>
      </c>
    </row>
    <row r="1400" spans="10:11">
      <c r="J1400" s="100" t="str">
        <f t="shared" si="91"/>
        <v/>
      </c>
      <c r="K1400" s="100" t="str">
        <f t="shared" si="92"/>
        <v/>
      </c>
    </row>
    <row r="1401" spans="10:11">
      <c r="J1401" s="100" t="str">
        <f t="shared" si="91"/>
        <v/>
      </c>
      <c r="K1401" s="100" t="str">
        <f t="shared" si="92"/>
        <v/>
      </c>
    </row>
    <row r="1402" spans="10:11">
      <c r="J1402" s="100" t="str">
        <f t="shared" si="91"/>
        <v/>
      </c>
      <c r="K1402" s="100" t="str">
        <f t="shared" si="92"/>
        <v/>
      </c>
    </row>
    <row r="1403" spans="10:11">
      <c r="J1403" s="100" t="str">
        <f t="shared" si="91"/>
        <v/>
      </c>
      <c r="K1403" s="100" t="str">
        <f t="shared" si="92"/>
        <v/>
      </c>
    </row>
    <row r="1404" spans="10:11">
      <c r="J1404" s="100" t="str">
        <f t="shared" si="91"/>
        <v/>
      </c>
      <c r="K1404" s="100" t="str">
        <f t="shared" si="92"/>
        <v/>
      </c>
    </row>
    <row r="1405" spans="10:11">
      <c r="J1405" s="100" t="str">
        <f t="shared" si="91"/>
        <v/>
      </c>
      <c r="K1405" s="100" t="str">
        <f t="shared" si="92"/>
        <v/>
      </c>
    </row>
    <row r="1406" spans="10:11">
      <c r="J1406" s="100" t="str">
        <f t="shared" si="91"/>
        <v/>
      </c>
      <c r="K1406" s="100" t="str">
        <f t="shared" si="92"/>
        <v/>
      </c>
    </row>
    <row r="1407" spans="10:11">
      <c r="J1407" s="100" t="str">
        <f t="shared" si="91"/>
        <v/>
      </c>
      <c r="K1407" s="100" t="str">
        <f t="shared" si="92"/>
        <v/>
      </c>
    </row>
    <row r="1408" spans="10:11">
      <c r="J1408" s="100" t="str">
        <f t="shared" si="91"/>
        <v/>
      </c>
      <c r="K1408" s="100" t="str">
        <f t="shared" si="92"/>
        <v/>
      </c>
    </row>
    <row r="1409" spans="10:11">
      <c r="J1409" s="100" t="str">
        <f t="shared" si="91"/>
        <v/>
      </c>
      <c r="K1409" s="100" t="str">
        <f t="shared" si="92"/>
        <v/>
      </c>
    </row>
    <row r="1410" spans="10:11">
      <c r="J1410" s="100" t="str">
        <f t="shared" si="91"/>
        <v/>
      </c>
      <c r="K1410" s="100" t="str">
        <f t="shared" si="92"/>
        <v/>
      </c>
    </row>
    <row r="1411" spans="10:11">
      <c r="J1411" s="100" t="str">
        <f t="shared" si="91"/>
        <v/>
      </c>
      <c r="K1411" s="100" t="str">
        <f t="shared" si="92"/>
        <v/>
      </c>
    </row>
    <row r="1412" spans="10:11">
      <c r="J1412" s="100" t="str">
        <f t="shared" si="91"/>
        <v/>
      </c>
      <c r="K1412" s="100" t="str">
        <f t="shared" si="92"/>
        <v/>
      </c>
    </row>
    <row r="1413" spans="10:11">
      <c r="J1413" s="100" t="str">
        <f t="shared" si="91"/>
        <v/>
      </c>
      <c r="K1413" s="100" t="str">
        <f t="shared" si="92"/>
        <v/>
      </c>
    </row>
    <row r="1414" spans="10:11">
      <c r="J1414" s="100" t="str">
        <f t="shared" si="91"/>
        <v/>
      </c>
      <c r="K1414" s="100" t="str">
        <f t="shared" si="92"/>
        <v/>
      </c>
    </row>
    <row r="1415" spans="10:11">
      <c r="J1415" s="100" t="str">
        <f t="shared" si="91"/>
        <v/>
      </c>
      <c r="K1415" s="100" t="str">
        <f t="shared" si="92"/>
        <v/>
      </c>
    </row>
    <row r="1416" spans="10:11">
      <c r="J1416" s="100" t="str">
        <f t="shared" si="91"/>
        <v/>
      </c>
      <c r="K1416" s="100" t="str">
        <f t="shared" si="92"/>
        <v/>
      </c>
    </row>
    <row r="1417" spans="10:11">
      <c r="J1417" s="100" t="str">
        <f t="shared" si="91"/>
        <v/>
      </c>
      <c r="K1417" s="100" t="str">
        <f t="shared" si="92"/>
        <v/>
      </c>
    </row>
    <row r="1418" spans="10:11">
      <c r="J1418" s="100" t="str">
        <f t="shared" si="91"/>
        <v/>
      </c>
      <c r="K1418" s="100" t="str">
        <f t="shared" si="92"/>
        <v/>
      </c>
    </row>
    <row r="1419" spans="10:11">
      <c r="J1419" s="100" t="str">
        <f t="shared" ref="J1419:J1482" si="93">C1419&amp;D1419&amp;G1419</f>
        <v/>
      </c>
      <c r="K1419" s="100" t="str">
        <f t="shared" ref="K1419:K1482" si="94">C1419&amp;D1419&amp;H1419</f>
        <v/>
      </c>
    </row>
    <row r="1420" spans="10:11">
      <c r="J1420" s="100" t="str">
        <f t="shared" si="93"/>
        <v/>
      </c>
      <c r="K1420" s="100" t="str">
        <f t="shared" si="94"/>
        <v/>
      </c>
    </row>
    <row r="1421" spans="10:11">
      <c r="J1421" s="100" t="str">
        <f t="shared" si="93"/>
        <v/>
      </c>
      <c r="K1421" s="100" t="str">
        <f t="shared" si="94"/>
        <v/>
      </c>
    </row>
    <row r="1422" spans="10:11">
      <c r="J1422" s="100" t="str">
        <f t="shared" si="93"/>
        <v/>
      </c>
      <c r="K1422" s="100" t="str">
        <f t="shared" si="94"/>
        <v/>
      </c>
    </row>
    <row r="1423" spans="10:11">
      <c r="J1423" s="100" t="str">
        <f t="shared" si="93"/>
        <v/>
      </c>
      <c r="K1423" s="100" t="str">
        <f t="shared" si="94"/>
        <v/>
      </c>
    </row>
    <row r="1424" spans="10:11">
      <c r="J1424" s="100" t="str">
        <f t="shared" si="93"/>
        <v/>
      </c>
      <c r="K1424" s="100" t="str">
        <f t="shared" si="94"/>
        <v/>
      </c>
    </row>
    <row r="1425" spans="10:11">
      <c r="J1425" s="100" t="str">
        <f t="shared" si="93"/>
        <v/>
      </c>
      <c r="K1425" s="100" t="str">
        <f t="shared" si="94"/>
        <v/>
      </c>
    </row>
    <row r="1426" spans="10:11">
      <c r="J1426" s="100" t="str">
        <f t="shared" si="93"/>
        <v/>
      </c>
      <c r="K1426" s="100" t="str">
        <f t="shared" si="94"/>
        <v/>
      </c>
    </row>
    <row r="1427" spans="10:11">
      <c r="J1427" s="100" t="str">
        <f t="shared" si="93"/>
        <v/>
      </c>
      <c r="K1427" s="100" t="str">
        <f t="shared" si="94"/>
        <v/>
      </c>
    </row>
    <row r="1428" spans="10:11">
      <c r="J1428" s="100" t="str">
        <f t="shared" si="93"/>
        <v/>
      </c>
      <c r="K1428" s="100" t="str">
        <f t="shared" si="94"/>
        <v/>
      </c>
    </row>
    <row r="1429" spans="10:11">
      <c r="J1429" s="100" t="str">
        <f t="shared" si="93"/>
        <v/>
      </c>
      <c r="K1429" s="100" t="str">
        <f t="shared" si="94"/>
        <v/>
      </c>
    </row>
    <row r="1430" spans="10:11">
      <c r="J1430" s="100" t="str">
        <f t="shared" si="93"/>
        <v/>
      </c>
      <c r="K1430" s="100" t="str">
        <f t="shared" si="94"/>
        <v/>
      </c>
    </row>
    <row r="1431" spans="10:11">
      <c r="J1431" s="100" t="str">
        <f t="shared" si="93"/>
        <v/>
      </c>
      <c r="K1431" s="100" t="str">
        <f t="shared" si="94"/>
        <v/>
      </c>
    </row>
    <row r="1432" spans="10:11">
      <c r="J1432" s="100" t="str">
        <f t="shared" si="93"/>
        <v/>
      </c>
      <c r="K1432" s="100" t="str">
        <f t="shared" si="94"/>
        <v/>
      </c>
    </row>
    <row r="1433" spans="10:11">
      <c r="J1433" s="100" t="str">
        <f t="shared" si="93"/>
        <v/>
      </c>
      <c r="K1433" s="100" t="str">
        <f t="shared" si="94"/>
        <v/>
      </c>
    </row>
    <row r="1434" spans="10:11">
      <c r="J1434" s="100" t="str">
        <f t="shared" si="93"/>
        <v/>
      </c>
      <c r="K1434" s="100" t="str">
        <f t="shared" si="94"/>
        <v/>
      </c>
    </row>
    <row r="1435" spans="10:11">
      <c r="J1435" s="100" t="str">
        <f t="shared" si="93"/>
        <v/>
      </c>
      <c r="K1435" s="100" t="str">
        <f t="shared" si="94"/>
        <v/>
      </c>
    </row>
    <row r="1436" spans="10:11">
      <c r="J1436" s="100" t="str">
        <f t="shared" si="93"/>
        <v/>
      </c>
      <c r="K1436" s="100" t="str">
        <f t="shared" si="94"/>
        <v/>
      </c>
    </row>
    <row r="1437" spans="10:11">
      <c r="J1437" s="100" t="str">
        <f t="shared" si="93"/>
        <v/>
      </c>
      <c r="K1437" s="100" t="str">
        <f t="shared" si="94"/>
        <v/>
      </c>
    </row>
    <row r="1438" spans="10:11">
      <c r="J1438" s="100" t="str">
        <f t="shared" si="93"/>
        <v/>
      </c>
      <c r="K1438" s="100" t="str">
        <f t="shared" si="94"/>
        <v/>
      </c>
    </row>
    <row r="1439" spans="10:11">
      <c r="J1439" s="100" t="str">
        <f t="shared" si="93"/>
        <v/>
      </c>
      <c r="K1439" s="100" t="str">
        <f t="shared" si="94"/>
        <v/>
      </c>
    </row>
    <row r="1440" spans="10:11">
      <c r="J1440" s="100" t="str">
        <f t="shared" si="93"/>
        <v/>
      </c>
      <c r="K1440" s="100" t="str">
        <f t="shared" si="94"/>
        <v/>
      </c>
    </row>
    <row r="1441" spans="10:11">
      <c r="J1441" s="100" t="str">
        <f t="shared" si="93"/>
        <v/>
      </c>
      <c r="K1441" s="100" t="str">
        <f t="shared" si="94"/>
        <v/>
      </c>
    </row>
    <row r="1442" spans="10:11">
      <c r="J1442" s="100" t="str">
        <f t="shared" si="93"/>
        <v/>
      </c>
      <c r="K1442" s="100" t="str">
        <f t="shared" si="94"/>
        <v/>
      </c>
    </row>
    <row r="1443" spans="10:11">
      <c r="J1443" s="100" t="str">
        <f t="shared" si="93"/>
        <v/>
      </c>
      <c r="K1443" s="100" t="str">
        <f t="shared" si="94"/>
        <v/>
      </c>
    </row>
    <row r="1444" spans="10:11">
      <c r="J1444" s="100" t="str">
        <f t="shared" si="93"/>
        <v/>
      </c>
      <c r="K1444" s="100" t="str">
        <f t="shared" si="94"/>
        <v/>
      </c>
    </row>
    <row r="1445" spans="10:11">
      <c r="J1445" s="100" t="str">
        <f t="shared" si="93"/>
        <v/>
      </c>
      <c r="K1445" s="100" t="str">
        <f t="shared" si="94"/>
        <v/>
      </c>
    </row>
    <row r="1446" spans="10:11">
      <c r="J1446" s="100" t="str">
        <f t="shared" si="93"/>
        <v/>
      </c>
      <c r="K1446" s="100" t="str">
        <f t="shared" si="94"/>
        <v/>
      </c>
    </row>
    <row r="1447" spans="10:11">
      <c r="J1447" s="100" t="str">
        <f t="shared" si="93"/>
        <v/>
      </c>
      <c r="K1447" s="100" t="str">
        <f t="shared" si="94"/>
        <v/>
      </c>
    </row>
    <row r="1448" spans="10:11">
      <c r="J1448" s="100" t="str">
        <f t="shared" si="93"/>
        <v/>
      </c>
      <c r="K1448" s="100" t="str">
        <f t="shared" si="94"/>
        <v/>
      </c>
    </row>
    <row r="1449" spans="10:11">
      <c r="J1449" s="100" t="str">
        <f t="shared" si="93"/>
        <v/>
      </c>
      <c r="K1449" s="100" t="str">
        <f t="shared" si="94"/>
        <v/>
      </c>
    </row>
    <row r="1450" spans="10:11">
      <c r="J1450" s="100" t="str">
        <f t="shared" si="93"/>
        <v/>
      </c>
      <c r="K1450" s="100" t="str">
        <f t="shared" si="94"/>
        <v/>
      </c>
    </row>
    <row r="1451" spans="10:11">
      <c r="J1451" s="100" t="str">
        <f t="shared" si="93"/>
        <v/>
      </c>
      <c r="K1451" s="100" t="str">
        <f t="shared" si="94"/>
        <v/>
      </c>
    </row>
    <row r="1452" spans="10:11">
      <c r="J1452" s="100" t="str">
        <f t="shared" si="93"/>
        <v/>
      </c>
      <c r="K1452" s="100" t="str">
        <f t="shared" si="94"/>
        <v/>
      </c>
    </row>
    <row r="1453" spans="10:11">
      <c r="J1453" s="100" t="str">
        <f t="shared" si="93"/>
        <v/>
      </c>
      <c r="K1453" s="100" t="str">
        <f t="shared" si="94"/>
        <v/>
      </c>
    </row>
    <row r="1454" spans="10:11">
      <c r="J1454" s="100" t="str">
        <f t="shared" si="93"/>
        <v/>
      </c>
      <c r="K1454" s="100" t="str">
        <f t="shared" si="94"/>
        <v/>
      </c>
    </row>
    <row r="1455" spans="10:11">
      <c r="J1455" s="100" t="str">
        <f t="shared" si="93"/>
        <v/>
      </c>
      <c r="K1455" s="100" t="str">
        <f t="shared" si="94"/>
        <v/>
      </c>
    </row>
    <row r="1456" spans="10:11">
      <c r="J1456" s="100" t="str">
        <f t="shared" si="93"/>
        <v/>
      </c>
      <c r="K1456" s="100" t="str">
        <f t="shared" si="94"/>
        <v/>
      </c>
    </row>
    <row r="1457" spans="10:11">
      <c r="J1457" s="100" t="str">
        <f t="shared" si="93"/>
        <v/>
      </c>
      <c r="K1457" s="100" t="str">
        <f t="shared" si="94"/>
        <v/>
      </c>
    </row>
    <row r="1458" spans="10:11">
      <c r="J1458" s="100" t="str">
        <f t="shared" si="93"/>
        <v/>
      </c>
      <c r="K1458" s="100" t="str">
        <f t="shared" si="94"/>
        <v/>
      </c>
    </row>
    <row r="1459" spans="10:11">
      <c r="J1459" s="100" t="str">
        <f t="shared" si="93"/>
        <v/>
      </c>
      <c r="K1459" s="100" t="str">
        <f t="shared" si="94"/>
        <v/>
      </c>
    </row>
    <row r="1460" spans="10:11">
      <c r="J1460" s="100" t="str">
        <f t="shared" si="93"/>
        <v/>
      </c>
      <c r="K1460" s="100" t="str">
        <f t="shared" si="94"/>
        <v/>
      </c>
    </row>
    <row r="1461" spans="10:11">
      <c r="J1461" s="100" t="str">
        <f t="shared" si="93"/>
        <v/>
      </c>
      <c r="K1461" s="100" t="str">
        <f t="shared" si="94"/>
        <v/>
      </c>
    </row>
    <row r="1462" spans="10:11">
      <c r="J1462" s="100" t="str">
        <f t="shared" si="93"/>
        <v/>
      </c>
      <c r="K1462" s="100" t="str">
        <f t="shared" si="94"/>
        <v/>
      </c>
    </row>
    <row r="1463" spans="10:11">
      <c r="J1463" s="100" t="str">
        <f t="shared" si="93"/>
        <v/>
      </c>
      <c r="K1463" s="100" t="str">
        <f t="shared" si="94"/>
        <v/>
      </c>
    </row>
    <row r="1464" spans="10:11">
      <c r="J1464" s="100" t="str">
        <f t="shared" si="93"/>
        <v/>
      </c>
      <c r="K1464" s="100" t="str">
        <f t="shared" si="94"/>
        <v/>
      </c>
    </row>
    <row r="1465" spans="10:11">
      <c r="J1465" s="100" t="str">
        <f t="shared" si="93"/>
        <v/>
      </c>
      <c r="K1465" s="100" t="str">
        <f t="shared" si="94"/>
        <v/>
      </c>
    </row>
    <row r="1466" spans="10:11">
      <c r="J1466" s="100" t="str">
        <f t="shared" si="93"/>
        <v/>
      </c>
      <c r="K1466" s="100" t="str">
        <f t="shared" si="94"/>
        <v/>
      </c>
    </row>
    <row r="1467" spans="10:11">
      <c r="J1467" s="100" t="str">
        <f t="shared" si="93"/>
        <v/>
      </c>
      <c r="K1467" s="100" t="str">
        <f t="shared" si="94"/>
        <v/>
      </c>
    </row>
    <row r="1468" spans="10:11">
      <c r="J1468" s="100" t="str">
        <f t="shared" si="93"/>
        <v/>
      </c>
      <c r="K1468" s="100" t="str">
        <f t="shared" si="94"/>
        <v/>
      </c>
    </row>
    <row r="1469" spans="10:11">
      <c r="J1469" s="100" t="str">
        <f t="shared" si="93"/>
        <v/>
      </c>
      <c r="K1469" s="100" t="str">
        <f t="shared" si="94"/>
        <v/>
      </c>
    </row>
    <row r="1470" spans="10:11">
      <c r="J1470" s="100" t="str">
        <f t="shared" si="93"/>
        <v/>
      </c>
      <c r="K1470" s="100" t="str">
        <f t="shared" si="94"/>
        <v/>
      </c>
    </row>
    <row r="1471" spans="10:11">
      <c r="J1471" s="100" t="str">
        <f t="shared" si="93"/>
        <v/>
      </c>
      <c r="K1471" s="100" t="str">
        <f t="shared" si="94"/>
        <v/>
      </c>
    </row>
    <row r="1472" spans="10:11">
      <c r="J1472" s="100" t="str">
        <f t="shared" si="93"/>
        <v/>
      </c>
      <c r="K1472" s="100" t="str">
        <f t="shared" si="94"/>
        <v/>
      </c>
    </row>
    <row r="1473" spans="10:11">
      <c r="J1473" s="100" t="str">
        <f t="shared" si="93"/>
        <v/>
      </c>
      <c r="K1473" s="100" t="str">
        <f t="shared" si="94"/>
        <v/>
      </c>
    </row>
    <row r="1474" spans="10:11">
      <c r="J1474" s="100" t="str">
        <f t="shared" si="93"/>
        <v/>
      </c>
      <c r="K1474" s="100" t="str">
        <f t="shared" si="94"/>
        <v/>
      </c>
    </row>
    <row r="1475" spans="10:11">
      <c r="J1475" s="100" t="str">
        <f t="shared" si="93"/>
        <v/>
      </c>
      <c r="K1475" s="100" t="str">
        <f t="shared" si="94"/>
        <v/>
      </c>
    </row>
    <row r="1476" spans="10:11">
      <c r="J1476" s="100" t="str">
        <f t="shared" si="93"/>
        <v/>
      </c>
      <c r="K1476" s="100" t="str">
        <f t="shared" si="94"/>
        <v/>
      </c>
    </row>
    <row r="1477" spans="10:11">
      <c r="J1477" s="100" t="str">
        <f t="shared" si="93"/>
        <v/>
      </c>
      <c r="K1477" s="100" t="str">
        <f t="shared" si="94"/>
        <v/>
      </c>
    </row>
    <row r="1478" spans="10:11">
      <c r="J1478" s="100" t="str">
        <f t="shared" si="93"/>
        <v/>
      </c>
      <c r="K1478" s="100" t="str">
        <f t="shared" si="94"/>
        <v/>
      </c>
    </row>
    <row r="1479" spans="10:11">
      <c r="J1479" s="100"/>
      <c r="K1479" s="100"/>
    </row>
    <row r="1480" spans="10:11">
      <c r="J1480" s="100" t="str">
        <f t="shared" si="93"/>
        <v/>
      </c>
      <c r="K1480" s="100" t="str">
        <f t="shared" si="94"/>
        <v/>
      </c>
    </row>
    <row r="1481" spans="10:11">
      <c r="J1481" s="100" t="str">
        <f t="shared" si="93"/>
        <v/>
      </c>
      <c r="K1481" s="100" t="str">
        <f t="shared" si="94"/>
        <v/>
      </c>
    </row>
    <row r="1482" spans="10:11">
      <c r="J1482" s="100" t="str">
        <f t="shared" si="93"/>
        <v/>
      </c>
      <c r="K1482" s="100" t="str">
        <f t="shared" si="94"/>
        <v/>
      </c>
    </row>
    <row r="1483" spans="10:11">
      <c r="J1483" s="100" t="str">
        <f t="shared" ref="J1483:J1548" si="95">C1483&amp;D1483&amp;G1483</f>
        <v/>
      </c>
      <c r="K1483" s="100" t="str">
        <f t="shared" ref="K1483:K1548" si="96">C1483&amp;D1483&amp;H1483</f>
        <v/>
      </c>
    </row>
    <row r="1484" spans="10:11">
      <c r="J1484" s="100" t="str">
        <f t="shared" si="95"/>
        <v/>
      </c>
      <c r="K1484" s="100" t="str">
        <f t="shared" si="96"/>
        <v/>
      </c>
    </row>
    <row r="1485" spans="10:11">
      <c r="J1485" s="100" t="str">
        <f t="shared" si="95"/>
        <v/>
      </c>
      <c r="K1485" s="100" t="str">
        <f t="shared" si="96"/>
        <v/>
      </c>
    </row>
    <row r="1486" spans="10:11">
      <c r="J1486" s="100" t="str">
        <f t="shared" si="95"/>
        <v/>
      </c>
      <c r="K1486" s="100" t="str">
        <f t="shared" si="96"/>
        <v/>
      </c>
    </row>
    <row r="1487" spans="10:11">
      <c r="J1487" s="100" t="str">
        <f t="shared" si="95"/>
        <v/>
      </c>
      <c r="K1487" s="100" t="str">
        <f t="shared" si="96"/>
        <v/>
      </c>
    </row>
    <row r="1488" spans="10:11">
      <c r="J1488" s="100" t="str">
        <f t="shared" si="95"/>
        <v/>
      </c>
      <c r="K1488" s="100" t="str">
        <f t="shared" si="96"/>
        <v/>
      </c>
    </row>
    <row r="1489" spans="10:11">
      <c r="J1489" s="100" t="str">
        <f t="shared" si="95"/>
        <v/>
      </c>
      <c r="K1489" s="100" t="str">
        <f t="shared" si="96"/>
        <v/>
      </c>
    </row>
    <row r="1490" spans="10:11">
      <c r="J1490" s="100" t="str">
        <f t="shared" si="95"/>
        <v/>
      </c>
      <c r="K1490" s="100" t="str">
        <f t="shared" si="96"/>
        <v/>
      </c>
    </row>
    <row r="1491" spans="10:11">
      <c r="J1491" s="100" t="str">
        <f t="shared" si="95"/>
        <v/>
      </c>
      <c r="K1491" s="100" t="str">
        <f t="shared" si="96"/>
        <v/>
      </c>
    </row>
    <row r="1492" spans="10:11">
      <c r="J1492" s="100" t="str">
        <f t="shared" si="95"/>
        <v/>
      </c>
      <c r="K1492" s="100" t="str">
        <f t="shared" si="96"/>
        <v/>
      </c>
    </row>
    <row r="1493" spans="10:11">
      <c r="J1493" s="100" t="str">
        <f t="shared" si="95"/>
        <v/>
      </c>
      <c r="K1493" s="100" t="str">
        <f t="shared" si="96"/>
        <v/>
      </c>
    </row>
    <row r="1494" spans="10:11">
      <c r="J1494" s="100" t="str">
        <f t="shared" si="95"/>
        <v/>
      </c>
      <c r="K1494" s="100" t="str">
        <f t="shared" si="96"/>
        <v/>
      </c>
    </row>
    <row r="1495" spans="10:11">
      <c r="J1495" s="100"/>
      <c r="K1495" s="100"/>
    </row>
    <row r="1496" spans="10:11">
      <c r="J1496" s="100" t="str">
        <f t="shared" si="95"/>
        <v/>
      </c>
      <c r="K1496" s="100" t="str">
        <f t="shared" si="96"/>
        <v/>
      </c>
    </row>
    <row r="1497" spans="10:11">
      <c r="J1497" s="100" t="str">
        <f t="shared" si="95"/>
        <v/>
      </c>
      <c r="K1497" s="100" t="str">
        <f t="shared" si="96"/>
        <v/>
      </c>
    </row>
    <row r="1498" spans="10:11">
      <c r="J1498" s="100" t="str">
        <f t="shared" si="95"/>
        <v/>
      </c>
      <c r="K1498" s="100" t="str">
        <f t="shared" si="96"/>
        <v/>
      </c>
    </row>
    <row r="1499" spans="10:11">
      <c r="J1499" s="100" t="str">
        <f t="shared" si="95"/>
        <v/>
      </c>
      <c r="K1499" s="100" t="str">
        <f t="shared" si="96"/>
        <v/>
      </c>
    </row>
    <row r="1500" spans="10:11">
      <c r="J1500" s="100" t="str">
        <f t="shared" si="95"/>
        <v/>
      </c>
      <c r="K1500" s="100" t="str">
        <f t="shared" si="96"/>
        <v/>
      </c>
    </row>
    <row r="1501" spans="10:11">
      <c r="J1501" s="100" t="str">
        <f t="shared" si="95"/>
        <v/>
      </c>
      <c r="K1501" s="100" t="str">
        <f t="shared" si="96"/>
        <v/>
      </c>
    </row>
    <row r="1502" spans="10:11">
      <c r="J1502" s="100" t="str">
        <f t="shared" si="95"/>
        <v/>
      </c>
      <c r="K1502" s="100" t="str">
        <f t="shared" si="96"/>
        <v/>
      </c>
    </row>
    <row r="1503" spans="10:11">
      <c r="J1503" s="100" t="str">
        <f t="shared" si="95"/>
        <v/>
      </c>
      <c r="K1503" s="100" t="str">
        <f t="shared" si="96"/>
        <v/>
      </c>
    </row>
    <row r="1504" spans="10:11">
      <c r="J1504" s="100" t="str">
        <f t="shared" si="95"/>
        <v/>
      </c>
      <c r="K1504" s="100" t="str">
        <f t="shared" si="96"/>
        <v/>
      </c>
    </row>
    <row r="1505" spans="10:11">
      <c r="J1505" s="100" t="str">
        <f t="shared" si="95"/>
        <v/>
      </c>
      <c r="K1505" s="100" t="str">
        <f t="shared" si="96"/>
        <v/>
      </c>
    </row>
    <row r="1506" spans="10:11">
      <c r="J1506" s="100" t="str">
        <f t="shared" si="95"/>
        <v/>
      </c>
      <c r="K1506" s="100" t="str">
        <f t="shared" si="96"/>
        <v/>
      </c>
    </row>
    <row r="1507" spans="10:11">
      <c r="J1507" s="100" t="str">
        <f t="shared" si="95"/>
        <v/>
      </c>
      <c r="K1507" s="100" t="str">
        <f t="shared" si="96"/>
        <v/>
      </c>
    </row>
    <row r="1508" spans="10:11">
      <c r="J1508" s="100" t="str">
        <f t="shared" si="95"/>
        <v/>
      </c>
      <c r="K1508" s="100" t="str">
        <f t="shared" si="96"/>
        <v/>
      </c>
    </row>
    <row r="1509" spans="10:11">
      <c r="J1509" s="100" t="str">
        <f t="shared" si="95"/>
        <v/>
      </c>
      <c r="K1509" s="100" t="str">
        <f t="shared" si="96"/>
        <v/>
      </c>
    </row>
    <row r="1510" spans="10:11">
      <c r="J1510" s="100" t="str">
        <f t="shared" si="95"/>
        <v/>
      </c>
      <c r="K1510" s="100" t="str">
        <f t="shared" si="96"/>
        <v/>
      </c>
    </row>
    <row r="1511" spans="10:11">
      <c r="J1511" s="100" t="str">
        <f t="shared" si="95"/>
        <v/>
      </c>
      <c r="K1511" s="100" t="str">
        <f t="shared" si="96"/>
        <v/>
      </c>
    </row>
    <row r="1512" spans="10:11">
      <c r="J1512" s="100" t="str">
        <f t="shared" si="95"/>
        <v/>
      </c>
      <c r="K1512" s="100" t="str">
        <f t="shared" si="96"/>
        <v/>
      </c>
    </row>
    <row r="1513" spans="10:11">
      <c r="J1513" s="100" t="str">
        <f t="shared" si="95"/>
        <v/>
      </c>
      <c r="K1513" s="100" t="str">
        <f t="shared" si="96"/>
        <v/>
      </c>
    </row>
    <row r="1514" spans="10:11">
      <c r="J1514" s="100" t="str">
        <f t="shared" si="95"/>
        <v/>
      </c>
      <c r="K1514" s="100" t="str">
        <f t="shared" si="96"/>
        <v/>
      </c>
    </row>
    <row r="1515" spans="10:11">
      <c r="J1515" s="100"/>
      <c r="K1515" s="100"/>
    </row>
    <row r="1516" spans="10:11">
      <c r="J1516" s="100" t="str">
        <f t="shared" si="95"/>
        <v/>
      </c>
      <c r="K1516" s="100" t="str">
        <f t="shared" si="96"/>
        <v/>
      </c>
    </row>
    <row r="1517" spans="10:11">
      <c r="J1517" s="100" t="str">
        <f t="shared" si="95"/>
        <v/>
      </c>
      <c r="K1517" s="100" t="str">
        <f t="shared" si="96"/>
        <v/>
      </c>
    </row>
    <row r="1518" spans="10:11">
      <c r="J1518" s="100" t="str">
        <f t="shared" si="95"/>
        <v/>
      </c>
      <c r="K1518" s="100" t="str">
        <f t="shared" si="96"/>
        <v/>
      </c>
    </row>
    <row r="1519" spans="10:11">
      <c r="J1519" s="100" t="str">
        <f t="shared" si="95"/>
        <v/>
      </c>
      <c r="K1519" s="100" t="str">
        <f t="shared" si="96"/>
        <v/>
      </c>
    </row>
    <row r="1520" spans="10:11">
      <c r="J1520" s="100" t="str">
        <f t="shared" si="95"/>
        <v/>
      </c>
      <c r="K1520" s="100" t="str">
        <f t="shared" si="96"/>
        <v/>
      </c>
    </row>
    <row r="1521" spans="10:11">
      <c r="J1521" s="100" t="str">
        <f t="shared" si="95"/>
        <v/>
      </c>
      <c r="K1521" s="100" t="str">
        <f t="shared" si="96"/>
        <v/>
      </c>
    </row>
    <row r="1522" spans="10:11">
      <c r="J1522" s="100" t="str">
        <f t="shared" si="95"/>
        <v/>
      </c>
      <c r="K1522" s="100" t="str">
        <f t="shared" si="96"/>
        <v/>
      </c>
    </row>
    <row r="1523" spans="10:11">
      <c r="J1523" s="100" t="str">
        <f t="shared" si="95"/>
        <v/>
      </c>
      <c r="K1523" s="100" t="str">
        <f t="shared" si="96"/>
        <v/>
      </c>
    </row>
    <row r="1524" spans="10:11">
      <c r="J1524" s="100" t="str">
        <f t="shared" si="95"/>
        <v/>
      </c>
      <c r="K1524" s="100" t="str">
        <f t="shared" si="96"/>
        <v/>
      </c>
    </row>
    <row r="1525" spans="10:11">
      <c r="J1525" s="100" t="str">
        <f t="shared" si="95"/>
        <v/>
      </c>
      <c r="K1525" s="100" t="str">
        <f t="shared" si="96"/>
        <v/>
      </c>
    </row>
    <row r="1526" spans="10:11">
      <c r="J1526" s="100" t="str">
        <f t="shared" si="95"/>
        <v/>
      </c>
      <c r="K1526" s="100" t="str">
        <f t="shared" si="96"/>
        <v/>
      </c>
    </row>
    <row r="1527" spans="10:11">
      <c r="J1527" s="100" t="str">
        <f t="shared" si="95"/>
        <v/>
      </c>
      <c r="K1527" s="100" t="str">
        <f t="shared" si="96"/>
        <v/>
      </c>
    </row>
    <row r="1528" spans="10:11">
      <c r="J1528" s="100" t="str">
        <f t="shared" si="95"/>
        <v/>
      </c>
      <c r="K1528" s="100" t="str">
        <f t="shared" si="96"/>
        <v/>
      </c>
    </row>
    <row r="1529" spans="10:11">
      <c r="J1529" s="100" t="str">
        <f t="shared" si="95"/>
        <v/>
      </c>
      <c r="K1529" s="100" t="str">
        <f t="shared" si="96"/>
        <v/>
      </c>
    </row>
    <row r="1530" spans="10:11">
      <c r="J1530" s="100" t="str">
        <f t="shared" si="95"/>
        <v/>
      </c>
      <c r="K1530" s="100" t="str">
        <f t="shared" si="96"/>
        <v/>
      </c>
    </row>
    <row r="1531" spans="10:11">
      <c r="J1531" s="100" t="str">
        <f t="shared" si="95"/>
        <v/>
      </c>
      <c r="K1531" s="100" t="str">
        <f t="shared" si="96"/>
        <v/>
      </c>
    </row>
    <row r="1532" spans="10:11">
      <c r="J1532" s="100" t="str">
        <f t="shared" si="95"/>
        <v/>
      </c>
      <c r="K1532" s="100" t="str">
        <f t="shared" si="96"/>
        <v/>
      </c>
    </row>
    <row r="1533" spans="10:11">
      <c r="J1533" s="100" t="str">
        <f t="shared" si="95"/>
        <v/>
      </c>
      <c r="K1533" s="100" t="str">
        <f t="shared" si="96"/>
        <v/>
      </c>
    </row>
    <row r="1534" spans="10:11">
      <c r="J1534" s="100" t="str">
        <f t="shared" si="95"/>
        <v/>
      </c>
      <c r="K1534" s="100" t="str">
        <f t="shared" si="96"/>
        <v/>
      </c>
    </row>
    <row r="1535" spans="10:11">
      <c r="J1535" s="100"/>
      <c r="K1535" s="100"/>
    </row>
    <row r="1536" spans="10:11">
      <c r="J1536" s="100" t="str">
        <f t="shared" si="95"/>
        <v/>
      </c>
      <c r="K1536" s="100" t="str">
        <f t="shared" si="96"/>
        <v/>
      </c>
    </row>
    <row r="1537" spans="10:11">
      <c r="J1537" s="100" t="str">
        <f t="shared" si="95"/>
        <v/>
      </c>
      <c r="K1537" s="100" t="str">
        <f t="shared" si="96"/>
        <v/>
      </c>
    </row>
    <row r="1538" spans="10:11">
      <c r="J1538" s="100" t="str">
        <f t="shared" si="95"/>
        <v/>
      </c>
      <c r="K1538" s="100" t="str">
        <f t="shared" si="96"/>
        <v/>
      </c>
    </row>
    <row r="1539" spans="10:11">
      <c r="J1539" s="100" t="str">
        <f t="shared" si="95"/>
        <v/>
      </c>
      <c r="K1539" s="100" t="str">
        <f t="shared" si="96"/>
        <v/>
      </c>
    </row>
    <row r="1540" spans="10:11">
      <c r="J1540" s="100" t="str">
        <f t="shared" si="95"/>
        <v/>
      </c>
      <c r="K1540" s="100" t="str">
        <f t="shared" si="96"/>
        <v/>
      </c>
    </row>
    <row r="1541" spans="10:11">
      <c r="J1541" s="100" t="str">
        <f t="shared" si="95"/>
        <v/>
      </c>
      <c r="K1541" s="100" t="str">
        <f t="shared" si="96"/>
        <v/>
      </c>
    </row>
    <row r="1542" spans="10:11">
      <c r="J1542" s="100" t="str">
        <f t="shared" si="95"/>
        <v/>
      </c>
      <c r="K1542" s="100" t="str">
        <f t="shared" si="96"/>
        <v/>
      </c>
    </row>
    <row r="1543" spans="10:11">
      <c r="J1543" s="100" t="str">
        <f t="shared" si="95"/>
        <v/>
      </c>
      <c r="K1543" s="100" t="str">
        <f t="shared" si="96"/>
        <v/>
      </c>
    </row>
    <row r="1544" spans="10:11">
      <c r="J1544" s="100" t="str">
        <f t="shared" si="95"/>
        <v/>
      </c>
      <c r="K1544" s="100" t="str">
        <f t="shared" si="96"/>
        <v/>
      </c>
    </row>
    <row r="1545" spans="10:11">
      <c r="J1545" s="100" t="str">
        <f t="shared" si="95"/>
        <v/>
      </c>
      <c r="K1545" s="100" t="str">
        <f t="shared" si="96"/>
        <v/>
      </c>
    </row>
    <row r="1546" spans="10:11">
      <c r="J1546" s="100" t="str">
        <f t="shared" si="95"/>
        <v/>
      </c>
      <c r="K1546" s="100" t="str">
        <f t="shared" si="96"/>
        <v/>
      </c>
    </row>
    <row r="1547" spans="10:11">
      <c r="J1547" s="100" t="str">
        <f t="shared" si="95"/>
        <v/>
      </c>
      <c r="K1547" s="100" t="str">
        <f t="shared" si="96"/>
        <v/>
      </c>
    </row>
    <row r="1548" spans="10:11">
      <c r="J1548" s="100" t="str">
        <f t="shared" si="95"/>
        <v/>
      </c>
      <c r="K1548" s="100" t="str">
        <f t="shared" si="96"/>
        <v/>
      </c>
    </row>
    <row r="1549" spans="10:11">
      <c r="J1549" s="100" t="str">
        <f t="shared" ref="J1549:J1615" si="97">C1549&amp;D1549&amp;G1549</f>
        <v/>
      </c>
      <c r="K1549" s="100" t="str">
        <f t="shared" ref="K1549:K1615" si="98">C1549&amp;D1549&amp;H1549</f>
        <v/>
      </c>
    </row>
    <row r="1550" spans="10:11">
      <c r="J1550" s="100" t="str">
        <f t="shared" si="97"/>
        <v/>
      </c>
      <c r="K1550" s="100" t="str">
        <f t="shared" si="98"/>
        <v/>
      </c>
    </row>
    <row r="1551" spans="10:11">
      <c r="J1551" s="100" t="str">
        <f t="shared" si="97"/>
        <v/>
      </c>
      <c r="K1551" s="100" t="str">
        <f t="shared" si="98"/>
        <v/>
      </c>
    </row>
    <row r="1552" spans="10:11">
      <c r="J1552" s="100" t="str">
        <f t="shared" si="97"/>
        <v/>
      </c>
      <c r="K1552" s="100" t="str">
        <f t="shared" si="98"/>
        <v/>
      </c>
    </row>
    <row r="1553" spans="10:11">
      <c r="J1553" s="100" t="str">
        <f t="shared" si="97"/>
        <v/>
      </c>
      <c r="K1553" s="100" t="str">
        <f t="shared" si="98"/>
        <v/>
      </c>
    </row>
    <row r="1554" spans="10:11">
      <c r="J1554" s="100" t="str">
        <f t="shared" si="97"/>
        <v/>
      </c>
      <c r="K1554" s="100" t="str">
        <f t="shared" si="98"/>
        <v/>
      </c>
    </row>
    <row r="1555" spans="10:11">
      <c r="J1555" s="100" t="str">
        <f t="shared" si="97"/>
        <v/>
      </c>
      <c r="K1555" s="100" t="str">
        <f t="shared" si="98"/>
        <v/>
      </c>
    </row>
    <row r="1556" spans="10:11">
      <c r="J1556" s="100"/>
      <c r="K1556" s="100"/>
    </row>
    <row r="1557" spans="10:11">
      <c r="J1557" s="100" t="str">
        <f t="shared" si="97"/>
        <v/>
      </c>
      <c r="K1557" s="100" t="str">
        <f t="shared" si="98"/>
        <v/>
      </c>
    </row>
    <row r="1558" spans="10:11">
      <c r="J1558" s="100" t="str">
        <f t="shared" si="97"/>
        <v/>
      </c>
      <c r="K1558" s="100" t="str">
        <f t="shared" si="98"/>
        <v/>
      </c>
    </row>
    <row r="1559" spans="10:11">
      <c r="J1559" s="100" t="str">
        <f t="shared" si="97"/>
        <v/>
      </c>
      <c r="K1559" s="100" t="str">
        <f t="shared" si="98"/>
        <v/>
      </c>
    </row>
    <row r="1560" spans="10:11">
      <c r="J1560" s="100" t="str">
        <f t="shared" si="97"/>
        <v/>
      </c>
      <c r="K1560" s="100" t="str">
        <f t="shared" si="98"/>
        <v/>
      </c>
    </row>
    <row r="1561" spans="10:11">
      <c r="J1561" s="100" t="str">
        <f t="shared" si="97"/>
        <v/>
      </c>
      <c r="K1561" s="100" t="str">
        <f t="shared" si="98"/>
        <v/>
      </c>
    </row>
    <row r="1562" spans="10:11">
      <c r="J1562" s="100" t="str">
        <f t="shared" si="97"/>
        <v/>
      </c>
      <c r="K1562" s="100" t="str">
        <f t="shared" si="98"/>
        <v/>
      </c>
    </row>
    <row r="1563" spans="10:11">
      <c r="J1563" s="100" t="str">
        <f t="shared" si="97"/>
        <v/>
      </c>
      <c r="K1563" s="100" t="str">
        <f t="shared" si="98"/>
        <v/>
      </c>
    </row>
    <row r="1564" spans="10:11">
      <c r="J1564" s="100" t="str">
        <f t="shared" si="97"/>
        <v/>
      </c>
      <c r="K1564" s="100" t="str">
        <f t="shared" si="98"/>
        <v/>
      </c>
    </row>
    <row r="1565" spans="10:11">
      <c r="J1565" s="100" t="str">
        <f t="shared" si="97"/>
        <v/>
      </c>
      <c r="K1565" s="100" t="str">
        <f t="shared" si="98"/>
        <v/>
      </c>
    </row>
    <row r="1566" spans="10:11">
      <c r="J1566" s="100" t="str">
        <f t="shared" si="97"/>
        <v/>
      </c>
      <c r="K1566" s="100" t="str">
        <f t="shared" si="98"/>
        <v/>
      </c>
    </row>
    <row r="1567" spans="10:11">
      <c r="J1567" s="100" t="str">
        <f t="shared" si="97"/>
        <v/>
      </c>
      <c r="K1567" s="100" t="str">
        <f t="shared" si="98"/>
        <v/>
      </c>
    </row>
    <row r="1568" spans="10:11">
      <c r="J1568" s="100" t="str">
        <f t="shared" si="97"/>
        <v/>
      </c>
      <c r="K1568" s="100" t="str">
        <f t="shared" si="98"/>
        <v/>
      </c>
    </row>
    <row r="1569" spans="10:11">
      <c r="J1569" s="100" t="str">
        <f t="shared" si="97"/>
        <v/>
      </c>
      <c r="K1569" s="100" t="str">
        <f t="shared" si="98"/>
        <v/>
      </c>
    </row>
    <row r="1570" spans="10:11">
      <c r="J1570" s="100" t="str">
        <f t="shared" si="97"/>
        <v/>
      </c>
      <c r="K1570" s="100" t="str">
        <f t="shared" si="98"/>
        <v/>
      </c>
    </row>
    <row r="1571" spans="10:11">
      <c r="J1571" s="100" t="str">
        <f t="shared" si="97"/>
        <v/>
      </c>
      <c r="K1571" s="100" t="str">
        <f t="shared" si="98"/>
        <v/>
      </c>
    </row>
    <row r="1572" spans="10:11">
      <c r="J1572" s="100" t="str">
        <f t="shared" si="97"/>
        <v/>
      </c>
      <c r="K1572" s="100" t="str">
        <f t="shared" si="98"/>
        <v/>
      </c>
    </row>
    <row r="1573" spans="10:11">
      <c r="J1573" s="100" t="str">
        <f t="shared" si="97"/>
        <v/>
      </c>
      <c r="K1573" s="100" t="str">
        <f t="shared" si="98"/>
        <v/>
      </c>
    </row>
    <row r="1574" spans="10:11">
      <c r="J1574" s="100" t="str">
        <f t="shared" si="97"/>
        <v/>
      </c>
      <c r="K1574" s="100" t="str">
        <f t="shared" si="98"/>
        <v/>
      </c>
    </row>
    <row r="1575" spans="10:11">
      <c r="J1575" s="100" t="str">
        <f t="shared" si="97"/>
        <v/>
      </c>
      <c r="K1575" s="100" t="str">
        <f t="shared" si="98"/>
        <v/>
      </c>
    </row>
    <row r="1576" spans="10:11">
      <c r="J1576" s="100"/>
      <c r="K1576" s="100"/>
    </row>
    <row r="1577" spans="10:11">
      <c r="J1577" s="100" t="str">
        <f t="shared" si="97"/>
        <v/>
      </c>
      <c r="K1577" s="100" t="str">
        <f t="shared" si="98"/>
        <v/>
      </c>
    </row>
    <row r="1578" spans="10:11">
      <c r="J1578" s="100" t="str">
        <f t="shared" si="97"/>
        <v/>
      </c>
      <c r="K1578" s="100" t="str">
        <f t="shared" si="98"/>
        <v/>
      </c>
    </row>
    <row r="1579" spans="10:11">
      <c r="J1579" s="100" t="str">
        <f t="shared" si="97"/>
        <v/>
      </c>
      <c r="K1579" s="100" t="str">
        <f t="shared" si="98"/>
        <v/>
      </c>
    </row>
    <row r="1580" spans="10:11">
      <c r="J1580" s="100" t="str">
        <f t="shared" si="97"/>
        <v/>
      </c>
      <c r="K1580" s="100" t="str">
        <f t="shared" si="98"/>
        <v/>
      </c>
    </row>
    <row r="1581" spans="10:11">
      <c r="J1581" s="100" t="str">
        <f t="shared" si="97"/>
        <v/>
      </c>
      <c r="K1581" s="100" t="str">
        <f t="shared" si="98"/>
        <v/>
      </c>
    </row>
    <row r="1582" spans="10:11">
      <c r="J1582" s="100" t="str">
        <f t="shared" si="97"/>
        <v/>
      </c>
      <c r="K1582" s="100" t="str">
        <f t="shared" si="98"/>
        <v/>
      </c>
    </row>
    <row r="1583" spans="10:11">
      <c r="J1583" s="100" t="str">
        <f t="shared" si="97"/>
        <v/>
      </c>
      <c r="K1583" s="100" t="str">
        <f t="shared" si="98"/>
        <v/>
      </c>
    </row>
    <row r="1584" spans="10:11">
      <c r="J1584" s="100" t="str">
        <f t="shared" si="97"/>
        <v/>
      </c>
      <c r="K1584" s="100" t="str">
        <f t="shared" si="98"/>
        <v/>
      </c>
    </row>
    <row r="1585" spans="10:11">
      <c r="J1585" s="100" t="str">
        <f t="shared" si="97"/>
        <v/>
      </c>
      <c r="K1585" s="100" t="str">
        <f t="shared" si="98"/>
        <v/>
      </c>
    </row>
    <row r="1586" spans="10:11">
      <c r="J1586" s="100" t="str">
        <f t="shared" si="97"/>
        <v/>
      </c>
      <c r="K1586" s="100" t="str">
        <f t="shared" si="98"/>
        <v/>
      </c>
    </row>
    <row r="1587" spans="10:11">
      <c r="J1587" s="100" t="str">
        <f t="shared" si="97"/>
        <v/>
      </c>
      <c r="K1587" s="100" t="str">
        <f t="shared" si="98"/>
        <v/>
      </c>
    </row>
    <row r="1588" spans="10:11">
      <c r="J1588" s="100" t="str">
        <f t="shared" si="97"/>
        <v/>
      </c>
      <c r="K1588" s="100" t="str">
        <f t="shared" si="98"/>
        <v/>
      </c>
    </row>
    <row r="1589" spans="10:11">
      <c r="J1589" s="100" t="str">
        <f t="shared" si="97"/>
        <v/>
      </c>
      <c r="K1589" s="100" t="str">
        <f t="shared" si="98"/>
        <v/>
      </c>
    </row>
    <row r="1590" spans="10:11">
      <c r="J1590" s="100" t="str">
        <f t="shared" si="97"/>
        <v/>
      </c>
      <c r="K1590" s="100" t="str">
        <f t="shared" si="98"/>
        <v/>
      </c>
    </row>
    <row r="1591" spans="10:11">
      <c r="J1591" s="100" t="str">
        <f t="shared" si="97"/>
        <v/>
      </c>
      <c r="K1591" s="100" t="str">
        <f t="shared" si="98"/>
        <v/>
      </c>
    </row>
    <row r="1592" spans="10:11">
      <c r="J1592" s="100" t="str">
        <f t="shared" si="97"/>
        <v/>
      </c>
      <c r="K1592" s="100" t="str">
        <f t="shared" si="98"/>
        <v/>
      </c>
    </row>
    <row r="1593" spans="10:11">
      <c r="J1593" s="100" t="str">
        <f t="shared" si="97"/>
        <v/>
      </c>
      <c r="K1593" s="100" t="str">
        <f t="shared" si="98"/>
        <v/>
      </c>
    </row>
    <row r="1594" spans="10:11">
      <c r="J1594" s="100"/>
      <c r="K1594" s="100"/>
    </row>
    <row r="1595" spans="10:11">
      <c r="J1595" s="100" t="str">
        <f t="shared" si="97"/>
        <v/>
      </c>
      <c r="K1595" s="100" t="str">
        <f t="shared" si="98"/>
        <v/>
      </c>
    </row>
    <row r="1596" spans="10:11">
      <c r="J1596" s="100" t="str">
        <f t="shared" si="97"/>
        <v/>
      </c>
      <c r="K1596" s="100" t="str">
        <f t="shared" si="98"/>
        <v/>
      </c>
    </row>
    <row r="1597" spans="10:11">
      <c r="J1597" s="100" t="str">
        <f t="shared" si="97"/>
        <v/>
      </c>
      <c r="K1597" s="100" t="str">
        <f t="shared" si="98"/>
        <v/>
      </c>
    </row>
    <row r="1598" spans="10:11">
      <c r="J1598" s="100" t="str">
        <f t="shared" si="97"/>
        <v/>
      </c>
      <c r="K1598" s="100" t="str">
        <f t="shared" si="98"/>
        <v/>
      </c>
    </row>
    <row r="1599" spans="10:11">
      <c r="J1599" s="100" t="str">
        <f t="shared" si="97"/>
        <v/>
      </c>
      <c r="K1599" s="100" t="str">
        <f t="shared" si="98"/>
        <v/>
      </c>
    </row>
    <row r="1600" spans="10:11">
      <c r="J1600" s="100" t="str">
        <f t="shared" si="97"/>
        <v/>
      </c>
      <c r="K1600" s="100" t="str">
        <f t="shared" si="98"/>
        <v/>
      </c>
    </row>
    <row r="1601" spans="10:11">
      <c r="J1601" s="100" t="str">
        <f t="shared" si="97"/>
        <v/>
      </c>
      <c r="K1601" s="100" t="str">
        <f t="shared" si="98"/>
        <v/>
      </c>
    </row>
    <row r="1602" spans="10:11">
      <c r="J1602" s="100" t="str">
        <f t="shared" si="97"/>
        <v/>
      </c>
      <c r="K1602" s="100" t="str">
        <f t="shared" si="98"/>
        <v/>
      </c>
    </row>
    <row r="1603" spans="10:11">
      <c r="J1603" s="100" t="str">
        <f t="shared" si="97"/>
        <v/>
      </c>
      <c r="K1603" s="100" t="str">
        <f t="shared" si="98"/>
        <v/>
      </c>
    </row>
    <row r="1604" spans="10:11">
      <c r="J1604" s="100" t="str">
        <f t="shared" si="97"/>
        <v/>
      </c>
      <c r="K1604" s="100" t="str">
        <f t="shared" si="98"/>
        <v/>
      </c>
    </row>
    <row r="1605" spans="10:11">
      <c r="J1605" s="100" t="str">
        <f t="shared" si="97"/>
        <v/>
      </c>
      <c r="K1605" s="100" t="str">
        <f t="shared" si="98"/>
        <v/>
      </c>
    </row>
    <row r="1606" spans="10:11">
      <c r="J1606" s="100" t="str">
        <f t="shared" si="97"/>
        <v/>
      </c>
      <c r="K1606" s="100" t="str">
        <f t="shared" si="98"/>
        <v/>
      </c>
    </row>
    <row r="1607" spans="10:11">
      <c r="J1607" s="100" t="str">
        <f t="shared" si="97"/>
        <v/>
      </c>
      <c r="K1607" s="100" t="str">
        <f t="shared" si="98"/>
        <v/>
      </c>
    </row>
    <row r="1608" spans="10:11">
      <c r="J1608" s="100" t="str">
        <f t="shared" si="97"/>
        <v/>
      </c>
      <c r="K1608" s="100" t="str">
        <f t="shared" si="98"/>
        <v/>
      </c>
    </row>
    <row r="1609" spans="10:11">
      <c r="J1609" s="100" t="str">
        <f t="shared" si="97"/>
        <v/>
      </c>
      <c r="K1609" s="100" t="str">
        <f t="shared" si="98"/>
        <v/>
      </c>
    </row>
    <row r="1610" spans="10:11">
      <c r="J1610" s="100" t="str">
        <f t="shared" si="97"/>
        <v/>
      </c>
      <c r="K1610" s="100" t="str">
        <f t="shared" si="98"/>
        <v/>
      </c>
    </row>
    <row r="1611" spans="10:11">
      <c r="J1611" s="100" t="str">
        <f t="shared" si="97"/>
        <v/>
      </c>
      <c r="K1611" s="100" t="str">
        <f t="shared" si="98"/>
        <v/>
      </c>
    </row>
    <row r="1612" spans="10:11">
      <c r="J1612" s="100" t="str">
        <f t="shared" si="97"/>
        <v/>
      </c>
      <c r="K1612" s="100" t="str">
        <f t="shared" si="98"/>
        <v/>
      </c>
    </row>
    <row r="1613" spans="10:11">
      <c r="J1613" s="100" t="str">
        <f t="shared" si="97"/>
        <v/>
      </c>
      <c r="K1613" s="100" t="str">
        <f t="shared" si="98"/>
        <v/>
      </c>
    </row>
    <row r="1614" spans="10:11">
      <c r="J1614" s="100"/>
      <c r="K1614" s="100"/>
    </row>
    <row r="1615" spans="10:11">
      <c r="J1615" s="100" t="str">
        <f t="shared" si="97"/>
        <v/>
      </c>
      <c r="K1615" s="100" t="str">
        <f t="shared" si="98"/>
        <v/>
      </c>
    </row>
    <row r="1616" spans="10:11">
      <c r="J1616" s="100" t="str">
        <f t="shared" ref="J1616:J1683" si="99">C1616&amp;D1616&amp;G1616</f>
        <v/>
      </c>
      <c r="K1616" s="100" t="str">
        <f t="shared" ref="K1616:K1683" si="100">C1616&amp;D1616&amp;H1616</f>
        <v/>
      </c>
    </row>
    <row r="1617" spans="10:11">
      <c r="J1617" s="100" t="str">
        <f t="shared" si="99"/>
        <v/>
      </c>
      <c r="K1617" s="100" t="str">
        <f t="shared" si="100"/>
        <v/>
      </c>
    </row>
    <row r="1618" spans="10:11">
      <c r="J1618" s="100" t="str">
        <f t="shared" si="99"/>
        <v/>
      </c>
      <c r="K1618" s="100" t="str">
        <f t="shared" si="100"/>
        <v/>
      </c>
    </row>
    <row r="1619" spans="10:11">
      <c r="J1619" s="100" t="str">
        <f t="shared" si="99"/>
        <v/>
      </c>
      <c r="K1619" s="100" t="str">
        <f t="shared" si="100"/>
        <v/>
      </c>
    </row>
    <row r="1620" spans="10:11">
      <c r="J1620" s="100" t="str">
        <f t="shared" si="99"/>
        <v/>
      </c>
      <c r="K1620" s="100" t="str">
        <f t="shared" si="100"/>
        <v/>
      </c>
    </row>
    <row r="1621" spans="10:11">
      <c r="J1621" s="100" t="str">
        <f t="shared" si="99"/>
        <v/>
      </c>
      <c r="K1621" s="100" t="str">
        <f t="shared" si="100"/>
        <v/>
      </c>
    </row>
    <row r="1622" spans="10:11">
      <c r="J1622" s="100" t="str">
        <f t="shared" si="99"/>
        <v/>
      </c>
      <c r="K1622" s="100" t="str">
        <f t="shared" si="100"/>
        <v/>
      </c>
    </row>
    <row r="1623" spans="10:11">
      <c r="J1623" s="100" t="str">
        <f t="shared" si="99"/>
        <v/>
      </c>
      <c r="K1623" s="100" t="str">
        <f t="shared" si="100"/>
        <v/>
      </c>
    </row>
    <row r="1624" spans="10:11">
      <c r="J1624" s="100" t="str">
        <f t="shared" si="99"/>
        <v/>
      </c>
      <c r="K1624" s="100" t="str">
        <f t="shared" si="100"/>
        <v/>
      </c>
    </row>
    <row r="1625" spans="10:11">
      <c r="J1625" s="100" t="str">
        <f t="shared" si="99"/>
        <v/>
      </c>
      <c r="K1625" s="100" t="str">
        <f t="shared" si="100"/>
        <v/>
      </c>
    </row>
    <row r="1626" spans="10:11">
      <c r="J1626" s="100" t="str">
        <f t="shared" si="99"/>
        <v/>
      </c>
      <c r="K1626" s="100" t="str">
        <f t="shared" si="100"/>
        <v/>
      </c>
    </row>
    <row r="1627" spans="10:11">
      <c r="J1627" s="100" t="str">
        <f t="shared" si="99"/>
        <v/>
      </c>
      <c r="K1627" s="100" t="str">
        <f t="shared" si="100"/>
        <v/>
      </c>
    </row>
    <row r="1628" spans="10:11">
      <c r="J1628" s="100" t="str">
        <f t="shared" si="99"/>
        <v/>
      </c>
      <c r="K1628" s="100" t="str">
        <f t="shared" si="100"/>
        <v/>
      </c>
    </row>
    <row r="1629" spans="10:11">
      <c r="J1629" s="100" t="str">
        <f t="shared" si="99"/>
        <v/>
      </c>
      <c r="K1629" s="100" t="str">
        <f t="shared" si="100"/>
        <v/>
      </c>
    </row>
    <row r="1630" spans="10:11">
      <c r="J1630" s="100" t="str">
        <f t="shared" si="99"/>
        <v/>
      </c>
      <c r="K1630" s="100" t="str">
        <f t="shared" si="100"/>
        <v/>
      </c>
    </row>
    <row r="1631" spans="10:11">
      <c r="J1631" s="100" t="str">
        <f t="shared" si="99"/>
        <v/>
      </c>
      <c r="K1631" s="100" t="str">
        <f t="shared" si="100"/>
        <v/>
      </c>
    </row>
    <row r="1632" spans="10:11">
      <c r="J1632" s="100" t="str">
        <f t="shared" si="99"/>
        <v/>
      </c>
      <c r="K1632" s="100" t="str">
        <f t="shared" si="100"/>
        <v/>
      </c>
    </row>
    <row r="1633" spans="10:11">
      <c r="J1633" s="100" t="str">
        <f t="shared" si="99"/>
        <v/>
      </c>
      <c r="K1633" s="100" t="str">
        <f t="shared" si="100"/>
        <v/>
      </c>
    </row>
    <row r="1634" spans="10:11">
      <c r="J1634" s="100" t="str">
        <f t="shared" si="99"/>
        <v/>
      </c>
      <c r="K1634" s="100" t="str">
        <f t="shared" si="100"/>
        <v/>
      </c>
    </row>
    <row r="1635" spans="10:11">
      <c r="J1635" s="100" t="str">
        <f t="shared" si="99"/>
        <v/>
      </c>
      <c r="K1635" s="100" t="str">
        <f t="shared" si="100"/>
        <v/>
      </c>
    </row>
    <row r="1636" spans="10:11">
      <c r="J1636" s="100" t="str">
        <f t="shared" si="99"/>
        <v/>
      </c>
      <c r="K1636" s="100" t="str">
        <f t="shared" si="100"/>
        <v/>
      </c>
    </row>
    <row r="1637" spans="10:11">
      <c r="J1637" s="100" t="str">
        <f t="shared" si="99"/>
        <v/>
      </c>
      <c r="K1637" s="100" t="str">
        <f t="shared" si="100"/>
        <v/>
      </c>
    </row>
    <row r="1638" spans="10:11">
      <c r="J1638" s="100"/>
      <c r="K1638" s="100"/>
    </row>
    <row r="1639" spans="10:11">
      <c r="J1639" s="100" t="str">
        <f t="shared" si="99"/>
        <v/>
      </c>
      <c r="K1639" s="100" t="str">
        <f t="shared" si="100"/>
        <v/>
      </c>
    </row>
    <row r="1640" spans="10:11">
      <c r="J1640" s="100" t="str">
        <f t="shared" si="99"/>
        <v/>
      </c>
      <c r="K1640" s="100" t="str">
        <f t="shared" si="100"/>
        <v/>
      </c>
    </row>
    <row r="1641" spans="10:11">
      <c r="J1641" s="100" t="str">
        <f t="shared" si="99"/>
        <v/>
      </c>
      <c r="K1641" s="100" t="str">
        <f t="shared" si="100"/>
        <v/>
      </c>
    </row>
    <row r="1642" spans="10:11">
      <c r="J1642" s="100" t="str">
        <f t="shared" si="99"/>
        <v/>
      </c>
      <c r="K1642" s="100" t="str">
        <f t="shared" si="100"/>
        <v/>
      </c>
    </row>
    <row r="1643" spans="10:11">
      <c r="J1643" s="100" t="str">
        <f t="shared" si="99"/>
        <v/>
      </c>
      <c r="K1643" s="100" t="str">
        <f t="shared" si="100"/>
        <v/>
      </c>
    </row>
    <row r="1644" spans="10:11">
      <c r="J1644" s="100" t="str">
        <f t="shared" si="99"/>
        <v/>
      </c>
      <c r="K1644" s="100" t="str">
        <f t="shared" si="100"/>
        <v/>
      </c>
    </row>
    <row r="1645" spans="10:11">
      <c r="J1645" s="100" t="str">
        <f t="shared" si="99"/>
        <v/>
      </c>
      <c r="K1645" s="100" t="str">
        <f t="shared" si="100"/>
        <v/>
      </c>
    </row>
    <row r="1646" spans="10:11">
      <c r="J1646" s="100" t="str">
        <f t="shared" si="99"/>
        <v/>
      </c>
      <c r="K1646" s="100" t="str">
        <f t="shared" si="100"/>
        <v/>
      </c>
    </row>
    <row r="1647" spans="10:11">
      <c r="J1647" s="100" t="str">
        <f t="shared" si="99"/>
        <v/>
      </c>
      <c r="K1647" s="100" t="str">
        <f t="shared" si="100"/>
        <v/>
      </c>
    </row>
    <row r="1648" spans="10:11">
      <c r="J1648" s="100" t="str">
        <f t="shared" si="99"/>
        <v/>
      </c>
      <c r="K1648" s="100" t="str">
        <f t="shared" si="100"/>
        <v/>
      </c>
    </row>
    <row r="1649" spans="10:11">
      <c r="J1649" s="100" t="str">
        <f t="shared" si="99"/>
        <v/>
      </c>
      <c r="K1649" s="100" t="str">
        <f t="shared" si="100"/>
        <v/>
      </c>
    </row>
    <row r="1650" spans="10:11">
      <c r="J1650" s="100" t="str">
        <f t="shared" si="99"/>
        <v/>
      </c>
      <c r="K1650" s="100" t="str">
        <f t="shared" si="100"/>
        <v/>
      </c>
    </row>
    <row r="1651" spans="10:11">
      <c r="J1651" s="100" t="str">
        <f t="shared" si="99"/>
        <v/>
      </c>
      <c r="K1651" s="100" t="str">
        <f t="shared" si="100"/>
        <v/>
      </c>
    </row>
    <row r="1652" spans="10:11">
      <c r="J1652" s="100" t="str">
        <f t="shared" si="99"/>
        <v/>
      </c>
      <c r="K1652" s="100" t="str">
        <f t="shared" si="100"/>
        <v/>
      </c>
    </row>
    <row r="1653" spans="10:11">
      <c r="J1653" s="100" t="str">
        <f t="shared" si="99"/>
        <v/>
      </c>
      <c r="K1653" s="100" t="str">
        <f t="shared" si="100"/>
        <v/>
      </c>
    </row>
    <row r="1654" spans="10:11">
      <c r="J1654" s="100" t="str">
        <f t="shared" si="99"/>
        <v/>
      </c>
      <c r="K1654" s="100" t="str">
        <f t="shared" si="100"/>
        <v/>
      </c>
    </row>
    <row r="1655" spans="10:11">
      <c r="J1655" s="100" t="str">
        <f t="shared" si="99"/>
        <v/>
      </c>
      <c r="K1655" s="100" t="str">
        <f t="shared" si="100"/>
        <v/>
      </c>
    </row>
    <row r="1656" spans="10:11">
      <c r="J1656" s="100" t="str">
        <f t="shared" si="99"/>
        <v/>
      </c>
      <c r="K1656" s="100" t="str">
        <f t="shared" si="100"/>
        <v/>
      </c>
    </row>
    <row r="1657" spans="10:11">
      <c r="J1657" s="100" t="str">
        <f t="shared" si="99"/>
        <v/>
      </c>
      <c r="K1657" s="100" t="str">
        <f t="shared" si="100"/>
        <v/>
      </c>
    </row>
    <row r="1658" spans="10:11">
      <c r="J1658" s="100" t="str">
        <f t="shared" si="99"/>
        <v/>
      </c>
      <c r="K1658" s="100" t="str">
        <f t="shared" si="100"/>
        <v/>
      </c>
    </row>
    <row r="1659" spans="10:11">
      <c r="J1659" s="100" t="str">
        <f t="shared" si="99"/>
        <v/>
      </c>
      <c r="K1659" s="100" t="str">
        <f t="shared" si="100"/>
        <v/>
      </c>
    </row>
    <row r="1660" spans="10:11">
      <c r="J1660" s="100"/>
      <c r="K1660" s="100"/>
    </row>
    <row r="1661" spans="10:11">
      <c r="J1661" s="100" t="str">
        <f t="shared" si="99"/>
        <v/>
      </c>
      <c r="K1661" s="100" t="str">
        <f t="shared" si="100"/>
        <v/>
      </c>
    </row>
    <row r="1662" spans="10:11">
      <c r="J1662" s="100" t="str">
        <f t="shared" si="99"/>
        <v/>
      </c>
      <c r="K1662" s="100" t="str">
        <f t="shared" si="100"/>
        <v/>
      </c>
    </row>
    <row r="1663" spans="10:11">
      <c r="J1663" s="100" t="str">
        <f t="shared" si="99"/>
        <v/>
      </c>
      <c r="K1663" s="100" t="str">
        <f t="shared" si="100"/>
        <v/>
      </c>
    </row>
    <row r="1664" spans="10:11">
      <c r="J1664" s="100" t="str">
        <f t="shared" si="99"/>
        <v/>
      </c>
      <c r="K1664" s="100" t="str">
        <f t="shared" si="100"/>
        <v/>
      </c>
    </row>
    <row r="1665" spans="10:11">
      <c r="J1665" s="100" t="str">
        <f t="shared" si="99"/>
        <v/>
      </c>
      <c r="K1665" s="100" t="str">
        <f t="shared" si="100"/>
        <v/>
      </c>
    </row>
    <row r="1666" spans="10:11">
      <c r="J1666" s="100" t="str">
        <f t="shared" si="99"/>
        <v/>
      </c>
      <c r="K1666" s="100" t="str">
        <f t="shared" si="100"/>
        <v/>
      </c>
    </row>
    <row r="1667" spans="10:11">
      <c r="J1667" s="100" t="str">
        <f t="shared" si="99"/>
        <v/>
      </c>
      <c r="K1667" s="100" t="str">
        <f t="shared" si="100"/>
        <v/>
      </c>
    </row>
    <row r="1668" spans="10:11">
      <c r="J1668" s="100" t="str">
        <f t="shared" si="99"/>
        <v/>
      </c>
      <c r="K1668" s="100" t="str">
        <f t="shared" si="100"/>
        <v/>
      </c>
    </row>
    <row r="1669" spans="10:11">
      <c r="J1669" s="100" t="str">
        <f t="shared" si="99"/>
        <v/>
      </c>
      <c r="K1669" s="100" t="str">
        <f t="shared" si="100"/>
        <v/>
      </c>
    </row>
    <row r="1670" spans="10:11">
      <c r="J1670" s="100" t="str">
        <f t="shared" si="99"/>
        <v/>
      </c>
      <c r="K1670" s="100" t="str">
        <f t="shared" si="100"/>
        <v/>
      </c>
    </row>
    <row r="1671" spans="10:11">
      <c r="J1671" s="100" t="str">
        <f t="shared" si="99"/>
        <v/>
      </c>
      <c r="K1671" s="100" t="str">
        <f t="shared" si="100"/>
        <v/>
      </c>
    </row>
    <row r="1672" spans="10:11">
      <c r="J1672" s="100" t="str">
        <f t="shared" si="99"/>
        <v/>
      </c>
      <c r="K1672" s="100" t="str">
        <f t="shared" si="100"/>
        <v/>
      </c>
    </row>
    <row r="1673" spans="10:11">
      <c r="J1673" s="100" t="str">
        <f t="shared" si="99"/>
        <v/>
      </c>
      <c r="K1673" s="100" t="str">
        <f t="shared" si="100"/>
        <v/>
      </c>
    </row>
    <row r="1674" spans="10:11">
      <c r="J1674" s="100" t="str">
        <f t="shared" si="99"/>
        <v/>
      </c>
      <c r="K1674" s="100" t="str">
        <f t="shared" si="100"/>
        <v/>
      </c>
    </row>
    <row r="1675" spans="10:11">
      <c r="J1675" s="100" t="str">
        <f t="shared" si="99"/>
        <v/>
      </c>
      <c r="K1675" s="100" t="str">
        <f t="shared" si="100"/>
        <v/>
      </c>
    </row>
    <row r="1676" spans="10:11">
      <c r="J1676" s="100" t="str">
        <f t="shared" si="99"/>
        <v/>
      </c>
      <c r="K1676" s="100" t="str">
        <f t="shared" si="100"/>
        <v/>
      </c>
    </row>
    <row r="1677" spans="10:11">
      <c r="J1677" s="100" t="str">
        <f t="shared" si="99"/>
        <v/>
      </c>
      <c r="K1677" s="100" t="str">
        <f t="shared" si="100"/>
        <v/>
      </c>
    </row>
    <row r="1678" spans="10:11">
      <c r="J1678" s="100" t="str">
        <f t="shared" si="99"/>
        <v/>
      </c>
      <c r="K1678" s="100" t="str">
        <f t="shared" si="100"/>
        <v/>
      </c>
    </row>
    <row r="1679" spans="10:11">
      <c r="J1679" s="100" t="str">
        <f t="shared" si="99"/>
        <v/>
      </c>
      <c r="K1679" s="100" t="str">
        <f t="shared" si="100"/>
        <v/>
      </c>
    </row>
    <row r="1680" spans="10:11">
      <c r="J1680" s="100"/>
      <c r="K1680" s="100"/>
    </row>
    <row r="1681" spans="10:11">
      <c r="J1681" s="100" t="str">
        <f t="shared" si="99"/>
        <v/>
      </c>
      <c r="K1681" s="100" t="str">
        <f t="shared" si="100"/>
        <v/>
      </c>
    </row>
    <row r="1682" spans="10:11">
      <c r="J1682" s="100" t="str">
        <f t="shared" si="99"/>
        <v/>
      </c>
      <c r="K1682" s="100" t="str">
        <f t="shared" si="100"/>
        <v/>
      </c>
    </row>
    <row r="1683" spans="10:11">
      <c r="J1683" s="100" t="str">
        <f t="shared" si="99"/>
        <v/>
      </c>
      <c r="K1683" s="100" t="str">
        <f t="shared" si="100"/>
        <v/>
      </c>
    </row>
    <row r="1684" spans="10:11">
      <c r="J1684" s="100" t="str">
        <f t="shared" ref="J1684:J1750" si="101">C1684&amp;D1684&amp;G1684</f>
        <v/>
      </c>
      <c r="K1684" s="100" t="str">
        <f t="shared" ref="K1684:K1750" si="102">C1684&amp;D1684&amp;H1684</f>
        <v/>
      </c>
    </row>
    <row r="1685" spans="10:11">
      <c r="J1685" s="100" t="str">
        <f t="shared" si="101"/>
        <v/>
      </c>
      <c r="K1685" s="100" t="str">
        <f t="shared" si="102"/>
        <v/>
      </c>
    </row>
    <row r="1686" spans="10:11">
      <c r="J1686" s="100" t="str">
        <f t="shared" si="101"/>
        <v/>
      </c>
      <c r="K1686" s="100" t="str">
        <f t="shared" si="102"/>
        <v/>
      </c>
    </row>
    <row r="1687" spans="10:11">
      <c r="J1687" s="100" t="str">
        <f t="shared" si="101"/>
        <v/>
      </c>
      <c r="K1687" s="100" t="str">
        <f t="shared" si="102"/>
        <v/>
      </c>
    </row>
    <row r="1688" spans="10:11">
      <c r="J1688" s="100" t="str">
        <f t="shared" si="101"/>
        <v/>
      </c>
      <c r="K1688" s="100" t="str">
        <f t="shared" si="102"/>
        <v/>
      </c>
    </row>
    <row r="1689" spans="10:11">
      <c r="J1689" s="100" t="str">
        <f t="shared" si="101"/>
        <v/>
      </c>
      <c r="K1689" s="100" t="str">
        <f t="shared" si="102"/>
        <v/>
      </c>
    </row>
    <row r="1690" spans="10:11">
      <c r="J1690" s="100" t="str">
        <f t="shared" si="101"/>
        <v/>
      </c>
      <c r="K1690" s="100" t="str">
        <f t="shared" si="102"/>
        <v/>
      </c>
    </row>
    <row r="1691" spans="10:11">
      <c r="J1691" s="100" t="str">
        <f t="shared" si="101"/>
        <v/>
      </c>
      <c r="K1691" s="100" t="str">
        <f t="shared" si="102"/>
        <v/>
      </c>
    </row>
    <row r="1692" spans="10:11">
      <c r="J1692" s="100" t="str">
        <f t="shared" si="101"/>
        <v/>
      </c>
      <c r="K1692" s="100" t="str">
        <f t="shared" si="102"/>
        <v/>
      </c>
    </row>
    <row r="1693" spans="10:11">
      <c r="J1693" s="100" t="str">
        <f t="shared" si="101"/>
        <v/>
      </c>
      <c r="K1693" s="100" t="str">
        <f t="shared" si="102"/>
        <v/>
      </c>
    </row>
    <row r="1694" spans="10:11">
      <c r="J1694" s="100" t="str">
        <f t="shared" si="101"/>
        <v/>
      </c>
      <c r="K1694" s="100" t="str">
        <f t="shared" si="102"/>
        <v/>
      </c>
    </row>
    <row r="1695" spans="10:11">
      <c r="J1695" s="100" t="str">
        <f t="shared" si="101"/>
        <v/>
      </c>
      <c r="K1695" s="100" t="str">
        <f t="shared" si="102"/>
        <v/>
      </c>
    </row>
    <row r="1696" spans="10:11">
      <c r="J1696" s="100"/>
      <c r="K1696" s="100"/>
    </row>
    <row r="1697" spans="10:11">
      <c r="J1697" s="100" t="str">
        <f t="shared" si="101"/>
        <v/>
      </c>
      <c r="K1697" s="100" t="str">
        <f t="shared" si="102"/>
        <v/>
      </c>
    </row>
    <row r="1698" spans="10:11">
      <c r="J1698" s="100" t="str">
        <f t="shared" si="101"/>
        <v/>
      </c>
      <c r="K1698" s="100" t="str">
        <f t="shared" si="102"/>
        <v/>
      </c>
    </row>
    <row r="1699" spans="10:11">
      <c r="J1699" s="100" t="str">
        <f t="shared" si="101"/>
        <v/>
      </c>
      <c r="K1699" s="100" t="str">
        <f t="shared" si="102"/>
        <v/>
      </c>
    </row>
    <row r="1700" spans="10:11">
      <c r="J1700" s="100" t="str">
        <f t="shared" si="101"/>
        <v/>
      </c>
      <c r="K1700" s="100" t="str">
        <f t="shared" si="102"/>
        <v/>
      </c>
    </row>
    <row r="1701" spans="10:11">
      <c r="J1701" s="100" t="str">
        <f t="shared" si="101"/>
        <v/>
      </c>
      <c r="K1701" s="100" t="str">
        <f t="shared" si="102"/>
        <v/>
      </c>
    </row>
    <row r="1702" spans="10:11">
      <c r="J1702" s="100" t="str">
        <f t="shared" si="101"/>
        <v/>
      </c>
      <c r="K1702" s="100" t="str">
        <f t="shared" si="102"/>
        <v/>
      </c>
    </row>
    <row r="1703" spans="10:11">
      <c r="J1703" s="100" t="str">
        <f t="shared" si="101"/>
        <v/>
      </c>
      <c r="K1703" s="100" t="str">
        <f t="shared" si="102"/>
        <v/>
      </c>
    </row>
    <row r="1704" spans="10:11">
      <c r="J1704" s="100" t="str">
        <f t="shared" si="101"/>
        <v/>
      </c>
      <c r="K1704" s="100" t="str">
        <f t="shared" si="102"/>
        <v/>
      </c>
    </row>
    <row r="1705" spans="10:11">
      <c r="J1705" s="100" t="str">
        <f t="shared" si="101"/>
        <v/>
      </c>
      <c r="K1705" s="100" t="str">
        <f t="shared" si="102"/>
        <v/>
      </c>
    </row>
    <row r="1706" spans="10:11">
      <c r="J1706" s="100" t="str">
        <f t="shared" si="101"/>
        <v/>
      </c>
      <c r="K1706" s="100" t="str">
        <f t="shared" si="102"/>
        <v/>
      </c>
    </row>
    <row r="1707" spans="10:11">
      <c r="J1707" s="100" t="str">
        <f t="shared" si="101"/>
        <v/>
      </c>
      <c r="K1707" s="100" t="str">
        <f t="shared" si="102"/>
        <v/>
      </c>
    </row>
    <row r="1708" spans="10:11">
      <c r="J1708" s="100" t="str">
        <f t="shared" si="101"/>
        <v/>
      </c>
      <c r="K1708" s="100" t="str">
        <f t="shared" si="102"/>
        <v/>
      </c>
    </row>
    <row r="1709" spans="10:11">
      <c r="J1709" s="100" t="str">
        <f t="shared" si="101"/>
        <v/>
      </c>
      <c r="K1709" s="100" t="str">
        <f t="shared" si="102"/>
        <v/>
      </c>
    </row>
    <row r="1710" spans="10:11">
      <c r="J1710" s="100" t="str">
        <f t="shared" si="101"/>
        <v/>
      </c>
      <c r="K1710" s="100" t="str">
        <f t="shared" si="102"/>
        <v/>
      </c>
    </row>
    <row r="1711" spans="10:11">
      <c r="J1711" s="100" t="str">
        <f t="shared" si="101"/>
        <v/>
      </c>
      <c r="K1711" s="100" t="str">
        <f t="shared" si="102"/>
        <v/>
      </c>
    </row>
    <row r="1712" spans="10:11">
      <c r="J1712" s="100" t="str">
        <f t="shared" si="101"/>
        <v/>
      </c>
      <c r="K1712" s="100" t="str">
        <f t="shared" si="102"/>
        <v/>
      </c>
    </row>
    <row r="1713" spans="10:11">
      <c r="J1713" s="100" t="str">
        <f t="shared" si="101"/>
        <v/>
      </c>
      <c r="K1713" s="100" t="str">
        <f t="shared" si="102"/>
        <v/>
      </c>
    </row>
    <row r="1714" spans="10:11">
      <c r="J1714" s="100" t="str">
        <f t="shared" si="101"/>
        <v/>
      </c>
      <c r="K1714" s="100" t="str">
        <f t="shared" si="102"/>
        <v/>
      </c>
    </row>
    <row r="1715" spans="10:11">
      <c r="J1715" s="100" t="str">
        <f t="shared" si="101"/>
        <v/>
      </c>
      <c r="K1715" s="100" t="str">
        <f t="shared" si="102"/>
        <v/>
      </c>
    </row>
    <row r="1716" spans="10:11">
      <c r="J1716" s="100" t="str">
        <f t="shared" si="101"/>
        <v/>
      </c>
      <c r="K1716" s="100" t="str">
        <f t="shared" si="102"/>
        <v/>
      </c>
    </row>
    <row r="1717" spans="10:11">
      <c r="J1717" s="100" t="str">
        <f t="shared" si="101"/>
        <v/>
      </c>
      <c r="K1717" s="100" t="str">
        <f t="shared" si="102"/>
        <v/>
      </c>
    </row>
    <row r="1718" spans="10:11">
      <c r="J1718" s="100" t="str">
        <f t="shared" si="101"/>
        <v/>
      </c>
      <c r="K1718" s="100" t="str">
        <f t="shared" si="102"/>
        <v/>
      </c>
    </row>
    <row r="1719" spans="10:11">
      <c r="J1719" s="100" t="str">
        <f t="shared" si="101"/>
        <v/>
      </c>
      <c r="K1719" s="100" t="str">
        <f t="shared" si="102"/>
        <v/>
      </c>
    </row>
    <row r="1720" spans="10:11">
      <c r="J1720" s="100" t="str">
        <f t="shared" si="101"/>
        <v/>
      </c>
      <c r="K1720" s="100" t="str">
        <f t="shared" si="102"/>
        <v/>
      </c>
    </row>
    <row r="1721" spans="10:11">
      <c r="J1721" s="100"/>
      <c r="K1721" s="100"/>
    </row>
    <row r="1722" spans="10:11">
      <c r="J1722" s="100" t="str">
        <f t="shared" si="101"/>
        <v/>
      </c>
      <c r="K1722" s="100" t="str">
        <f t="shared" si="102"/>
        <v/>
      </c>
    </row>
    <row r="1723" spans="10:11">
      <c r="J1723" s="100" t="str">
        <f t="shared" si="101"/>
        <v/>
      </c>
      <c r="K1723" s="100" t="str">
        <f t="shared" si="102"/>
        <v/>
      </c>
    </row>
    <row r="1724" spans="10:11">
      <c r="J1724" s="100" t="str">
        <f t="shared" si="101"/>
        <v/>
      </c>
      <c r="K1724" s="100" t="str">
        <f t="shared" si="102"/>
        <v/>
      </c>
    </row>
    <row r="1725" spans="10:11">
      <c r="J1725" s="100" t="str">
        <f t="shared" si="101"/>
        <v/>
      </c>
      <c r="K1725" s="100" t="str">
        <f t="shared" si="102"/>
        <v/>
      </c>
    </row>
    <row r="1726" spans="10:11">
      <c r="J1726" s="100" t="str">
        <f t="shared" si="101"/>
        <v/>
      </c>
      <c r="K1726" s="100" t="str">
        <f t="shared" si="102"/>
        <v/>
      </c>
    </row>
    <row r="1727" spans="10:11">
      <c r="J1727" s="100" t="str">
        <f t="shared" si="101"/>
        <v/>
      </c>
      <c r="K1727" s="100" t="str">
        <f t="shared" si="102"/>
        <v/>
      </c>
    </row>
    <row r="1728" spans="10:11">
      <c r="J1728" s="100" t="str">
        <f t="shared" si="101"/>
        <v/>
      </c>
      <c r="K1728" s="100" t="str">
        <f t="shared" si="102"/>
        <v/>
      </c>
    </row>
    <row r="1729" spans="10:11">
      <c r="J1729" s="100" t="str">
        <f t="shared" si="101"/>
        <v/>
      </c>
      <c r="K1729" s="100" t="str">
        <f t="shared" si="102"/>
        <v/>
      </c>
    </row>
    <row r="1730" spans="10:11">
      <c r="J1730" s="100" t="str">
        <f t="shared" si="101"/>
        <v/>
      </c>
      <c r="K1730" s="100" t="str">
        <f t="shared" si="102"/>
        <v/>
      </c>
    </row>
    <row r="1731" spans="10:11">
      <c r="J1731" s="100" t="str">
        <f t="shared" si="101"/>
        <v/>
      </c>
      <c r="K1731" s="100" t="str">
        <f t="shared" si="102"/>
        <v/>
      </c>
    </row>
    <row r="1732" spans="10:11">
      <c r="J1732" s="100" t="str">
        <f t="shared" si="101"/>
        <v/>
      </c>
      <c r="K1732" s="100" t="str">
        <f t="shared" si="102"/>
        <v/>
      </c>
    </row>
    <row r="1733" spans="10:11">
      <c r="J1733" s="100" t="str">
        <f t="shared" si="101"/>
        <v/>
      </c>
      <c r="K1733" s="100" t="str">
        <f t="shared" si="102"/>
        <v/>
      </c>
    </row>
    <row r="1734" spans="10:11">
      <c r="J1734" s="100" t="str">
        <f t="shared" si="101"/>
        <v/>
      </c>
      <c r="K1734" s="100" t="str">
        <f t="shared" si="102"/>
        <v/>
      </c>
    </row>
    <row r="1735" spans="10:11">
      <c r="J1735" s="100" t="str">
        <f t="shared" si="101"/>
        <v/>
      </c>
      <c r="K1735" s="100" t="str">
        <f t="shared" si="102"/>
        <v/>
      </c>
    </row>
    <row r="1736" spans="10:11">
      <c r="J1736" s="100" t="str">
        <f t="shared" si="101"/>
        <v/>
      </c>
      <c r="K1736" s="100" t="str">
        <f t="shared" si="102"/>
        <v/>
      </c>
    </row>
    <row r="1737" spans="10:11">
      <c r="J1737" s="100" t="str">
        <f t="shared" si="101"/>
        <v/>
      </c>
      <c r="K1737" s="100" t="str">
        <f t="shared" si="102"/>
        <v/>
      </c>
    </row>
    <row r="1738" spans="10:11">
      <c r="J1738" s="100" t="str">
        <f t="shared" si="101"/>
        <v/>
      </c>
      <c r="K1738" s="100" t="str">
        <f t="shared" si="102"/>
        <v/>
      </c>
    </row>
    <row r="1739" spans="10:11">
      <c r="J1739" s="100" t="str">
        <f t="shared" si="101"/>
        <v/>
      </c>
      <c r="K1739" s="100" t="str">
        <f t="shared" si="102"/>
        <v/>
      </c>
    </row>
    <row r="1740" spans="10:11">
      <c r="J1740" s="100"/>
      <c r="K1740" s="100"/>
    </row>
    <row r="1741" spans="10:11">
      <c r="J1741" s="100" t="str">
        <f t="shared" si="101"/>
        <v/>
      </c>
      <c r="K1741" s="100" t="str">
        <f t="shared" si="102"/>
        <v/>
      </c>
    </row>
    <row r="1742" spans="10:11">
      <c r="J1742" s="100" t="str">
        <f t="shared" si="101"/>
        <v/>
      </c>
      <c r="K1742" s="100" t="str">
        <f t="shared" si="102"/>
        <v/>
      </c>
    </row>
    <row r="1743" spans="10:11">
      <c r="J1743" s="100" t="str">
        <f t="shared" si="101"/>
        <v/>
      </c>
      <c r="K1743" s="100" t="str">
        <f t="shared" si="102"/>
        <v/>
      </c>
    </row>
    <row r="1744" spans="10:11">
      <c r="J1744" s="100" t="str">
        <f t="shared" si="101"/>
        <v/>
      </c>
      <c r="K1744" s="100" t="str">
        <f t="shared" si="102"/>
        <v/>
      </c>
    </row>
    <row r="1745" spans="10:11">
      <c r="J1745" s="100" t="str">
        <f t="shared" si="101"/>
        <v/>
      </c>
      <c r="K1745" s="100" t="str">
        <f t="shared" si="102"/>
        <v/>
      </c>
    </row>
    <row r="1746" spans="10:11">
      <c r="J1746" s="100" t="str">
        <f t="shared" si="101"/>
        <v/>
      </c>
      <c r="K1746" s="100" t="str">
        <f t="shared" si="102"/>
        <v/>
      </c>
    </row>
    <row r="1747" spans="10:11">
      <c r="J1747" s="100" t="str">
        <f t="shared" si="101"/>
        <v/>
      </c>
      <c r="K1747" s="100" t="str">
        <f t="shared" si="102"/>
        <v/>
      </c>
    </row>
    <row r="1748" spans="10:11">
      <c r="J1748" s="100" t="str">
        <f t="shared" si="101"/>
        <v/>
      </c>
      <c r="K1748" s="100" t="str">
        <f t="shared" si="102"/>
        <v/>
      </c>
    </row>
    <row r="1749" spans="10:11">
      <c r="J1749" s="100" t="str">
        <f t="shared" si="101"/>
        <v/>
      </c>
      <c r="K1749" s="100" t="str">
        <f t="shared" si="102"/>
        <v/>
      </c>
    </row>
    <row r="1750" spans="10:11">
      <c r="J1750" s="100" t="str">
        <f t="shared" si="101"/>
        <v/>
      </c>
      <c r="K1750" s="100" t="str">
        <f t="shared" si="102"/>
        <v/>
      </c>
    </row>
    <row r="1751" spans="10:11">
      <c r="J1751" s="100" t="str">
        <f t="shared" ref="J1751:J1817" si="103">C1751&amp;D1751&amp;G1751</f>
        <v/>
      </c>
      <c r="K1751" s="100" t="str">
        <f t="shared" ref="K1751:K1817" si="104">C1751&amp;D1751&amp;H1751</f>
        <v/>
      </c>
    </row>
    <row r="1752" spans="10:11">
      <c r="J1752" s="100" t="str">
        <f t="shared" si="103"/>
        <v/>
      </c>
      <c r="K1752" s="100" t="str">
        <f t="shared" si="104"/>
        <v/>
      </c>
    </row>
    <row r="1753" spans="10:11">
      <c r="J1753" s="100" t="str">
        <f t="shared" si="103"/>
        <v/>
      </c>
      <c r="K1753" s="100" t="str">
        <f t="shared" si="104"/>
        <v/>
      </c>
    </row>
    <row r="1754" spans="10:11">
      <c r="J1754" s="100" t="str">
        <f t="shared" si="103"/>
        <v/>
      </c>
      <c r="K1754" s="100" t="str">
        <f t="shared" si="104"/>
        <v/>
      </c>
    </row>
    <row r="1755" spans="10:11">
      <c r="J1755" s="100" t="str">
        <f t="shared" si="103"/>
        <v/>
      </c>
      <c r="K1755" s="100" t="str">
        <f t="shared" si="104"/>
        <v/>
      </c>
    </row>
    <row r="1756" spans="10:11">
      <c r="J1756" s="100" t="str">
        <f t="shared" si="103"/>
        <v/>
      </c>
      <c r="K1756" s="100" t="str">
        <f t="shared" si="104"/>
        <v/>
      </c>
    </row>
    <row r="1757" spans="10:11">
      <c r="J1757" s="100" t="str">
        <f t="shared" si="103"/>
        <v/>
      </c>
      <c r="K1757" s="100" t="str">
        <f t="shared" si="104"/>
        <v/>
      </c>
    </row>
    <row r="1758" spans="10:11">
      <c r="J1758" s="100" t="str">
        <f t="shared" si="103"/>
        <v/>
      </c>
      <c r="K1758" s="100" t="str">
        <f t="shared" si="104"/>
        <v/>
      </c>
    </row>
    <row r="1759" spans="10:11">
      <c r="J1759" s="100" t="str">
        <f t="shared" si="103"/>
        <v/>
      </c>
      <c r="K1759" s="100" t="str">
        <f t="shared" si="104"/>
        <v/>
      </c>
    </row>
    <row r="1760" spans="10:11">
      <c r="J1760" s="100" t="str">
        <f t="shared" si="103"/>
        <v/>
      </c>
      <c r="K1760" s="100" t="str">
        <f t="shared" si="104"/>
        <v/>
      </c>
    </row>
    <row r="1761" spans="10:11">
      <c r="J1761" s="100" t="str">
        <f t="shared" si="103"/>
        <v/>
      </c>
      <c r="K1761" s="100" t="str">
        <f t="shared" si="104"/>
        <v/>
      </c>
    </row>
    <row r="1762" spans="10:11">
      <c r="J1762" s="100"/>
      <c r="K1762" s="100"/>
    </row>
    <row r="1763" spans="10:11">
      <c r="J1763" s="100" t="str">
        <f t="shared" si="103"/>
        <v/>
      </c>
      <c r="K1763" s="100" t="str">
        <f t="shared" si="104"/>
        <v/>
      </c>
    </row>
    <row r="1764" spans="10:11">
      <c r="J1764" s="100" t="str">
        <f t="shared" si="103"/>
        <v/>
      </c>
      <c r="K1764" s="100" t="str">
        <f t="shared" si="104"/>
        <v/>
      </c>
    </row>
    <row r="1765" spans="10:11">
      <c r="J1765" s="100" t="str">
        <f t="shared" si="103"/>
        <v/>
      </c>
      <c r="K1765" s="100" t="str">
        <f t="shared" si="104"/>
        <v/>
      </c>
    </row>
    <row r="1766" spans="10:11">
      <c r="J1766" s="100" t="str">
        <f t="shared" si="103"/>
        <v/>
      </c>
      <c r="K1766" s="100" t="str">
        <f t="shared" si="104"/>
        <v/>
      </c>
    </row>
    <row r="1767" spans="10:11">
      <c r="J1767" s="100" t="str">
        <f t="shared" si="103"/>
        <v/>
      </c>
      <c r="K1767" s="100" t="str">
        <f t="shared" si="104"/>
        <v/>
      </c>
    </row>
    <row r="1768" spans="10:11">
      <c r="J1768" s="100" t="str">
        <f t="shared" si="103"/>
        <v/>
      </c>
      <c r="K1768" s="100" t="str">
        <f t="shared" si="104"/>
        <v/>
      </c>
    </row>
    <row r="1769" spans="10:11">
      <c r="J1769" s="100" t="str">
        <f t="shared" si="103"/>
        <v/>
      </c>
      <c r="K1769" s="100" t="str">
        <f t="shared" si="104"/>
        <v/>
      </c>
    </row>
    <row r="1770" spans="10:11">
      <c r="J1770" s="100" t="str">
        <f t="shared" si="103"/>
        <v/>
      </c>
      <c r="K1770" s="100" t="str">
        <f t="shared" si="104"/>
        <v/>
      </c>
    </row>
    <row r="1771" spans="10:11">
      <c r="J1771" s="100" t="str">
        <f t="shared" si="103"/>
        <v/>
      </c>
      <c r="K1771" s="100" t="str">
        <f t="shared" si="104"/>
        <v/>
      </c>
    </row>
    <row r="1772" spans="10:11">
      <c r="J1772" s="100" t="str">
        <f t="shared" si="103"/>
        <v/>
      </c>
      <c r="K1772" s="100" t="str">
        <f t="shared" si="104"/>
        <v/>
      </c>
    </row>
    <row r="1773" spans="10:11">
      <c r="J1773" s="100" t="str">
        <f t="shared" si="103"/>
        <v/>
      </c>
      <c r="K1773" s="100" t="str">
        <f t="shared" si="104"/>
        <v/>
      </c>
    </row>
    <row r="1774" spans="10:11">
      <c r="J1774" s="100" t="str">
        <f t="shared" si="103"/>
        <v/>
      </c>
      <c r="K1774" s="100" t="str">
        <f t="shared" si="104"/>
        <v/>
      </c>
    </row>
    <row r="1775" spans="10:11">
      <c r="J1775" s="100" t="str">
        <f t="shared" si="103"/>
        <v/>
      </c>
      <c r="K1775" s="100" t="str">
        <f t="shared" si="104"/>
        <v/>
      </c>
    </row>
    <row r="1776" spans="10:11">
      <c r="J1776" s="100" t="str">
        <f t="shared" si="103"/>
        <v/>
      </c>
      <c r="K1776" s="100" t="str">
        <f t="shared" si="104"/>
        <v/>
      </c>
    </row>
    <row r="1777" spans="10:11">
      <c r="J1777" s="100" t="str">
        <f t="shared" si="103"/>
        <v/>
      </c>
      <c r="K1777" s="100" t="str">
        <f t="shared" si="104"/>
        <v/>
      </c>
    </row>
    <row r="1778" spans="10:11">
      <c r="J1778" s="100" t="str">
        <f t="shared" si="103"/>
        <v/>
      </c>
      <c r="K1778" s="100" t="str">
        <f t="shared" si="104"/>
        <v/>
      </c>
    </row>
    <row r="1779" spans="10:11">
      <c r="J1779" s="100" t="str">
        <f t="shared" si="103"/>
        <v/>
      </c>
      <c r="K1779" s="100" t="str">
        <f t="shared" si="104"/>
        <v/>
      </c>
    </row>
    <row r="1780" spans="10:11">
      <c r="J1780" s="100" t="str">
        <f t="shared" si="103"/>
        <v/>
      </c>
      <c r="K1780" s="100" t="str">
        <f t="shared" si="104"/>
        <v/>
      </c>
    </row>
    <row r="1781" spans="10:11">
      <c r="J1781" s="100" t="str">
        <f t="shared" si="103"/>
        <v/>
      </c>
      <c r="K1781" s="100" t="str">
        <f t="shared" si="104"/>
        <v/>
      </c>
    </row>
    <row r="1782" spans="10:11">
      <c r="J1782" s="100" t="str">
        <f t="shared" si="103"/>
        <v/>
      </c>
      <c r="K1782" s="100" t="str">
        <f t="shared" si="104"/>
        <v/>
      </c>
    </row>
    <row r="1783" spans="10:11">
      <c r="J1783" s="100" t="str">
        <f t="shared" si="103"/>
        <v/>
      </c>
      <c r="K1783" s="100" t="str">
        <f t="shared" si="104"/>
        <v/>
      </c>
    </row>
    <row r="1784" spans="10:11">
      <c r="J1784" s="100" t="str">
        <f t="shared" si="103"/>
        <v/>
      </c>
      <c r="K1784" s="100" t="str">
        <f t="shared" si="104"/>
        <v/>
      </c>
    </row>
    <row r="1785" spans="10:11">
      <c r="J1785" s="100"/>
      <c r="K1785" s="100"/>
    </row>
    <row r="1786" spans="10:11">
      <c r="J1786" s="100" t="str">
        <f t="shared" si="103"/>
        <v/>
      </c>
      <c r="K1786" s="100" t="str">
        <f t="shared" si="104"/>
        <v/>
      </c>
    </row>
    <row r="1787" spans="10:11">
      <c r="J1787" s="100" t="str">
        <f t="shared" si="103"/>
        <v/>
      </c>
      <c r="K1787" s="100" t="str">
        <f t="shared" si="104"/>
        <v/>
      </c>
    </row>
    <row r="1788" spans="10:11">
      <c r="J1788" s="100" t="str">
        <f t="shared" si="103"/>
        <v/>
      </c>
      <c r="K1788" s="100" t="str">
        <f t="shared" si="104"/>
        <v/>
      </c>
    </row>
    <row r="1789" spans="10:11">
      <c r="J1789" s="100" t="str">
        <f t="shared" si="103"/>
        <v/>
      </c>
      <c r="K1789" s="100" t="str">
        <f t="shared" si="104"/>
        <v/>
      </c>
    </row>
    <row r="1790" spans="10:11">
      <c r="J1790" s="100" t="str">
        <f t="shared" si="103"/>
        <v/>
      </c>
      <c r="K1790" s="100" t="str">
        <f t="shared" si="104"/>
        <v/>
      </c>
    </row>
    <row r="1791" spans="10:11">
      <c r="J1791" s="100" t="str">
        <f t="shared" si="103"/>
        <v/>
      </c>
      <c r="K1791" s="100" t="str">
        <f t="shared" si="104"/>
        <v/>
      </c>
    </row>
    <row r="1792" spans="10:11">
      <c r="J1792" s="100" t="str">
        <f t="shared" si="103"/>
        <v/>
      </c>
      <c r="K1792" s="100" t="str">
        <f t="shared" si="104"/>
        <v/>
      </c>
    </row>
    <row r="1793" spans="10:11">
      <c r="J1793" s="100" t="str">
        <f t="shared" si="103"/>
        <v/>
      </c>
      <c r="K1793" s="100" t="str">
        <f t="shared" si="104"/>
        <v/>
      </c>
    </row>
    <row r="1794" spans="10:11">
      <c r="J1794" s="100" t="str">
        <f t="shared" si="103"/>
        <v/>
      </c>
      <c r="K1794" s="100" t="str">
        <f t="shared" si="104"/>
        <v/>
      </c>
    </row>
    <row r="1795" spans="10:11">
      <c r="J1795" s="100" t="str">
        <f t="shared" si="103"/>
        <v/>
      </c>
      <c r="K1795" s="100" t="str">
        <f t="shared" si="104"/>
        <v/>
      </c>
    </row>
    <row r="1796" spans="10:11">
      <c r="J1796" s="100" t="str">
        <f t="shared" si="103"/>
        <v/>
      </c>
      <c r="K1796" s="100" t="str">
        <f t="shared" si="104"/>
        <v/>
      </c>
    </row>
    <row r="1797" spans="10:11">
      <c r="J1797" s="100" t="str">
        <f t="shared" si="103"/>
        <v/>
      </c>
      <c r="K1797" s="100" t="str">
        <f t="shared" si="104"/>
        <v/>
      </c>
    </row>
    <row r="1798" spans="10:11">
      <c r="J1798" s="100" t="str">
        <f t="shared" si="103"/>
        <v/>
      </c>
      <c r="K1798" s="100" t="str">
        <f t="shared" si="104"/>
        <v/>
      </c>
    </row>
    <row r="1799" spans="10:11">
      <c r="J1799" s="100" t="str">
        <f t="shared" si="103"/>
        <v/>
      </c>
      <c r="K1799" s="100" t="str">
        <f t="shared" si="104"/>
        <v/>
      </c>
    </row>
    <row r="1800" spans="10:11">
      <c r="J1800" s="100" t="str">
        <f t="shared" si="103"/>
        <v/>
      </c>
      <c r="K1800" s="100" t="str">
        <f t="shared" si="104"/>
        <v/>
      </c>
    </row>
    <row r="1801" spans="10:11">
      <c r="J1801" s="100" t="str">
        <f t="shared" si="103"/>
        <v/>
      </c>
      <c r="K1801" s="100" t="str">
        <f t="shared" si="104"/>
        <v/>
      </c>
    </row>
    <row r="1802" spans="10:11">
      <c r="J1802" s="100" t="str">
        <f t="shared" si="103"/>
        <v/>
      </c>
      <c r="K1802" s="100" t="str">
        <f t="shared" si="104"/>
        <v/>
      </c>
    </row>
    <row r="1803" spans="10:11">
      <c r="J1803" s="100"/>
      <c r="K1803" s="100"/>
    </row>
    <row r="1804" spans="10:11">
      <c r="J1804" s="100" t="str">
        <f t="shared" si="103"/>
        <v/>
      </c>
      <c r="K1804" s="100" t="str">
        <f t="shared" si="104"/>
        <v/>
      </c>
    </row>
    <row r="1805" spans="10:11">
      <c r="J1805" s="100" t="str">
        <f t="shared" si="103"/>
        <v/>
      </c>
      <c r="K1805" s="100" t="str">
        <f t="shared" si="104"/>
        <v/>
      </c>
    </row>
    <row r="1806" spans="10:11">
      <c r="J1806" s="100" t="str">
        <f t="shared" si="103"/>
        <v/>
      </c>
      <c r="K1806" s="100" t="str">
        <f t="shared" si="104"/>
        <v/>
      </c>
    </row>
    <row r="1807" spans="10:11">
      <c r="J1807" s="100" t="str">
        <f t="shared" si="103"/>
        <v/>
      </c>
      <c r="K1807" s="100" t="str">
        <f t="shared" si="104"/>
        <v/>
      </c>
    </row>
    <row r="1808" spans="10:11">
      <c r="J1808" s="100" t="str">
        <f t="shared" si="103"/>
        <v/>
      </c>
      <c r="K1808" s="100" t="str">
        <f t="shared" si="104"/>
        <v/>
      </c>
    </row>
    <row r="1809" spans="10:11">
      <c r="J1809" s="100" t="str">
        <f t="shared" si="103"/>
        <v/>
      </c>
      <c r="K1809" s="100" t="str">
        <f t="shared" si="104"/>
        <v/>
      </c>
    </row>
    <row r="1810" spans="10:11">
      <c r="J1810" s="100" t="str">
        <f t="shared" si="103"/>
        <v/>
      </c>
      <c r="K1810" s="100" t="str">
        <f t="shared" si="104"/>
        <v/>
      </c>
    </row>
    <row r="1811" spans="10:11">
      <c r="J1811" s="100" t="str">
        <f t="shared" si="103"/>
        <v/>
      </c>
      <c r="K1811" s="100" t="str">
        <f t="shared" si="104"/>
        <v/>
      </c>
    </row>
    <row r="1812" spans="10:11">
      <c r="J1812" s="100" t="str">
        <f t="shared" si="103"/>
        <v/>
      </c>
      <c r="K1812" s="100" t="str">
        <f t="shared" si="104"/>
        <v/>
      </c>
    </row>
    <row r="1813" spans="10:11">
      <c r="J1813" s="100" t="str">
        <f t="shared" si="103"/>
        <v/>
      </c>
      <c r="K1813" s="100" t="str">
        <f t="shared" si="104"/>
        <v/>
      </c>
    </row>
    <row r="1814" spans="10:11">
      <c r="J1814" s="100" t="str">
        <f t="shared" si="103"/>
        <v/>
      </c>
      <c r="K1814" s="100" t="str">
        <f t="shared" si="104"/>
        <v/>
      </c>
    </row>
    <row r="1815" spans="10:11">
      <c r="J1815" s="100" t="str">
        <f t="shared" si="103"/>
        <v/>
      </c>
      <c r="K1815" s="100" t="str">
        <f t="shared" si="104"/>
        <v/>
      </c>
    </row>
    <row r="1816" spans="10:11">
      <c r="J1816" s="100" t="str">
        <f t="shared" si="103"/>
        <v/>
      </c>
      <c r="K1816" s="100" t="str">
        <f t="shared" si="104"/>
        <v/>
      </c>
    </row>
    <row r="1817" spans="10:11">
      <c r="J1817" s="100" t="str">
        <f t="shared" si="103"/>
        <v/>
      </c>
      <c r="K1817" s="100" t="str">
        <f t="shared" si="104"/>
        <v/>
      </c>
    </row>
    <row r="1818" spans="10:11">
      <c r="J1818" s="100" t="str">
        <f t="shared" ref="J1818:J1884" si="105">C1818&amp;D1818&amp;G1818</f>
        <v/>
      </c>
      <c r="K1818" s="100" t="str">
        <f t="shared" ref="K1818:K1884" si="106">C1818&amp;D1818&amp;H1818</f>
        <v/>
      </c>
    </row>
    <row r="1819" spans="10:11">
      <c r="J1819" s="100" t="str">
        <f t="shared" si="105"/>
        <v/>
      </c>
      <c r="K1819" s="100" t="str">
        <f t="shared" si="106"/>
        <v/>
      </c>
    </row>
    <row r="1820" spans="10:11">
      <c r="J1820" s="100" t="str">
        <f t="shared" si="105"/>
        <v/>
      </c>
      <c r="K1820" s="100" t="str">
        <f t="shared" si="106"/>
        <v/>
      </c>
    </row>
    <row r="1821" spans="10:11">
      <c r="J1821" s="100" t="str">
        <f t="shared" si="105"/>
        <v/>
      </c>
      <c r="K1821" s="100" t="str">
        <f t="shared" si="106"/>
        <v/>
      </c>
    </row>
    <row r="1822" spans="10:11">
      <c r="J1822" s="100"/>
      <c r="K1822" s="100"/>
    </row>
    <row r="1823" spans="10:11">
      <c r="J1823" s="100" t="str">
        <f t="shared" si="105"/>
        <v/>
      </c>
      <c r="K1823" s="100" t="str">
        <f t="shared" si="106"/>
        <v/>
      </c>
    </row>
    <row r="1824" spans="10:11">
      <c r="J1824" s="100" t="str">
        <f t="shared" si="105"/>
        <v/>
      </c>
      <c r="K1824" s="100" t="str">
        <f t="shared" si="106"/>
        <v/>
      </c>
    </row>
    <row r="1825" spans="10:11">
      <c r="J1825" s="100" t="str">
        <f t="shared" si="105"/>
        <v/>
      </c>
      <c r="K1825" s="100" t="str">
        <f t="shared" si="106"/>
        <v/>
      </c>
    </row>
    <row r="1826" spans="10:11">
      <c r="J1826" s="100" t="str">
        <f t="shared" si="105"/>
        <v/>
      </c>
      <c r="K1826" s="100" t="str">
        <f t="shared" si="106"/>
        <v/>
      </c>
    </row>
    <row r="1827" spans="10:11">
      <c r="J1827" s="100" t="str">
        <f t="shared" si="105"/>
        <v/>
      </c>
      <c r="K1827" s="100" t="str">
        <f t="shared" si="106"/>
        <v/>
      </c>
    </row>
    <row r="1828" spans="10:11">
      <c r="J1828" s="100" t="str">
        <f t="shared" si="105"/>
        <v/>
      </c>
      <c r="K1828" s="100" t="str">
        <f t="shared" si="106"/>
        <v/>
      </c>
    </row>
    <row r="1829" spans="10:11">
      <c r="J1829" s="100" t="str">
        <f t="shared" si="105"/>
        <v/>
      </c>
      <c r="K1829" s="100" t="str">
        <f t="shared" si="106"/>
        <v/>
      </c>
    </row>
    <row r="1830" spans="10:11">
      <c r="J1830" s="100" t="str">
        <f t="shared" si="105"/>
        <v/>
      </c>
      <c r="K1830" s="100" t="str">
        <f t="shared" si="106"/>
        <v/>
      </c>
    </row>
    <row r="1831" spans="10:11">
      <c r="J1831" s="100" t="str">
        <f t="shared" si="105"/>
        <v/>
      </c>
      <c r="K1831" s="100" t="str">
        <f t="shared" si="106"/>
        <v/>
      </c>
    </row>
    <row r="1832" spans="10:11">
      <c r="J1832" s="100" t="str">
        <f t="shared" si="105"/>
        <v/>
      </c>
      <c r="K1832" s="100" t="str">
        <f t="shared" si="106"/>
        <v/>
      </c>
    </row>
    <row r="1833" spans="10:11">
      <c r="J1833" s="100" t="str">
        <f t="shared" si="105"/>
        <v/>
      </c>
      <c r="K1833" s="100" t="str">
        <f t="shared" si="106"/>
        <v/>
      </c>
    </row>
    <row r="1834" spans="10:11">
      <c r="J1834" s="100" t="str">
        <f t="shared" si="105"/>
        <v/>
      </c>
      <c r="K1834" s="100" t="str">
        <f t="shared" si="106"/>
        <v/>
      </c>
    </row>
    <row r="1835" spans="10:11">
      <c r="J1835" s="100" t="str">
        <f t="shared" si="105"/>
        <v/>
      </c>
      <c r="K1835" s="100" t="str">
        <f t="shared" si="106"/>
        <v/>
      </c>
    </row>
    <row r="1836" spans="10:11">
      <c r="J1836" s="100" t="str">
        <f t="shared" si="105"/>
        <v/>
      </c>
      <c r="K1836" s="100" t="str">
        <f t="shared" si="106"/>
        <v/>
      </c>
    </row>
    <row r="1837" spans="10:11">
      <c r="J1837" s="100" t="str">
        <f t="shared" si="105"/>
        <v/>
      </c>
      <c r="K1837" s="100" t="str">
        <f t="shared" si="106"/>
        <v/>
      </c>
    </row>
    <row r="1838" spans="10:11">
      <c r="J1838" s="100" t="str">
        <f t="shared" si="105"/>
        <v/>
      </c>
      <c r="K1838" s="100" t="str">
        <f t="shared" si="106"/>
        <v/>
      </c>
    </row>
    <row r="1839" spans="10:11">
      <c r="J1839" s="100" t="str">
        <f t="shared" si="105"/>
        <v/>
      </c>
      <c r="K1839" s="100" t="str">
        <f t="shared" si="106"/>
        <v/>
      </c>
    </row>
    <row r="1840" spans="10:11">
      <c r="J1840" s="100" t="str">
        <f t="shared" si="105"/>
        <v/>
      </c>
      <c r="K1840" s="100" t="str">
        <f t="shared" si="106"/>
        <v/>
      </c>
    </row>
    <row r="1841" spans="10:11">
      <c r="J1841" s="100" t="str">
        <f t="shared" si="105"/>
        <v/>
      </c>
      <c r="K1841" s="100" t="str">
        <f t="shared" si="106"/>
        <v/>
      </c>
    </row>
    <row r="1842" spans="10:11">
      <c r="J1842" s="100" t="str">
        <f t="shared" si="105"/>
        <v/>
      </c>
      <c r="K1842" s="100" t="str">
        <f t="shared" si="106"/>
        <v/>
      </c>
    </row>
    <row r="1843" spans="10:11">
      <c r="J1843" s="100"/>
      <c r="K1843" s="100"/>
    </row>
    <row r="1844" spans="10:11">
      <c r="J1844" s="100" t="str">
        <f t="shared" si="105"/>
        <v/>
      </c>
      <c r="K1844" s="100" t="str">
        <f t="shared" si="106"/>
        <v/>
      </c>
    </row>
    <row r="1845" spans="10:11">
      <c r="J1845" s="100" t="str">
        <f t="shared" si="105"/>
        <v/>
      </c>
      <c r="K1845" s="100" t="str">
        <f t="shared" si="106"/>
        <v/>
      </c>
    </row>
    <row r="1846" spans="10:11">
      <c r="J1846" s="100" t="str">
        <f t="shared" si="105"/>
        <v/>
      </c>
      <c r="K1846" s="100" t="str">
        <f t="shared" si="106"/>
        <v/>
      </c>
    </row>
    <row r="1847" spans="10:11">
      <c r="J1847" s="100" t="str">
        <f t="shared" si="105"/>
        <v/>
      </c>
      <c r="K1847" s="100" t="str">
        <f t="shared" si="106"/>
        <v/>
      </c>
    </row>
    <row r="1848" spans="10:11">
      <c r="J1848" s="100" t="str">
        <f t="shared" si="105"/>
        <v/>
      </c>
      <c r="K1848" s="100" t="str">
        <f t="shared" si="106"/>
        <v/>
      </c>
    </row>
    <row r="1849" spans="10:11">
      <c r="J1849" s="100" t="str">
        <f t="shared" si="105"/>
        <v/>
      </c>
      <c r="K1849" s="100" t="str">
        <f t="shared" si="106"/>
        <v/>
      </c>
    </row>
    <row r="1850" spans="10:11">
      <c r="J1850" s="100" t="str">
        <f t="shared" si="105"/>
        <v/>
      </c>
      <c r="K1850" s="100" t="str">
        <f t="shared" si="106"/>
        <v/>
      </c>
    </row>
    <row r="1851" spans="10:11">
      <c r="J1851" s="100" t="str">
        <f t="shared" si="105"/>
        <v/>
      </c>
      <c r="K1851" s="100" t="str">
        <f t="shared" si="106"/>
        <v/>
      </c>
    </row>
    <row r="1852" spans="10:11">
      <c r="J1852" s="100" t="str">
        <f t="shared" si="105"/>
        <v/>
      </c>
      <c r="K1852" s="100" t="str">
        <f t="shared" si="106"/>
        <v/>
      </c>
    </row>
    <row r="1853" spans="10:11">
      <c r="J1853" s="100" t="str">
        <f t="shared" si="105"/>
        <v/>
      </c>
      <c r="K1853" s="100" t="str">
        <f t="shared" si="106"/>
        <v/>
      </c>
    </row>
    <row r="1854" spans="10:11">
      <c r="J1854" s="100" t="str">
        <f t="shared" si="105"/>
        <v/>
      </c>
      <c r="K1854" s="100" t="str">
        <f t="shared" si="106"/>
        <v/>
      </c>
    </row>
    <row r="1855" spans="10:11">
      <c r="J1855" s="100" t="str">
        <f t="shared" si="105"/>
        <v/>
      </c>
      <c r="K1855" s="100" t="str">
        <f t="shared" si="106"/>
        <v/>
      </c>
    </row>
    <row r="1856" spans="10:11">
      <c r="J1856" s="100" t="str">
        <f t="shared" si="105"/>
        <v/>
      </c>
      <c r="K1856" s="100" t="str">
        <f t="shared" si="106"/>
        <v/>
      </c>
    </row>
    <row r="1857" spans="10:11">
      <c r="J1857" s="100" t="str">
        <f t="shared" si="105"/>
        <v/>
      </c>
      <c r="K1857" s="100" t="str">
        <f t="shared" si="106"/>
        <v/>
      </c>
    </row>
    <row r="1858" spans="10:11">
      <c r="J1858" s="100" t="str">
        <f t="shared" si="105"/>
        <v/>
      </c>
      <c r="K1858" s="100" t="str">
        <f t="shared" si="106"/>
        <v/>
      </c>
    </row>
    <row r="1859" spans="10:11">
      <c r="J1859" s="100" t="str">
        <f t="shared" si="105"/>
        <v/>
      </c>
      <c r="K1859" s="100" t="str">
        <f t="shared" si="106"/>
        <v/>
      </c>
    </row>
    <row r="1860" spans="10:11">
      <c r="J1860" s="100" t="str">
        <f t="shared" si="105"/>
        <v/>
      </c>
      <c r="K1860" s="100" t="str">
        <f t="shared" si="106"/>
        <v/>
      </c>
    </row>
    <row r="1861" spans="10:11">
      <c r="J1861" s="100" t="str">
        <f t="shared" si="105"/>
        <v/>
      </c>
      <c r="K1861" s="100" t="str">
        <f t="shared" si="106"/>
        <v/>
      </c>
    </row>
    <row r="1862" spans="10:11">
      <c r="J1862" s="100" t="str">
        <f t="shared" si="105"/>
        <v/>
      </c>
      <c r="K1862" s="100" t="str">
        <f t="shared" si="106"/>
        <v/>
      </c>
    </row>
    <row r="1863" spans="10:11">
      <c r="J1863" s="100" t="str">
        <f t="shared" si="105"/>
        <v/>
      </c>
      <c r="K1863" s="100" t="str">
        <f t="shared" si="106"/>
        <v/>
      </c>
    </row>
    <row r="1864" spans="10:11">
      <c r="J1864" s="100"/>
      <c r="K1864" s="100"/>
    </row>
    <row r="1865" spans="10:11">
      <c r="J1865" s="100" t="str">
        <f t="shared" si="105"/>
        <v/>
      </c>
      <c r="K1865" s="100" t="str">
        <f t="shared" si="106"/>
        <v/>
      </c>
    </row>
    <row r="1866" spans="10:11">
      <c r="J1866" s="100" t="str">
        <f t="shared" si="105"/>
        <v/>
      </c>
      <c r="K1866" s="100" t="str">
        <f t="shared" si="106"/>
        <v/>
      </c>
    </row>
    <row r="1867" spans="10:11">
      <c r="J1867" s="100" t="str">
        <f t="shared" si="105"/>
        <v/>
      </c>
      <c r="K1867" s="100" t="str">
        <f t="shared" si="106"/>
        <v/>
      </c>
    </row>
    <row r="1868" spans="10:11">
      <c r="J1868" s="100" t="str">
        <f t="shared" si="105"/>
        <v/>
      </c>
      <c r="K1868" s="100" t="str">
        <f t="shared" si="106"/>
        <v/>
      </c>
    </row>
    <row r="1869" spans="10:11">
      <c r="J1869" s="100" t="str">
        <f t="shared" si="105"/>
        <v/>
      </c>
      <c r="K1869" s="100" t="str">
        <f t="shared" si="106"/>
        <v/>
      </c>
    </row>
    <row r="1870" spans="10:11">
      <c r="J1870" s="100" t="str">
        <f t="shared" si="105"/>
        <v/>
      </c>
      <c r="K1870" s="100" t="str">
        <f t="shared" si="106"/>
        <v/>
      </c>
    </row>
    <row r="1871" spans="10:11">
      <c r="J1871" s="100" t="str">
        <f t="shared" si="105"/>
        <v/>
      </c>
      <c r="K1871" s="100" t="str">
        <f t="shared" si="106"/>
        <v/>
      </c>
    </row>
    <row r="1872" spans="10:11">
      <c r="J1872" s="100" t="str">
        <f t="shared" si="105"/>
        <v/>
      </c>
      <c r="K1872" s="100" t="str">
        <f t="shared" si="106"/>
        <v/>
      </c>
    </row>
    <row r="1873" spans="10:11">
      <c r="J1873" s="100" t="str">
        <f t="shared" si="105"/>
        <v/>
      </c>
      <c r="K1873" s="100" t="str">
        <f t="shared" si="106"/>
        <v/>
      </c>
    </row>
    <row r="1874" spans="10:11">
      <c r="J1874" s="100" t="str">
        <f t="shared" si="105"/>
        <v/>
      </c>
      <c r="K1874" s="100" t="str">
        <f t="shared" si="106"/>
        <v/>
      </c>
    </row>
    <row r="1875" spans="10:11">
      <c r="J1875" s="100" t="str">
        <f t="shared" si="105"/>
        <v/>
      </c>
      <c r="K1875" s="100" t="str">
        <f t="shared" si="106"/>
        <v/>
      </c>
    </row>
    <row r="1876" spans="10:11">
      <c r="J1876" s="100" t="str">
        <f t="shared" si="105"/>
        <v/>
      </c>
      <c r="K1876" s="100" t="str">
        <f t="shared" si="106"/>
        <v/>
      </c>
    </row>
    <row r="1877" spans="10:11">
      <c r="J1877" s="100" t="str">
        <f t="shared" si="105"/>
        <v/>
      </c>
      <c r="K1877" s="100" t="str">
        <f t="shared" si="106"/>
        <v/>
      </c>
    </row>
    <row r="1878" spans="10:11">
      <c r="J1878" s="100" t="str">
        <f t="shared" si="105"/>
        <v/>
      </c>
      <c r="K1878" s="100" t="str">
        <f t="shared" si="106"/>
        <v/>
      </c>
    </row>
    <row r="1879" spans="10:11">
      <c r="J1879" s="100" t="str">
        <f t="shared" si="105"/>
        <v/>
      </c>
      <c r="K1879" s="100" t="str">
        <f t="shared" si="106"/>
        <v/>
      </c>
    </row>
    <row r="1880" spans="10:11">
      <c r="J1880" s="100" t="str">
        <f t="shared" si="105"/>
        <v/>
      </c>
      <c r="K1880" s="100" t="str">
        <f t="shared" si="106"/>
        <v/>
      </c>
    </row>
    <row r="1881" spans="10:11">
      <c r="J1881" s="100" t="str">
        <f t="shared" si="105"/>
        <v/>
      </c>
      <c r="K1881" s="100" t="str">
        <f t="shared" si="106"/>
        <v/>
      </c>
    </row>
    <row r="1882" spans="10:11">
      <c r="J1882" s="100" t="str">
        <f t="shared" si="105"/>
        <v/>
      </c>
      <c r="K1882" s="100" t="str">
        <f t="shared" si="106"/>
        <v/>
      </c>
    </row>
    <row r="1883" spans="10:11">
      <c r="J1883" s="100" t="str">
        <f t="shared" si="105"/>
        <v/>
      </c>
      <c r="K1883" s="100" t="str">
        <f t="shared" si="106"/>
        <v/>
      </c>
    </row>
    <row r="1884" spans="10:11">
      <c r="J1884" s="100" t="str">
        <f t="shared" si="105"/>
        <v/>
      </c>
      <c r="K1884" s="100" t="str">
        <f t="shared" si="106"/>
        <v/>
      </c>
    </row>
    <row r="1885" spans="10:11">
      <c r="J1885" s="100"/>
      <c r="K1885" s="100"/>
    </row>
    <row r="1886" spans="10:11">
      <c r="J1886" s="100" t="str">
        <f t="shared" ref="J1886:J1907" si="107">C1886&amp;D1886&amp;G1886</f>
        <v/>
      </c>
      <c r="K1886" s="100" t="str">
        <f t="shared" ref="K1886:K1907" si="108">C1886&amp;D1886&amp;H1886</f>
        <v/>
      </c>
    </row>
    <row r="1887" spans="10:11">
      <c r="J1887" s="100" t="str">
        <f t="shared" si="107"/>
        <v/>
      </c>
      <c r="K1887" s="100" t="str">
        <f t="shared" si="108"/>
        <v/>
      </c>
    </row>
    <row r="1888" spans="10:11">
      <c r="J1888" s="100" t="str">
        <f t="shared" si="107"/>
        <v/>
      </c>
      <c r="K1888" s="100" t="str">
        <f t="shared" si="108"/>
        <v/>
      </c>
    </row>
    <row r="1889" spans="10:11">
      <c r="J1889" s="100" t="str">
        <f t="shared" si="107"/>
        <v/>
      </c>
      <c r="K1889" s="100" t="str">
        <f t="shared" si="108"/>
        <v/>
      </c>
    </row>
    <row r="1890" spans="10:11">
      <c r="J1890" s="100" t="str">
        <f t="shared" si="107"/>
        <v/>
      </c>
      <c r="K1890" s="100" t="str">
        <f t="shared" si="108"/>
        <v/>
      </c>
    </row>
    <row r="1891" spans="10:11">
      <c r="J1891" s="100" t="str">
        <f t="shared" si="107"/>
        <v/>
      </c>
      <c r="K1891" s="100" t="str">
        <f t="shared" si="108"/>
        <v/>
      </c>
    </row>
    <row r="1892" spans="10:11">
      <c r="J1892" s="100" t="str">
        <f t="shared" si="107"/>
        <v/>
      </c>
      <c r="K1892" s="100" t="str">
        <f t="shared" si="108"/>
        <v/>
      </c>
    </row>
    <row r="1893" spans="10:11">
      <c r="J1893" s="100" t="str">
        <f t="shared" si="107"/>
        <v/>
      </c>
      <c r="K1893" s="100" t="str">
        <f t="shared" si="108"/>
        <v/>
      </c>
    </row>
    <row r="1894" spans="10:11">
      <c r="J1894" s="100" t="str">
        <f t="shared" si="107"/>
        <v/>
      </c>
      <c r="K1894" s="100" t="str">
        <f t="shared" si="108"/>
        <v/>
      </c>
    </row>
    <row r="1895" spans="10:11">
      <c r="J1895" s="100" t="str">
        <f t="shared" si="107"/>
        <v/>
      </c>
      <c r="K1895" s="100" t="str">
        <f t="shared" si="108"/>
        <v/>
      </c>
    </row>
    <row r="1896" spans="10:11">
      <c r="J1896" s="100" t="str">
        <f t="shared" si="107"/>
        <v/>
      </c>
      <c r="K1896" s="100" t="str">
        <f t="shared" si="108"/>
        <v/>
      </c>
    </row>
    <row r="1897" spans="10:11">
      <c r="J1897" s="100" t="str">
        <f t="shared" si="107"/>
        <v/>
      </c>
      <c r="K1897" s="100" t="str">
        <f t="shared" si="108"/>
        <v/>
      </c>
    </row>
    <row r="1898" spans="10:11">
      <c r="J1898" s="100" t="str">
        <f t="shared" si="107"/>
        <v/>
      </c>
      <c r="K1898" s="100" t="str">
        <f t="shared" si="108"/>
        <v/>
      </c>
    </row>
    <row r="1899" spans="10:11">
      <c r="J1899" s="100" t="str">
        <f t="shared" si="107"/>
        <v/>
      </c>
      <c r="K1899" s="100" t="str">
        <f t="shared" si="108"/>
        <v/>
      </c>
    </row>
    <row r="1900" spans="10:11">
      <c r="J1900" s="100" t="str">
        <f t="shared" si="107"/>
        <v/>
      </c>
      <c r="K1900" s="100" t="str">
        <f t="shared" si="108"/>
        <v/>
      </c>
    </row>
    <row r="1901" spans="10:11">
      <c r="J1901" s="100" t="str">
        <f t="shared" si="107"/>
        <v/>
      </c>
      <c r="K1901" s="100" t="str">
        <f t="shared" si="108"/>
        <v/>
      </c>
    </row>
    <row r="1902" spans="10:11">
      <c r="J1902" s="100" t="str">
        <f t="shared" si="107"/>
        <v/>
      </c>
      <c r="K1902" s="100" t="str">
        <f t="shared" si="108"/>
        <v/>
      </c>
    </row>
    <row r="1903" spans="10:11">
      <c r="J1903" s="100" t="str">
        <f t="shared" si="107"/>
        <v/>
      </c>
      <c r="K1903" s="100" t="str">
        <f t="shared" si="108"/>
        <v/>
      </c>
    </row>
    <row r="1904" spans="10:11">
      <c r="J1904" s="100" t="str">
        <f t="shared" si="107"/>
        <v/>
      </c>
      <c r="K1904" s="100" t="str">
        <f t="shared" si="108"/>
        <v/>
      </c>
    </row>
    <row r="1905" spans="10:11">
      <c r="J1905" s="100" t="str">
        <f t="shared" si="107"/>
        <v/>
      </c>
      <c r="K1905" s="100" t="str">
        <f t="shared" si="108"/>
        <v/>
      </c>
    </row>
    <row r="1906" spans="10:11">
      <c r="J1906" s="100" t="str">
        <f t="shared" si="107"/>
        <v/>
      </c>
      <c r="K1906" s="100" t="str">
        <f t="shared" si="108"/>
        <v/>
      </c>
    </row>
    <row r="1907" spans="10:11">
      <c r="J1907" s="100" t="str">
        <f t="shared" si="107"/>
        <v/>
      </c>
      <c r="K1907" s="100" t="str">
        <f t="shared" si="108"/>
        <v/>
      </c>
    </row>
    <row r="1908" spans="10:11">
      <c r="J1908" s="100"/>
      <c r="K1908" s="100"/>
    </row>
    <row r="1909" spans="10:11">
      <c r="J1909" s="100" t="str">
        <f t="shared" ref="J1909:J1972" si="109">C1909&amp;D1909&amp;G1909</f>
        <v/>
      </c>
      <c r="K1909" s="100" t="str">
        <f t="shared" ref="K1909:K1972" si="110">C1909&amp;D1909&amp;H1909</f>
        <v/>
      </c>
    </row>
    <row r="1910" spans="10:11">
      <c r="J1910" s="100" t="str">
        <f t="shared" si="109"/>
        <v/>
      </c>
      <c r="K1910" s="100" t="str">
        <f t="shared" si="110"/>
        <v/>
      </c>
    </row>
    <row r="1911" spans="10:11">
      <c r="J1911" s="100" t="str">
        <f t="shared" si="109"/>
        <v/>
      </c>
      <c r="K1911" s="100" t="str">
        <f t="shared" si="110"/>
        <v/>
      </c>
    </row>
    <row r="1912" spans="10:11">
      <c r="J1912" s="100" t="str">
        <f t="shared" si="109"/>
        <v/>
      </c>
      <c r="K1912" s="100" t="str">
        <f t="shared" si="110"/>
        <v/>
      </c>
    </row>
    <row r="1913" spans="10:11">
      <c r="J1913" s="100" t="str">
        <f t="shared" si="109"/>
        <v/>
      </c>
      <c r="K1913" s="100" t="str">
        <f t="shared" si="110"/>
        <v/>
      </c>
    </row>
    <row r="1914" spans="10:11">
      <c r="J1914" s="100" t="str">
        <f t="shared" si="109"/>
        <v/>
      </c>
      <c r="K1914" s="100" t="str">
        <f t="shared" si="110"/>
        <v/>
      </c>
    </row>
    <row r="1915" spans="10:11">
      <c r="J1915" s="100" t="str">
        <f t="shared" si="109"/>
        <v/>
      </c>
      <c r="K1915" s="100" t="str">
        <f t="shared" si="110"/>
        <v/>
      </c>
    </row>
    <row r="1916" spans="10:11">
      <c r="J1916" s="100" t="str">
        <f t="shared" si="109"/>
        <v/>
      </c>
      <c r="K1916" s="100" t="str">
        <f t="shared" si="110"/>
        <v/>
      </c>
    </row>
    <row r="1917" spans="10:11">
      <c r="J1917" s="100" t="str">
        <f t="shared" si="109"/>
        <v/>
      </c>
      <c r="K1917" s="100" t="str">
        <f t="shared" si="110"/>
        <v/>
      </c>
    </row>
    <row r="1918" spans="10:11">
      <c r="J1918" s="100" t="str">
        <f t="shared" si="109"/>
        <v/>
      </c>
      <c r="K1918" s="100" t="str">
        <f t="shared" si="110"/>
        <v/>
      </c>
    </row>
    <row r="1919" spans="10:11">
      <c r="J1919" s="100" t="str">
        <f t="shared" si="109"/>
        <v/>
      </c>
      <c r="K1919" s="100" t="str">
        <f t="shared" si="110"/>
        <v/>
      </c>
    </row>
    <row r="1920" spans="10:11">
      <c r="J1920" s="100" t="str">
        <f t="shared" si="109"/>
        <v/>
      </c>
      <c r="K1920" s="100" t="str">
        <f t="shared" si="110"/>
        <v/>
      </c>
    </row>
    <row r="1921" spans="10:11">
      <c r="J1921" s="100" t="str">
        <f t="shared" si="109"/>
        <v/>
      </c>
      <c r="K1921" s="100" t="str">
        <f t="shared" si="110"/>
        <v/>
      </c>
    </row>
    <row r="1922" spans="10:11">
      <c r="J1922" s="100" t="str">
        <f t="shared" si="109"/>
        <v/>
      </c>
      <c r="K1922" s="100" t="str">
        <f t="shared" si="110"/>
        <v/>
      </c>
    </row>
    <row r="1923" spans="10:11">
      <c r="J1923" s="100" t="str">
        <f t="shared" si="109"/>
        <v/>
      </c>
      <c r="K1923" s="100" t="str">
        <f t="shared" si="110"/>
        <v/>
      </c>
    </row>
    <row r="1924" spans="10:11">
      <c r="J1924" s="100" t="str">
        <f t="shared" si="109"/>
        <v/>
      </c>
      <c r="K1924" s="100" t="str">
        <f t="shared" si="110"/>
        <v/>
      </c>
    </row>
    <row r="1925" spans="10:11">
      <c r="J1925" s="100" t="str">
        <f t="shared" si="109"/>
        <v/>
      </c>
      <c r="K1925" s="100" t="str">
        <f t="shared" si="110"/>
        <v/>
      </c>
    </row>
    <row r="1926" spans="10:11">
      <c r="J1926" s="100" t="str">
        <f t="shared" si="109"/>
        <v/>
      </c>
      <c r="K1926" s="100" t="str">
        <f t="shared" si="110"/>
        <v/>
      </c>
    </row>
    <row r="1927" spans="10:11">
      <c r="J1927" s="100" t="str">
        <f t="shared" si="109"/>
        <v/>
      </c>
      <c r="K1927" s="100" t="str">
        <f t="shared" si="110"/>
        <v/>
      </c>
    </row>
    <row r="1928" spans="10:11">
      <c r="J1928" s="100" t="str">
        <f t="shared" si="109"/>
        <v/>
      </c>
      <c r="K1928" s="100" t="str">
        <f t="shared" si="110"/>
        <v/>
      </c>
    </row>
    <row r="1929" spans="10:11">
      <c r="J1929" s="100" t="str">
        <f t="shared" si="109"/>
        <v/>
      </c>
      <c r="K1929" s="100" t="str">
        <f t="shared" si="110"/>
        <v/>
      </c>
    </row>
    <row r="1930" spans="10:11">
      <c r="J1930" s="100" t="str">
        <f t="shared" si="109"/>
        <v/>
      </c>
      <c r="K1930" s="100" t="str">
        <f t="shared" si="110"/>
        <v/>
      </c>
    </row>
    <row r="1931" spans="10:11">
      <c r="J1931" s="100" t="str">
        <f t="shared" si="109"/>
        <v/>
      </c>
      <c r="K1931" s="100" t="str">
        <f t="shared" si="110"/>
        <v/>
      </c>
    </row>
    <row r="1932" spans="10:11">
      <c r="J1932" s="100" t="str">
        <f t="shared" si="109"/>
        <v/>
      </c>
      <c r="K1932" s="100" t="str">
        <f t="shared" si="110"/>
        <v/>
      </c>
    </row>
    <row r="1933" spans="10:11">
      <c r="J1933" s="100" t="str">
        <f t="shared" si="109"/>
        <v/>
      </c>
      <c r="K1933" s="100" t="str">
        <f t="shared" si="110"/>
        <v/>
      </c>
    </row>
    <row r="1934" spans="10:11">
      <c r="J1934" s="100" t="str">
        <f t="shared" si="109"/>
        <v/>
      </c>
      <c r="K1934" s="100" t="str">
        <f t="shared" si="110"/>
        <v/>
      </c>
    </row>
    <row r="1935" spans="10:11">
      <c r="J1935" s="100" t="str">
        <f t="shared" si="109"/>
        <v/>
      </c>
      <c r="K1935" s="100" t="str">
        <f t="shared" si="110"/>
        <v/>
      </c>
    </row>
    <row r="1936" spans="10:11">
      <c r="J1936" s="100" t="str">
        <f t="shared" si="109"/>
        <v/>
      </c>
      <c r="K1936" s="100" t="str">
        <f t="shared" si="110"/>
        <v/>
      </c>
    </row>
    <row r="1937" spans="10:11">
      <c r="J1937" s="100" t="str">
        <f t="shared" si="109"/>
        <v/>
      </c>
      <c r="K1937" s="100" t="str">
        <f t="shared" si="110"/>
        <v/>
      </c>
    </row>
    <row r="1938" spans="10:11">
      <c r="J1938" s="100" t="str">
        <f t="shared" si="109"/>
        <v/>
      </c>
      <c r="K1938" s="100" t="str">
        <f t="shared" si="110"/>
        <v/>
      </c>
    </row>
    <row r="1939" spans="10:11">
      <c r="J1939" s="100" t="str">
        <f t="shared" si="109"/>
        <v/>
      </c>
      <c r="K1939" s="100" t="str">
        <f t="shared" si="110"/>
        <v/>
      </c>
    </row>
    <row r="1940" spans="10:11">
      <c r="J1940" s="100" t="str">
        <f t="shared" si="109"/>
        <v/>
      </c>
      <c r="K1940" s="100" t="str">
        <f t="shared" si="110"/>
        <v/>
      </c>
    </row>
    <row r="1941" spans="10:11">
      <c r="J1941" s="100" t="str">
        <f t="shared" si="109"/>
        <v/>
      </c>
      <c r="K1941" s="100" t="str">
        <f t="shared" si="110"/>
        <v/>
      </c>
    </row>
    <row r="1942" spans="10:11">
      <c r="J1942" s="100" t="str">
        <f t="shared" si="109"/>
        <v/>
      </c>
      <c r="K1942" s="100" t="str">
        <f t="shared" si="110"/>
        <v/>
      </c>
    </row>
    <row r="1943" spans="10:11">
      <c r="J1943" s="100" t="str">
        <f t="shared" si="109"/>
        <v/>
      </c>
      <c r="K1943" s="100" t="str">
        <f t="shared" si="110"/>
        <v/>
      </c>
    </row>
    <row r="1944" spans="10:11">
      <c r="J1944" s="100" t="str">
        <f t="shared" si="109"/>
        <v/>
      </c>
      <c r="K1944" s="100" t="str">
        <f t="shared" si="110"/>
        <v/>
      </c>
    </row>
    <row r="1945" spans="10:11">
      <c r="J1945" s="100" t="str">
        <f t="shared" si="109"/>
        <v/>
      </c>
      <c r="K1945" s="100" t="str">
        <f t="shared" si="110"/>
        <v/>
      </c>
    </row>
    <row r="1946" spans="10:11">
      <c r="J1946" s="100" t="str">
        <f t="shared" si="109"/>
        <v/>
      </c>
      <c r="K1946" s="100" t="str">
        <f t="shared" si="110"/>
        <v/>
      </c>
    </row>
    <row r="1947" spans="10:11">
      <c r="J1947" s="100" t="str">
        <f t="shared" si="109"/>
        <v/>
      </c>
      <c r="K1947" s="100" t="str">
        <f t="shared" si="110"/>
        <v/>
      </c>
    </row>
    <row r="1948" spans="10:11">
      <c r="J1948" s="100" t="str">
        <f t="shared" si="109"/>
        <v/>
      </c>
      <c r="K1948" s="100" t="str">
        <f t="shared" si="110"/>
        <v/>
      </c>
    </row>
    <row r="1949" spans="10:11">
      <c r="J1949" s="100" t="str">
        <f t="shared" si="109"/>
        <v/>
      </c>
      <c r="K1949" s="100" t="str">
        <f t="shared" si="110"/>
        <v/>
      </c>
    </row>
    <row r="1950" spans="10:11">
      <c r="J1950" s="100" t="str">
        <f t="shared" si="109"/>
        <v/>
      </c>
      <c r="K1950" s="100" t="str">
        <f t="shared" si="110"/>
        <v/>
      </c>
    </row>
    <row r="1951" spans="10:11">
      <c r="J1951" s="100" t="str">
        <f t="shared" si="109"/>
        <v/>
      </c>
      <c r="K1951" s="100" t="str">
        <f t="shared" si="110"/>
        <v/>
      </c>
    </row>
    <row r="1952" spans="10:11">
      <c r="J1952" s="100" t="str">
        <f t="shared" si="109"/>
        <v/>
      </c>
      <c r="K1952" s="100" t="str">
        <f t="shared" si="110"/>
        <v/>
      </c>
    </row>
    <row r="1953" spans="10:11">
      <c r="J1953" s="100" t="str">
        <f t="shared" si="109"/>
        <v/>
      </c>
      <c r="K1953" s="100" t="str">
        <f t="shared" si="110"/>
        <v/>
      </c>
    </row>
    <row r="1954" spans="10:11">
      <c r="J1954" s="100" t="str">
        <f t="shared" si="109"/>
        <v/>
      </c>
      <c r="K1954" s="100" t="str">
        <f t="shared" si="110"/>
        <v/>
      </c>
    </row>
    <row r="1955" spans="10:11">
      <c r="J1955" s="100" t="str">
        <f t="shared" si="109"/>
        <v/>
      </c>
      <c r="K1955" s="100" t="str">
        <f t="shared" si="110"/>
        <v/>
      </c>
    </row>
    <row r="1956" spans="10:11">
      <c r="J1956" s="100" t="str">
        <f t="shared" si="109"/>
        <v/>
      </c>
      <c r="K1956" s="100" t="str">
        <f t="shared" si="110"/>
        <v/>
      </c>
    </row>
    <row r="1957" spans="10:11">
      <c r="J1957" s="100" t="str">
        <f t="shared" si="109"/>
        <v/>
      </c>
      <c r="K1957" s="100" t="str">
        <f t="shared" si="110"/>
        <v/>
      </c>
    </row>
    <row r="1958" spans="10:11">
      <c r="J1958" s="100" t="str">
        <f t="shared" si="109"/>
        <v/>
      </c>
      <c r="K1958" s="100" t="str">
        <f t="shared" si="110"/>
        <v/>
      </c>
    </row>
    <row r="1959" spans="10:11">
      <c r="J1959" s="100" t="str">
        <f t="shared" si="109"/>
        <v/>
      </c>
      <c r="K1959" s="100" t="str">
        <f t="shared" si="110"/>
        <v/>
      </c>
    </row>
    <row r="1960" spans="10:11">
      <c r="J1960" s="100" t="str">
        <f t="shared" si="109"/>
        <v/>
      </c>
      <c r="K1960" s="100" t="str">
        <f t="shared" si="110"/>
        <v/>
      </c>
    </row>
    <row r="1961" spans="10:11">
      <c r="J1961" s="100" t="str">
        <f t="shared" si="109"/>
        <v/>
      </c>
      <c r="K1961" s="100" t="str">
        <f t="shared" si="110"/>
        <v/>
      </c>
    </row>
    <row r="1962" spans="10:11">
      <c r="J1962" s="100" t="str">
        <f t="shared" si="109"/>
        <v/>
      </c>
      <c r="K1962" s="100" t="str">
        <f t="shared" si="110"/>
        <v/>
      </c>
    </row>
    <row r="1963" spans="10:11">
      <c r="J1963" s="100" t="str">
        <f t="shared" si="109"/>
        <v/>
      </c>
      <c r="K1963" s="100" t="str">
        <f t="shared" si="110"/>
        <v/>
      </c>
    </row>
    <row r="1964" spans="10:11">
      <c r="J1964" s="100" t="str">
        <f t="shared" si="109"/>
        <v/>
      </c>
      <c r="K1964" s="100" t="str">
        <f t="shared" si="110"/>
        <v/>
      </c>
    </row>
    <row r="1965" spans="10:11">
      <c r="J1965" s="100" t="str">
        <f t="shared" si="109"/>
        <v/>
      </c>
      <c r="K1965" s="100" t="str">
        <f t="shared" si="110"/>
        <v/>
      </c>
    </row>
    <row r="1966" spans="10:11">
      <c r="J1966" s="100" t="str">
        <f t="shared" si="109"/>
        <v/>
      </c>
      <c r="K1966" s="100" t="str">
        <f t="shared" si="110"/>
        <v/>
      </c>
    </row>
    <row r="1967" spans="10:11">
      <c r="J1967" s="100" t="str">
        <f t="shared" si="109"/>
        <v/>
      </c>
      <c r="K1967" s="100" t="str">
        <f t="shared" si="110"/>
        <v/>
      </c>
    </row>
    <row r="1968" spans="10:11">
      <c r="J1968" s="100" t="str">
        <f t="shared" si="109"/>
        <v/>
      </c>
      <c r="K1968" s="100" t="str">
        <f t="shared" si="110"/>
        <v/>
      </c>
    </row>
    <row r="1969" spans="10:11">
      <c r="J1969" s="100" t="str">
        <f t="shared" si="109"/>
        <v/>
      </c>
      <c r="K1969" s="100" t="str">
        <f t="shared" si="110"/>
        <v/>
      </c>
    </row>
    <row r="1970" spans="10:11">
      <c r="J1970" s="100" t="str">
        <f t="shared" si="109"/>
        <v/>
      </c>
      <c r="K1970" s="100" t="str">
        <f t="shared" si="110"/>
        <v/>
      </c>
    </row>
    <row r="1971" spans="10:11">
      <c r="J1971" s="100" t="str">
        <f t="shared" si="109"/>
        <v/>
      </c>
      <c r="K1971" s="100" t="str">
        <f t="shared" si="110"/>
        <v/>
      </c>
    </row>
    <row r="1972" spans="10:11">
      <c r="J1972" s="100" t="str">
        <f t="shared" si="109"/>
        <v/>
      </c>
      <c r="K1972" s="100" t="str">
        <f t="shared" si="110"/>
        <v/>
      </c>
    </row>
    <row r="1973" spans="10:11">
      <c r="J1973" s="100" t="str">
        <f t="shared" ref="J1973:J2037" si="111">C1973&amp;D1973&amp;G1973</f>
        <v/>
      </c>
      <c r="K1973" s="100" t="str">
        <f t="shared" ref="K1973:K2037" si="112">C1973&amp;D1973&amp;H1973</f>
        <v/>
      </c>
    </row>
    <row r="1974" spans="10:11">
      <c r="J1974" s="100" t="str">
        <f t="shared" si="111"/>
        <v/>
      </c>
      <c r="K1974" s="100" t="str">
        <f t="shared" si="112"/>
        <v/>
      </c>
    </row>
    <row r="1975" spans="10:11">
      <c r="J1975" s="100" t="str">
        <f t="shared" si="111"/>
        <v/>
      </c>
      <c r="K1975" s="100" t="str">
        <f t="shared" si="112"/>
        <v/>
      </c>
    </row>
    <row r="1976" spans="10:11">
      <c r="J1976" s="100" t="str">
        <f t="shared" si="111"/>
        <v/>
      </c>
      <c r="K1976" s="100" t="str">
        <f t="shared" si="112"/>
        <v/>
      </c>
    </row>
    <row r="1977" spans="10:11">
      <c r="J1977" s="100" t="str">
        <f t="shared" si="111"/>
        <v/>
      </c>
      <c r="K1977" s="100" t="str">
        <f t="shared" si="112"/>
        <v/>
      </c>
    </row>
    <row r="1978" spans="10:11">
      <c r="J1978" s="100" t="str">
        <f t="shared" si="111"/>
        <v/>
      </c>
      <c r="K1978" s="100" t="str">
        <f t="shared" si="112"/>
        <v/>
      </c>
    </row>
    <row r="1979" spans="10:11">
      <c r="J1979" s="100" t="str">
        <f t="shared" si="111"/>
        <v/>
      </c>
      <c r="K1979" s="100" t="str">
        <f t="shared" si="112"/>
        <v/>
      </c>
    </row>
    <row r="1980" spans="10:11">
      <c r="J1980" s="100" t="str">
        <f t="shared" si="111"/>
        <v/>
      </c>
      <c r="K1980" s="100" t="str">
        <f t="shared" si="112"/>
        <v/>
      </c>
    </row>
    <row r="1981" spans="10:11">
      <c r="J1981" s="100" t="str">
        <f t="shared" si="111"/>
        <v/>
      </c>
      <c r="K1981" s="100" t="str">
        <f t="shared" si="112"/>
        <v/>
      </c>
    </row>
    <row r="1982" spans="10:11">
      <c r="J1982" s="100" t="str">
        <f t="shared" si="111"/>
        <v/>
      </c>
      <c r="K1982" s="100" t="str">
        <f t="shared" si="112"/>
        <v/>
      </c>
    </row>
    <row r="1983" spans="10:11">
      <c r="J1983" s="100" t="str">
        <f t="shared" si="111"/>
        <v/>
      </c>
      <c r="K1983" s="100" t="str">
        <f t="shared" si="112"/>
        <v/>
      </c>
    </row>
    <row r="1984" spans="10:11">
      <c r="J1984" s="100" t="str">
        <f t="shared" si="111"/>
        <v/>
      </c>
      <c r="K1984" s="100" t="str">
        <f t="shared" si="112"/>
        <v/>
      </c>
    </row>
    <row r="1985" spans="10:11">
      <c r="J1985" s="100" t="str">
        <f t="shared" si="111"/>
        <v/>
      </c>
      <c r="K1985" s="100" t="str">
        <f t="shared" si="112"/>
        <v/>
      </c>
    </row>
    <row r="1986" spans="10:11">
      <c r="J1986" s="100" t="str">
        <f t="shared" si="111"/>
        <v/>
      </c>
      <c r="K1986" s="100" t="str">
        <f t="shared" si="112"/>
        <v/>
      </c>
    </row>
    <row r="1987" spans="10:11">
      <c r="J1987" s="100" t="str">
        <f t="shared" si="111"/>
        <v/>
      </c>
      <c r="K1987" s="100" t="str">
        <f t="shared" si="112"/>
        <v/>
      </c>
    </row>
    <row r="1988" spans="10:11">
      <c r="J1988" s="100" t="str">
        <f t="shared" si="111"/>
        <v/>
      </c>
      <c r="K1988" s="100" t="str">
        <f t="shared" si="112"/>
        <v/>
      </c>
    </row>
    <row r="1989" spans="10:11">
      <c r="J1989" s="100" t="str">
        <f t="shared" si="111"/>
        <v/>
      </c>
      <c r="K1989" s="100" t="str">
        <f t="shared" si="112"/>
        <v/>
      </c>
    </row>
    <row r="1990" spans="10:11">
      <c r="J1990" s="100" t="str">
        <f t="shared" si="111"/>
        <v/>
      </c>
      <c r="K1990" s="100" t="str">
        <f t="shared" si="112"/>
        <v/>
      </c>
    </row>
    <row r="1991" spans="10:11">
      <c r="J1991" s="100" t="str">
        <f t="shared" si="111"/>
        <v/>
      </c>
      <c r="K1991" s="100" t="str">
        <f t="shared" si="112"/>
        <v/>
      </c>
    </row>
    <row r="1992" spans="10:11">
      <c r="J1992" s="100" t="str">
        <f t="shared" si="111"/>
        <v/>
      </c>
      <c r="K1992" s="100" t="str">
        <f t="shared" si="112"/>
        <v/>
      </c>
    </row>
    <row r="1993" spans="10:11">
      <c r="J1993" s="100" t="str">
        <f t="shared" si="111"/>
        <v/>
      </c>
      <c r="K1993" s="100" t="str">
        <f t="shared" si="112"/>
        <v/>
      </c>
    </row>
    <row r="1994" spans="10:11">
      <c r="J1994" s="100" t="str">
        <f t="shared" si="111"/>
        <v/>
      </c>
      <c r="K1994" s="100" t="str">
        <f t="shared" si="112"/>
        <v/>
      </c>
    </row>
    <row r="1995" spans="10:11">
      <c r="J1995" s="100" t="str">
        <f t="shared" si="111"/>
        <v/>
      </c>
      <c r="K1995" s="100" t="str">
        <f t="shared" si="112"/>
        <v/>
      </c>
    </row>
    <row r="1996" spans="10:11">
      <c r="J1996" s="100" t="str">
        <f t="shared" si="111"/>
        <v/>
      </c>
      <c r="K1996" s="100" t="str">
        <f t="shared" si="112"/>
        <v/>
      </c>
    </row>
    <row r="1997" spans="10:11">
      <c r="J1997" s="100" t="str">
        <f t="shared" si="111"/>
        <v/>
      </c>
      <c r="K1997" s="100" t="str">
        <f t="shared" si="112"/>
        <v/>
      </c>
    </row>
    <row r="1998" spans="10:11">
      <c r="J1998" s="100" t="str">
        <f t="shared" si="111"/>
        <v/>
      </c>
      <c r="K1998" s="100" t="str">
        <f t="shared" si="112"/>
        <v/>
      </c>
    </row>
    <row r="1999" spans="10:11">
      <c r="J1999" s="100" t="str">
        <f t="shared" si="111"/>
        <v/>
      </c>
      <c r="K1999" s="100" t="str">
        <f t="shared" si="112"/>
        <v/>
      </c>
    </row>
    <row r="2000" spans="10:11">
      <c r="J2000" s="100" t="str">
        <f t="shared" si="111"/>
        <v/>
      </c>
      <c r="K2000" s="100" t="str">
        <f t="shared" si="112"/>
        <v/>
      </c>
    </row>
    <row r="2001" spans="10:11">
      <c r="J2001" s="100" t="str">
        <f t="shared" si="111"/>
        <v/>
      </c>
      <c r="K2001" s="100" t="str">
        <f t="shared" si="112"/>
        <v/>
      </c>
    </row>
    <row r="2002" spans="10:11">
      <c r="J2002" s="100" t="str">
        <f t="shared" si="111"/>
        <v/>
      </c>
      <c r="K2002" s="100" t="str">
        <f t="shared" si="112"/>
        <v/>
      </c>
    </row>
    <row r="2003" spans="10:11">
      <c r="J2003" s="100" t="str">
        <f t="shared" si="111"/>
        <v/>
      </c>
      <c r="K2003" s="100" t="str">
        <f t="shared" si="112"/>
        <v/>
      </c>
    </row>
    <row r="2004" spans="10:11">
      <c r="J2004" s="100" t="str">
        <f t="shared" si="111"/>
        <v/>
      </c>
      <c r="K2004" s="100" t="str">
        <f t="shared" si="112"/>
        <v/>
      </c>
    </row>
    <row r="2005" spans="10:11">
      <c r="J2005" s="100" t="str">
        <f t="shared" si="111"/>
        <v/>
      </c>
      <c r="K2005" s="100" t="str">
        <f t="shared" si="112"/>
        <v/>
      </c>
    </row>
    <row r="2006" spans="10:11">
      <c r="J2006" s="100" t="str">
        <f t="shared" si="111"/>
        <v/>
      </c>
      <c r="K2006" s="100" t="str">
        <f t="shared" si="112"/>
        <v/>
      </c>
    </row>
    <row r="2007" spans="10:11">
      <c r="J2007" s="100" t="str">
        <f t="shared" si="111"/>
        <v/>
      </c>
      <c r="K2007" s="100" t="str">
        <f t="shared" si="112"/>
        <v/>
      </c>
    </row>
    <row r="2008" spans="10:11">
      <c r="J2008" s="100" t="str">
        <f t="shared" si="111"/>
        <v/>
      </c>
      <c r="K2008" s="100" t="str">
        <f t="shared" si="112"/>
        <v/>
      </c>
    </row>
    <row r="2009" spans="10:11">
      <c r="J2009" s="100" t="str">
        <f t="shared" si="111"/>
        <v/>
      </c>
      <c r="K2009" s="100" t="str">
        <f t="shared" si="112"/>
        <v/>
      </c>
    </row>
    <row r="2010" spans="10:11">
      <c r="J2010" s="100" t="str">
        <f t="shared" si="111"/>
        <v/>
      </c>
      <c r="K2010" s="100" t="str">
        <f t="shared" si="112"/>
        <v/>
      </c>
    </row>
    <row r="2011" spans="10:11">
      <c r="J2011" s="100" t="str">
        <f t="shared" si="111"/>
        <v/>
      </c>
      <c r="K2011" s="100" t="str">
        <f t="shared" si="112"/>
        <v/>
      </c>
    </row>
    <row r="2012" spans="10:11">
      <c r="J2012" s="100" t="str">
        <f t="shared" si="111"/>
        <v/>
      </c>
      <c r="K2012" s="100" t="str">
        <f t="shared" si="112"/>
        <v/>
      </c>
    </row>
    <row r="2013" spans="10:11">
      <c r="J2013" s="100" t="str">
        <f t="shared" si="111"/>
        <v/>
      </c>
      <c r="K2013" s="100" t="str">
        <f t="shared" si="112"/>
        <v/>
      </c>
    </row>
    <row r="2014" spans="10:11">
      <c r="J2014" s="100" t="str">
        <f t="shared" si="111"/>
        <v/>
      </c>
      <c r="K2014" s="100" t="str">
        <f t="shared" si="112"/>
        <v/>
      </c>
    </row>
    <row r="2015" spans="10:11">
      <c r="J2015" s="100" t="str">
        <f t="shared" si="111"/>
        <v/>
      </c>
      <c r="K2015" s="100" t="str">
        <f t="shared" si="112"/>
        <v/>
      </c>
    </row>
    <row r="2016" spans="10:11">
      <c r="J2016" s="100" t="str">
        <f t="shared" si="111"/>
        <v/>
      </c>
      <c r="K2016" s="100" t="str">
        <f t="shared" si="112"/>
        <v/>
      </c>
    </row>
    <row r="2017" spans="10:11">
      <c r="J2017" s="100" t="str">
        <f t="shared" si="111"/>
        <v/>
      </c>
      <c r="K2017" s="100" t="str">
        <f t="shared" si="112"/>
        <v/>
      </c>
    </row>
    <row r="2018" spans="10:11">
      <c r="J2018" s="100" t="str">
        <f t="shared" si="111"/>
        <v/>
      </c>
      <c r="K2018" s="100" t="str">
        <f t="shared" si="112"/>
        <v/>
      </c>
    </row>
    <row r="2019" spans="10:11">
      <c r="J2019" s="100" t="str">
        <f t="shared" si="111"/>
        <v/>
      </c>
      <c r="K2019" s="100" t="str">
        <f t="shared" si="112"/>
        <v/>
      </c>
    </row>
    <row r="2020" spans="10:11">
      <c r="J2020" s="100" t="str">
        <f t="shared" si="111"/>
        <v/>
      </c>
      <c r="K2020" s="100" t="str">
        <f t="shared" si="112"/>
        <v/>
      </c>
    </row>
    <row r="2021" spans="10:11">
      <c r="J2021" s="100" t="str">
        <f t="shared" si="111"/>
        <v/>
      </c>
      <c r="K2021" s="100" t="str">
        <f t="shared" si="112"/>
        <v/>
      </c>
    </row>
    <row r="2022" spans="10:11">
      <c r="J2022" s="100" t="str">
        <f t="shared" si="111"/>
        <v/>
      </c>
      <c r="K2022" s="100" t="str">
        <f t="shared" si="112"/>
        <v/>
      </c>
    </row>
    <row r="2023" spans="10:11">
      <c r="J2023" s="100"/>
      <c r="K2023" s="100"/>
    </row>
    <row r="2024" spans="10:11">
      <c r="J2024" s="100" t="str">
        <f t="shared" si="111"/>
        <v/>
      </c>
      <c r="K2024" s="100" t="str">
        <f t="shared" si="112"/>
        <v/>
      </c>
    </row>
    <row r="2025" spans="10:11">
      <c r="J2025" s="100" t="str">
        <f t="shared" si="111"/>
        <v/>
      </c>
      <c r="K2025" s="100" t="str">
        <f t="shared" si="112"/>
        <v/>
      </c>
    </row>
    <row r="2026" spans="10:11">
      <c r="J2026" s="100" t="str">
        <f t="shared" si="111"/>
        <v/>
      </c>
      <c r="K2026" s="100" t="str">
        <f t="shared" si="112"/>
        <v/>
      </c>
    </row>
    <row r="2027" spans="10:11">
      <c r="J2027" s="100" t="str">
        <f t="shared" si="111"/>
        <v/>
      </c>
      <c r="K2027" s="100" t="str">
        <f t="shared" si="112"/>
        <v/>
      </c>
    </row>
    <row r="2028" spans="10:11">
      <c r="J2028" s="100" t="str">
        <f t="shared" si="111"/>
        <v/>
      </c>
      <c r="K2028" s="100" t="str">
        <f t="shared" si="112"/>
        <v/>
      </c>
    </row>
    <row r="2029" spans="10:11">
      <c r="J2029" s="100" t="str">
        <f t="shared" si="111"/>
        <v/>
      </c>
      <c r="K2029" s="100" t="str">
        <f t="shared" si="112"/>
        <v/>
      </c>
    </row>
    <row r="2030" spans="10:11">
      <c r="J2030" s="100" t="str">
        <f t="shared" si="111"/>
        <v/>
      </c>
      <c r="K2030" s="100" t="str">
        <f t="shared" si="112"/>
        <v/>
      </c>
    </row>
    <row r="2031" spans="10:11">
      <c r="J2031" s="100" t="str">
        <f t="shared" si="111"/>
        <v/>
      </c>
      <c r="K2031" s="100" t="str">
        <f t="shared" si="112"/>
        <v/>
      </c>
    </row>
    <row r="2032" spans="10:11">
      <c r="J2032" s="100" t="str">
        <f t="shared" si="111"/>
        <v/>
      </c>
      <c r="K2032" s="100" t="str">
        <f t="shared" si="112"/>
        <v/>
      </c>
    </row>
    <row r="2033" spans="10:11">
      <c r="J2033" s="100" t="str">
        <f t="shared" si="111"/>
        <v/>
      </c>
      <c r="K2033" s="100" t="str">
        <f t="shared" si="112"/>
        <v/>
      </c>
    </row>
    <row r="2034" spans="10:11">
      <c r="J2034" s="100" t="str">
        <f t="shared" si="111"/>
        <v/>
      </c>
      <c r="K2034" s="100" t="str">
        <f t="shared" si="112"/>
        <v/>
      </c>
    </row>
    <row r="2035" spans="10:11">
      <c r="J2035" s="100" t="str">
        <f t="shared" si="111"/>
        <v/>
      </c>
      <c r="K2035" s="100" t="str">
        <f t="shared" si="112"/>
        <v/>
      </c>
    </row>
    <row r="2036" spans="10:11">
      <c r="J2036" s="100" t="str">
        <f t="shared" si="111"/>
        <v/>
      </c>
      <c r="K2036" s="100" t="str">
        <f t="shared" si="112"/>
        <v/>
      </c>
    </row>
    <row r="2037" spans="10:11">
      <c r="J2037" s="100" t="str">
        <f t="shared" si="111"/>
        <v/>
      </c>
      <c r="K2037" s="100" t="str">
        <f t="shared" si="112"/>
        <v/>
      </c>
    </row>
    <row r="2038" spans="10:11">
      <c r="J2038" s="100" t="str">
        <f t="shared" ref="J2038:J2101" si="113">C2038&amp;D2038&amp;G2038</f>
        <v/>
      </c>
      <c r="K2038" s="100" t="str">
        <f t="shared" ref="K2038:K2101" si="114">C2038&amp;D2038&amp;H2038</f>
        <v/>
      </c>
    </row>
    <row r="2039" spans="10:11">
      <c r="J2039" s="100" t="str">
        <f t="shared" si="113"/>
        <v/>
      </c>
      <c r="K2039" s="100" t="str">
        <f t="shared" si="114"/>
        <v/>
      </c>
    </row>
    <row r="2040" spans="10:11">
      <c r="J2040" s="100" t="str">
        <f t="shared" si="113"/>
        <v/>
      </c>
      <c r="K2040" s="100" t="str">
        <f t="shared" si="114"/>
        <v/>
      </c>
    </row>
    <row r="2041" spans="10:11">
      <c r="J2041" s="100" t="str">
        <f t="shared" si="113"/>
        <v/>
      </c>
      <c r="K2041" s="100" t="str">
        <f t="shared" si="114"/>
        <v/>
      </c>
    </row>
    <row r="2042" spans="10:11">
      <c r="J2042" s="100" t="str">
        <f t="shared" si="113"/>
        <v/>
      </c>
      <c r="K2042" s="100" t="str">
        <f t="shared" si="114"/>
        <v/>
      </c>
    </row>
    <row r="2043" spans="10:11">
      <c r="J2043" s="100" t="str">
        <f t="shared" si="113"/>
        <v/>
      </c>
      <c r="K2043" s="100" t="str">
        <f t="shared" si="114"/>
        <v/>
      </c>
    </row>
    <row r="2044" spans="10:11">
      <c r="J2044" s="100" t="str">
        <f t="shared" si="113"/>
        <v/>
      </c>
      <c r="K2044" s="100" t="str">
        <f t="shared" si="114"/>
        <v/>
      </c>
    </row>
    <row r="2045" spans="10:11">
      <c r="J2045" s="100" t="str">
        <f t="shared" si="113"/>
        <v/>
      </c>
      <c r="K2045" s="100" t="str">
        <f t="shared" si="114"/>
        <v/>
      </c>
    </row>
    <row r="2046" spans="10:11">
      <c r="J2046" s="100" t="str">
        <f t="shared" si="113"/>
        <v/>
      </c>
      <c r="K2046" s="100" t="str">
        <f t="shared" si="114"/>
        <v/>
      </c>
    </row>
    <row r="2047" spans="10:11">
      <c r="J2047" s="100" t="str">
        <f t="shared" si="113"/>
        <v/>
      </c>
      <c r="K2047" s="100" t="str">
        <f t="shared" si="114"/>
        <v/>
      </c>
    </row>
    <row r="2048" spans="10:11">
      <c r="J2048" s="100" t="str">
        <f t="shared" si="113"/>
        <v/>
      </c>
      <c r="K2048" s="100" t="str">
        <f t="shared" si="114"/>
        <v/>
      </c>
    </row>
    <row r="2049" spans="10:11">
      <c r="J2049" s="100" t="str">
        <f t="shared" si="113"/>
        <v/>
      </c>
      <c r="K2049" s="100" t="str">
        <f t="shared" si="114"/>
        <v/>
      </c>
    </row>
    <row r="2050" spans="10:11">
      <c r="J2050" s="100" t="str">
        <f t="shared" si="113"/>
        <v/>
      </c>
      <c r="K2050" s="100" t="str">
        <f t="shared" si="114"/>
        <v/>
      </c>
    </row>
    <row r="2051" spans="10:11">
      <c r="J2051" s="100" t="str">
        <f t="shared" si="113"/>
        <v/>
      </c>
      <c r="K2051" s="100" t="str">
        <f t="shared" si="114"/>
        <v/>
      </c>
    </row>
    <row r="2052" spans="10:11">
      <c r="J2052" s="100" t="str">
        <f t="shared" si="113"/>
        <v/>
      </c>
      <c r="K2052" s="100" t="str">
        <f t="shared" si="114"/>
        <v/>
      </c>
    </row>
    <row r="2053" spans="10:11">
      <c r="J2053" s="100" t="str">
        <f t="shared" si="113"/>
        <v/>
      </c>
      <c r="K2053" s="100" t="str">
        <f t="shared" si="114"/>
        <v/>
      </c>
    </row>
    <row r="2054" spans="10:11">
      <c r="J2054" s="100" t="str">
        <f t="shared" si="113"/>
        <v/>
      </c>
      <c r="K2054" s="100" t="str">
        <f t="shared" si="114"/>
        <v/>
      </c>
    </row>
    <row r="2055" spans="10:11">
      <c r="J2055" s="100" t="str">
        <f t="shared" si="113"/>
        <v/>
      </c>
      <c r="K2055" s="100" t="str">
        <f t="shared" si="114"/>
        <v/>
      </c>
    </row>
    <row r="2056" spans="10:11">
      <c r="J2056" s="100" t="str">
        <f t="shared" si="113"/>
        <v/>
      </c>
      <c r="K2056" s="100" t="str">
        <f t="shared" si="114"/>
        <v/>
      </c>
    </row>
    <row r="2057" spans="10:11">
      <c r="J2057" s="100" t="str">
        <f t="shared" si="113"/>
        <v/>
      </c>
      <c r="K2057" s="100" t="str">
        <f t="shared" si="114"/>
        <v/>
      </c>
    </row>
    <row r="2058" spans="10:11">
      <c r="J2058" s="100" t="str">
        <f t="shared" si="113"/>
        <v/>
      </c>
      <c r="K2058" s="100" t="str">
        <f t="shared" si="114"/>
        <v/>
      </c>
    </row>
    <row r="2059" spans="10:11">
      <c r="J2059" s="100" t="str">
        <f t="shared" si="113"/>
        <v/>
      </c>
      <c r="K2059" s="100" t="str">
        <f t="shared" si="114"/>
        <v/>
      </c>
    </row>
    <row r="2060" spans="10:11">
      <c r="J2060" s="100" t="str">
        <f t="shared" si="113"/>
        <v/>
      </c>
      <c r="K2060" s="100" t="str">
        <f t="shared" si="114"/>
        <v/>
      </c>
    </row>
    <row r="2061" spans="10:11">
      <c r="J2061" s="100" t="str">
        <f t="shared" si="113"/>
        <v/>
      </c>
      <c r="K2061" s="100" t="str">
        <f t="shared" si="114"/>
        <v/>
      </c>
    </row>
    <row r="2062" spans="10:11">
      <c r="J2062" s="100" t="str">
        <f t="shared" si="113"/>
        <v/>
      </c>
      <c r="K2062" s="100" t="str">
        <f t="shared" si="114"/>
        <v/>
      </c>
    </row>
    <row r="2063" spans="10:11">
      <c r="J2063" s="100" t="str">
        <f t="shared" si="113"/>
        <v/>
      </c>
      <c r="K2063" s="100" t="str">
        <f t="shared" si="114"/>
        <v/>
      </c>
    </row>
    <row r="2064" spans="10:11">
      <c r="J2064" s="100" t="str">
        <f t="shared" si="113"/>
        <v/>
      </c>
      <c r="K2064" s="100" t="str">
        <f t="shared" si="114"/>
        <v/>
      </c>
    </row>
    <row r="2065" spans="10:11">
      <c r="J2065" s="100" t="str">
        <f t="shared" si="113"/>
        <v/>
      </c>
      <c r="K2065" s="100" t="str">
        <f t="shared" si="114"/>
        <v/>
      </c>
    </row>
    <row r="2066" spans="10:11">
      <c r="J2066" s="100" t="str">
        <f t="shared" si="113"/>
        <v/>
      </c>
      <c r="K2066" s="100" t="str">
        <f t="shared" si="114"/>
        <v/>
      </c>
    </row>
    <row r="2067" spans="10:11">
      <c r="J2067" s="100" t="str">
        <f t="shared" si="113"/>
        <v/>
      </c>
      <c r="K2067" s="100" t="str">
        <f t="shared" si="114"/>
        <v/>
      </c>
    </row>
    <row r="2068" spans="10:11">
      <c r="J2068" s="100" t="str">
        <f t="shared" si="113"/>
        <v/>
      </c>
      <c r="K2068" s="100" t="str">
        <f t="shared" si="114"/>
        <v/>
      </c>
    </row>
    <row r="2069" spans="10:11">
      <c r="J2069" s="100" t="str">
        <f t="shared" si="113"/>
        <v/>
      </c>
      <c r="K2069" s="100" t="str">
        <f t="shared" si="114"/>
        <v/>
      </c>
    </row>
    <row r="2070" spans="10:11">
      <c r="J2070" s="100" t="str">
        <f t="shared" si="113"/>
        <v/>
      </c>
      <c r="K2070" s="100" t="str">
        <f t="shared" si="114"/>
        <v/>
      </c>
    </row>
    <row r="2071" spans="10:11">
      <c r="J2071" s="100" t="str">
        <f t="shared" si="113"/>
        <v/>
      </c>
      <c r="K2071" s="100" t="str">
        <f t="shared" si="114"/>
        <v/>
      </c>
    </row>
    <row r="2072" spans="10:11">
      <c r="J2072" s="100" t="str">
        <f t="shared" si="113"/>
        <v/>
      </c>
      <c r="K2072" s="100" t="str">
        <f t="shared" si="114"/>
        <v/>
      </c>
    </row>
    <row r="2073" spans="10:11">
      <c r="J2073" s="100" t="str">
        <f t="shared" si="113"/>
        <v/>
      </c>
      <c r="K2073" s="100" t="str">
        <f t="shared" si="114"/>
        <v/>
      </c>
    </row>
    <row r="2074" spans="10:11">
      <c r="J2074" s="100" t="str">
        <f t="shared" si="113"/>
        <v/>
      </c>
      <c r="K2074" s="100" t="str">
        <f t="shared" si="114"/>
        <v/>
      </c>
    </row>
    <row r="2075" spans="10:11">
      <c r="J2075" s="100" t="str">
        <f t="shared" si="113"/>
        <v/>
      </c>
      <c r="K2075" s="100" t="str">
        <f t="shared" si="114"/>
        <v/>
      </c>
    </row>
    <row r="2076" spans="10:11">
      <c r="J2076" s="100" t="str">
        <f t="shared" si="113"/>
        <v/>
      </c>
      <c r="K2076" s="100" t="str">
        <f t="shared" si="114"/>
        <v/>
      </c>
    </row>
    <row r="2077" spans="10:11">
      <c r="J2077" s="100" t="str">
        <f t="shared" si="113"/>
        <v/>
      </c>
      <c r="K2077" s="100" t="str">
        <f t="shared" si="114"/>
        <v/>
      </c>
    </row>
    <row r="2078" spans="10:11">
      <c r="J2078" s="100" t="str">
        <f t="shared" si="113"/>
        <v/>
      </c>
      <c r="K2078" s="100" t="str">
        <f t="shared" si="114"/>
        <v/>
      </c>
    </row>
    <row r="2079" spans="10:11">
      <c r="J2079" s="100" t="str">
        <f t="shared" si="113"/>
        <v/>
      </c>
      <c r="K2079" s="100" t="str">
        <f t="shared" si="114"/>
        <v/>
      </c>
    </row>
    <row r="2080" spans="10:11">
      <c r="J2080" s="100" t="str">
        <f t="shared" si="113"/>
        <v/>
      </c>
      <c r="K2080" s="100" t="str">
        <f t="shared" si="114"/>
        <v/>
      </c>
    </row>
    <row r="2081" spans="10:11">
      <c r="J2081" s="100" t="str">
        <f t="shared" si="113"/>
        <v/>
      </c>
      <c r="K2081" s="100" t="str">
        <f t="shared" si="114"/>
        <v/>
      </c>
    </row>
    <row r="2082" spans="10:11">
      <c r="J2082" s="100" t="str">
        <f t="shared" si="113"/>
        <v/>
      </c>
      <c r="K2082" s="100" t="str">
        <f t="shared" si="114"/>
        <v/>
      </c>
    </row>
    <row r="2083" spans="10:11">
      <c r="J2083" s="100" t="str">
        <f t="shared" si="113"/>
        <v/>
      </c>
      <c r="K2083" s="100" t="str">
        <f t="shared" si="114"/>
        <v/>
      </c>
    </row>
    <row r="2084" spans="10:11">
      <c r="J2084" s="100" t="str">
        <f t="shared" si="113"/>
        <v/>
      </c>
      <c r="K2084" s="100" t="str">
        <f t="shared" si="114"/>
        <v/>
      </c>
    </row>
    <row r="2085" spans="10:11">
      <c r="J2085" s="100" t="str">
        <f t="shared" si="113"/>
        <v/>
      </c>
      <c r="K2085" s="100" t="str">
        <f t="shared" si="114"/>
        <v/>
      </c>
    </row>
    <row r="2086" spans="10:11">
      <c r="J2086" s="100" t="str">
        <f t="shared" si="113"/>
        <v/>
      </c>
      <c r="K2086" s="100" t="str">
        <f t="shared" si="114"/>
        <v/>
      </c>
    </row>
    <row r="2087" spans="10:11">
      <c r="J2087" s="100" t="str">
        <f t="shared" si="113"/>
        <v/>
      </c>
      <c r="K2087" s="100" t="str">
        <f t="shared" si="114"/>
        <v/>
      </c>
    </row>
    <row r="2088" spans="10:11">
      <c r="J2088" s="100" t="str">
        <f t="shared" si="113"/>
        <v/>
      </c>
      <c r="K2088" s="100" t="str">
        <f t="shared" si="114"/>
        <v/>
      </c>
    </row>
    <row r="2089" spans="10:11">
      <c r="J2089" s="100" t="str">
        <f t="shared" si="113"/>
        <v/>
      </c>
      <c r="K2089" s="100" t="str">
        <f t="shared" si="114"/>
        <v/>
      </c>
    </row>
    <row r="2090" spans="10:11">
      <c r="J2090" s="100" t="str">
        <f t="shared" si="113"/>
        <v/>
      </c>
      <c r="K2090" s="100" t="str">
        <f t="shared" si="114"/>
        <v/>
      </c>
    </row>
    <row r="2091" spans="10:11">
      <c r="J2091" s="100" t="str">
        <f t="shared" si="113"/>
        <v/>
      </c>
      <c r="K2091" s="100" t="str">
        <f t="shared" si="114"/>
        <v/>
      </c>
    </row>
    <row r="2092" spans="10:11">
      <c r="J2092" s="100" t="str">
        <f t="shared" si="113"/>
        <v/>
      </c>
      <c r="K2092" s="100" t="str">
        <f t="shared" si="114"/>
        <v/>
      </c>
    </row>
    <row r="2093" spans="10:11">
      <c r="J2093" s="100" t="str">
        <f t="shared" si="113"/>
        <v/>
      </c>
      <c r="K2093" s="100" t="str">
        <f t="shared" si="114"/>
        <v/>
      </c>
    </row>
    <row r="2094" spans="10:11">
      <c r="J2094" s="100" t="str">
        <f t="shared" si="113"/>
        <v/>
      </c>
      <c r="K2094" s="100" t="str">
        <f t="shared" si="114"/>
        <v/>
      </c>
    </row>
    <row r="2095" spans="10:11">
      <c r="J2095" s="100" t="str">
        <f t="shared" si="113"/>
        <v/>
      </c>
      <c r="K2095" s="100" t="str">
        <f t="shared" si="114"/>
        <v/>
      </c>
    </row>
    <row r="2096" spans="10:11">
      <c r="J2096" s="100" t="str">
        <f t="shared" si="113"/>
        <v/>
      </c>
      <c r="K2096" s="100" t="str">
        <f t="shared" si="114"/>
        <v/>
      </c>
    </row>
    <row r="2097" spans="10:11">
      <c r="J2097" s="100" t="str">
        <f t="shared" si="113"/>
        <v/>
      </c>
      <c r="K2097" s="100" t="str">
        <f t="shared" si="114"/>
        <v/>
      </c>
    </row>
    <row r="2098" spans="10:11">
      <c r="J2098" s="100" t="str">
        <f t="shared" si="113"/>
        <v/>
      </c>
      <c r="K2098" s="100" t="str">
        <f t="shared" si="114"/>
        <v/>
      </c>
    </row>
    <row r="2099" spans="10:11">
      <c r="J2099" s="100" t="str">
        <f t="shared" si="113"/>
        <v/>
      </c>
      <c r="K2099" s="100" t="str">
        <f t="shared" si="114"/>
        <v/>
      </c>
    </row>
    <row r="2100" spans="10:11">
      <c r="J2100" s="100" t="str">
        <f t="shared" si="113"/>
        <v/>
      </c>
      <c r="K2100" s="100" t="str">
        <f t="shared" si="114"/>
        <v/>
      </c>
    </row>
    <row r="2101" spans="10:11">
      <c r="J2101" s="100" t="str">
        <f t="shared" si="113"/>
        <v/>
      </c>
      <c r="K2101" s="100" t="str">
        <f t="shared" si="114"/>
        <v/>
      </c>
    </row>
    <row r="2102" spans="10:11">
      <c r="J2102" s="100" t="str">
        <f t="shared" ref="J2102:J2165" si="115">C2102&amp;D2102&amp;G2102</f>
        <v/>
      </c>
      <c r="K2102" s="100" t="str">
        <f t="shared" ref="K2102:K2165" si="116">C2102&amp;D2102&amp;H2102</f>
        <v/>
      </c>
    </row>
    <row r="2103" spans="10:11">
      <c r="J2103" s="100" t="str">
        <f t="shared" si="115"/>
        <v/>
      </c>
      <c r="K2103" s="100" t="str">
        <f t="shared" si="116"/>
        <v/>
      </c>
    </row>
    <row r="2104" spans="10:11">
      <c r="J2104" s="100" t="str">
        <f t="shared" si="115"/>
        <v/>
      </c>
      <c r="K2104" s="100" t="str">
        <f t="shared" si="116"/>
        <v/>
      </c>
    </row>
    <row r="2105" spans="10:11">
      <c r="J2105" s="100" t="str">
        <f t="shared" si="115"/>
        <v/>
      </c>
      <c r="K2105" s="100" t="str">
        <f t="shared" si="116"/>
        <v/>
      </c>
    </row>
    <row r="2106" spans="10:11">
      <c r="J2106" s="100" t="str">
        <f t="shared" si="115"/>
        <v/>
      </c>
      <c r="K2106" s="100" t="str">
        <f t="shared" si="116"/>
        <v/>
      </c>
    </row>
    <row r="2107" spans="10:11">
      <c r="J2107" s="100" t="str">
        <f t="shared" si="115"/>
        <v/>
      </c>
      <c r="K2107" s="100" t="str">
        <f t="shared" si="116"/>
        <v/>
      </c>
    </row>
    <row r="2108" spans="10:11">
      <c r="J2108" s="100" t="str">
        <f t="shared" si="115"/>
        <v/>
      </c>
      <c r="K2108" s="100" t="str">
        <f t="shared" si="116"/>
        <v/>
      </c>
    </row>
    <row r="2109" spans="10:11">
      <c r="J2109" s="100" t="str">
        <f t="shared" si="115"/>
        <v/>
      </c>
      <c r="K2109" s="100" t="str">
        <f t="shared" si="116"/>
        <v/>
      </c>
    </row>
    <row r="2110" spans="10:11">
      <c r="J2110" s="100" t="str">
        <f t="shared" si="115"/>
        <v/>
      </c>
      <c r="K2110" s="100" t="str">
        <f t="shared" si="116"/>
        <v/>
      </c>
    </row>
    <row r="2111" spans="10:11">
      <c r="J2111" s="100" t="str">
        <f t="shared" si="115"/>
        <v/>
      </c>
      <c r="K2111" s="100" t="str">
        <f t="shared" si="116"/>
        <v/>
      </c>
    </row>
    <row r="2112" spans="10:11">
      <c r="J2112" s="100" t="str">
        <f t="shared" si="115"/>
        <v/>
      </c>
      <c r="K2112" s="100" t="str">
        <f t="shared" si="116"/>
        <v/>
      </c>
    </row>
    <row r="2113" spans="10:11">
      <c r="J2113" s="100" t="str">
        <f t="shared" si="115"/>
        <v/>
      </c>
      <c r="K2113" s="100" t="str">
        <f t="shared" si="116"/>
        <v/>
      </c>
    </row>
    <row r="2114" spans="10:11">
      <c r="J2114" s="100" t="str">
        <f t="shared" si="115"/>
        <v/>
      </c>
      <c r="K2114" s="100" t="str">
        <f t="shared" si="116"/>
        <v/>
      </c>
    </row>
    <row r="2115" spans="10:11">
      <c r="J2115" s="100" t="str">
        <f t="shared" si="115"/>
        <v/>
      </c>
      <c r="K2115" s="100" t="str">
        <f t="shared" si="116"/>
        <v/>
      </c>
    </row>
    <row r="2116" spans="10:11">
      <c r="J2116" s="100" t="str">
        <f t="shared" si="115"/>
        <v/>
      </c>
      <c r="K2116" s="100" t="str">
        <f t="shared" si="116"/>
        <v/>
      </c>
    </row>
    <row r="2117" spans="10:11">
      <c r="J2117" s="100" t="str">
        <f t="shared" si="115"/>
        <v/>
      </c>
      <c r="K2117" s="100" t="str">
        <f t="shared" si="116"/>
        <v/>
      </c>
    </row>
    <row r="2118" spans="10:11">
      <c r="J2118" s="100" t="str">
        <f t="shared" si="115"/>
        <v/>
      </c>
      <c r="K2118" s="100" t="str">
        <f t="shared" si="116"/>
        <v/>
      </c>
    </row>
    <row r="2119" spans="10:11">
      <c r="J2119" s="100" t="str">
        <f t="shared" si="115"/>
        <v/>
      </c>
      <c r="K2119" s="100" t="str">
        <f t="shared" si="116"/>
        <v/>
      </c>
    </row>
    <row r="2120" spans="10:11">
      <c r="J2120" s="100" t="str">
        <f t="shared" si="115"/>
        <v/>
      </c>
      <c r="K2120" s="100" t="str">
        <f t="shared" si="116"/>
        <v/>
      </c>
    </row>
    <row r="2121" spans="10:11">
      <c r="J2121" s="100" t="str">
        <f t="shared" si="115"/>
        <v/>
      </c>
      <c r="K2121" s="100" t="str">
        <f t="shared" si="116"/>
        <v/>
      </c>
    </row>
    <row r="2122" spans="10:11">
      <c r="J2122" s="100" t="str">
        <f t="shared" si="115"/>
        <v/>
      </c>
      <c r="K2122" s="100" t="str">
        <f t="shared" si="116"/>
        <v/>
      </c>
    </row>
    <row r="2123" spans="10:11">
      <c r="J2123" s="100" t="str">
        <f t="shared" si="115"/>
        <v/>
      </c>
      <c r="K2123" s="100" t="str">
        <f t="shared" si="116"/>
        <v/>
      </c>
    </row>
    <row r="2124" spans="10:11">
      <c r="J2124" s="100" t="str">
        <f t="shared" si="115"/>
        <v/>
      </c>
      <c r="K2124" s="100" t="str">
        <f t="shared" si="116"/>
        <v/>
      </c>
    </row>
    <row r="2125" spans="10:11">
      <c r="J2125" s="100" t="str">
        <f t="shared" si="115"/>
        <v/>
      </c>
      <c r="K2125" s="100" t="str">
        <f t="shared" si="116"/>
        <v/>
      </c>
    </row>
    <row r="2126" spans="10:11">
      <c r="J2126" s="100" t="str">
        <f t="shared" si="115"/>
        <v/>
      </c>
      <c r="K2126" s="100" t="str">
        <f t="shared" si="116"/>
        <v/>
      </c>
    </row>
    <row r="2127" spans="10:11">
      <c r="J2127" s="100" t="str">
        <f t="shared" si="115"/>
        <v/>
      </c>
      <c r="K2127" s="100" t="str">
        <f t="shared" si="116"/>
        <v/>
      </c>
    </row>
    <row r="2128" spans="10:11">
      <c r="J2128" s="100" t="str">
        <f t="shared" si="115"/>
        <v/>
      </c>
      <c r="K2128" s="100" t="str">
        <f t="shared" si="116"/>
        <v/>
      </c>
    </row>
    <row r="2129" spans="10:11">
      <c r="J2129" s="100" t="str">
        <f t="shared" si="115"/>
        <v/>
      </c>
      <c r="K2129" s="100" t="str">
        <f t="shared" si="116"/>
        <v/>
      </c>
    </row>
    <row r="2130" spans="10:11">
      <c r="J2130" s="100" t="str">
        <f t="shared" si="115"/>
        <v/>
      </c>
      <c r="K2130" s="100" t="str">
        <f t="shared" si="116"/>
        <v/>
      </c>
    </row>
    <row r="2131" spans="10:11">
      <c r="J2131" s="100" t="str">
        <f t="shared" si="115"/>
        <v/>
      </c>
      <c r="K2131" s="100" t="str">
        <f t="shared" si="116"/>
        <v/>
      </c>
    </row>
    <row r="2132" spans="10:11">
      <c r="J2132" s="100" t="str">
        <f t="shared" si="115"/>
        <v/>
      </c>
      <c r="K2132" s="100" t="str">
        <f t="shared" si="116"/>
        <v/>
      </c>
    </row>
    <row r="2133" spans="10:11">
      <c r="J2133" s="100" t="str">
        <f t="shared" si="115"/>
        <v/>
      </c>
      <c r="K2133" s="100" t="str">
        <f t="shared" si="116"/>
        <v/>
      </c>
    </row>
    <row r="2134" spans="10:11">
      <c r="J2134" s="100" t="str">
        <f t="shared" si="115"/>
        <v/>
      </c>
      <c r="K2134" s="100" t="str">
        <f t="shared" si="116"/>
        <v/>
      </c>
    </row>
    <row r="2135" spans="10:11">
      <c r="J2135" s="100" t="str">
        <f t="shared" si="115"/>
        <v/>
      </c>
      <c r="K2135" s="100" t="str">
        <f t="shared" si="116"/>
        <v/>
      </c>
    </row>
    <row r="2136" spans="10:11">
      <c r="J2136" s="100" t="str">
        <f t="shared" si="115"/>
        <v/>
      </c>
      <c r="K2136" s="100" t="str">
        <f t="shared" si="116"/>
        <v/>
      </c>
    </row>
    <row r="2137" spans="10:11">
      <c r="J2137" s="100" t="str">
        <f t="shared" si="115"/>
        <v/>
      </c>
      <c r="K2137" s="100" t="str">
        <f t="shared" si="116"/>
        <v/>
      </c>
    </row>
    <row r="2138" spans="10:11">
      <c r="J2138" s="100" t="str">
        <f t="shared" si="115"/>
        <v/>
      </c>
      <c r="K2138" s="100" t="str">
        <f t="shared" si="116"/>
        <v/>
      </c>
    </row>
    <row r="2139" spans="10:11">
      <c r="J2139" s="100" t="str">
        <f t="shared" si="115"/>
        <v/>
      </c>
      <c r="K2139" s="100" t="str">
        <f t="shared" si="116"/>
        <v/>
      </c>
    </row>
    <row r="2140" spans="10:11">
      <c r="J2140" s="100" t="str">
        <f t="shared" si="115"/>
        <v/>
      </c>
      <c r="K2140" s="100" t="str">
        <f t="shared" si="116"/>
        <v/>
      </c>
    </row>
    <row r="2141" spans="10:11">
      <c r="J2141" s="100" t="str">
        <f t="shared" si="115"/>
        <v/>
      </c>
      <c r="K2141" s="100" t="str">
        <f t="shared" si="116"/>
        <v/>
      </c>
    </row>
    <row r="2142" spans="10:11">
      <c r="J2142" s="100" t="str">
        <f t="shared" si="115"/>
        <v/>
      </c>
      <c r="K2142" s="100" t="str">
        <f t="shared" si="116"/>
        <v/>
      </c>
    </row>
    <row r="2143" spans="10:11">
      <c r="J2143" s="100" t="str">
        <f t="shared" si="115"/>
        <v/>
      </c>
      <c r="K2143" s="100" t="str">
        <f t="shared" si="116"/>
        <v/>
      </c>
    </row>
    <row r="2144" spans="10:11">
      <c r="J2144" s="100" t="str">
        <f t="shared" si="115"/>
        <v/>
      </c>
      <c r="K2144" s="100" t="str">
        <f t="shared" si="116"/>
        <v/>
      </c>
    </row>
    <row r="2145" spans="10:11">
      <c r="J2145" s="100" t="str">
        <f t="shared" si="115"/>
        <v/>
      </c>
      <c r="K2145" s="100" t="str">
        <f t="shared" si="116"/>
        <v/>
      </c>
    </row>
    <row r="2146" spans="10:11">
      <c r="J2146" s="100" t="str">
        <f t="shared" si="115"/>
        <v/>
      </c>
      <c r="K2146" s="100" t="str">
        <f t="shared" si="116"/>
        <v/>
      </c>
    </row>
    <row r="2147" spans="10:11">
      <c r="J2147" s="100" t="str">
        <f t="shared" si="115"/>
        <v/>
      </c>
      <c r="K2147" s="100" t="str">
        <f t="shared" si="116"/>
        <v/>
      </c>
    </row>
    <row r="2148" spans="10:11">
      <c r="J2148" s="100" t="str">
        <f t="shared" si="115"/>
        <v/>
      </c>
      <c r="K2148" s="100" t="str">
        <f t="shared" si="116"/>
        <v/>
      </c>
    </row>
    <row r="2149" spans="10:11">
      <c r="J2149" s="100" t="str">
        <f t="shared" si="115"/>
        <v/>
      </c>
      <c r="K2149" s="100" t="str">
        <f t="shared" si="116"/>
        <v/>
      </c>
    </row>
    <row r="2150" spans="10:11">
      <c r="J2150" s="100" t="str">
        <f t="shared" si="115"/>
        <v/>
      </c>
      <c r="K2150" s="100" t="str">
        <f t="shared" si="116"/>
        <v/>
      </c>
    </row>
    <row r="2151" spans="10:11">
      <c r="J2151" s="100" t="str">
        <f t="shared" si="115"/>
        <v/>
      </c>
      <c r="K2151" s="100" t="str">
        <f t="shared" si="116"/>
        <v/>
      </c>
    </row>
    <row r="2152" spans="10:11">
      <c r="J2152" s="100" t="str">
        <f t="shared" si="115"/>
        <v/>
      </c>
      <c r="K2152" s="100" t="str">
        <f t="shared" si="116"/>
        <v/>
      </c>
    </row>
    <row r="2153" spans="10:11">
      <c r="J2153" s="100" t="str">
        <f t="shared" si="115"/>
        <v/>
      </c>
      <c r="K2153" s="100" t="str">
        <f t="shared" si="116"/>
        <v/>
      </c>
    </row>
    <row r="2154" spans="10:11">
      <c r="J2154" s="100" t="str">
        <f t="shared" si="115"/>
        <v/>
      </c>
      <c r="K2154" s="100" t="str">
        <f t="shared" si="116"/>
        <v/>
      </c>
    </row>
    <row r="2155" spans="10:11">
      <c r="J2155" s="100" t="str">
        <f t="shared" si="115"/>
        <v/>
      </c>
      <c r="K2155" s="100" t="str">
        <f t="shared" si="116"/>
        <v/>
      </c>
    </row>
    <row r="2156" spans="10:11">
      <c r="J2156" s="100" t="str">
        <f t="shared" si="115"/>
        <v/>
      </c>
      <c r="K2156" s="100" t="str">
        <f t="shared" si="116"/>
        <v/>
      </c>
    </row>
    <row r="2157" spans="10:11">
      <c r="J2157" s="100" t="str">
        <f t="shared" si="115"/>
        <v/>
      </c>
      <c r="K2157" s="100" t="str">
        <f t="shared" si="116"/>
        <v/>
      </c>
    </row>
    <row r="2158" spans="10:11">
      <c r="J2158" s="100" t="str">
        <f t="shared" si="115"/>
        <v/>
      </c>
      <c r="K2158" s="100" t="str">
        <f t="shared" si="116"/>
        <v/>
      </c>
    </row>
    <row r="2159" spans="10:11">
      <c r="J2159" s="100" t="str">
        <f t="shared" si="115"/>
        <v/>
      </c>
      <c r="K2159" s="100" t="str">
        <f t="shared" si="116"/>
        <v/>
      </c>
    </row>
    <row r="2160" spans="10:11">
      <c r="J2160" s="100" t="str">
        <f t="shared" si="115"/>
        <v/>
      </c>
      <c r="K2160" s="100" t="str">
        <f t="shared" si="116"/>
        <v/>
      </c>
    </row>
    <row r="2161" spans="10:11">
      <c r="J2161" s="100" t="str">
        <f t="shared" si="115"/>
        <v/>
      </c>
      <c r="K2161" s="100" t="str">
        <f t="shared" si="116"/>
        <v/>
      </c>
    </row>
    <row r="2162" spans="10:11">
      <c r="J2162" s="100" t="str">
        <f t="shared" si="115"/>
        <v/>
      </c>
      <c r="K2162" s="100" t="str">
        <f t="shared" si="116"/>
        <v/>
      </c>
    </row>
    <row r="2163" spans="10:11">
      <c r="J2163" s="100" t="str">
        <f t="shared" si="115"/>
        <v/>
      </c>
      <c r="K2163" s="100" t="str">
        <f t="shared" si="116"/>
        <v/>
      </c>
    </row>
    <row r="2164" spans="10:11">
      <c r="J2164" s="100" t="str">
        <f t="shared" si="115"/>
        <v/>
      </c>
      <c r="K2164" s="100" t="str">
        <f t="shared" si="116"/>
        <v/>
      </c>
    </row>
    <row r="2165" spans="10:11">
      <c r="J2165" s="100" t="str">
        <f t="shared" si="115"/>
        <v/>
      </c>
      <c r="K2165" s="100" t="str">
        <f t="shared" si="116"/>
        <v/>
      </c>
    </row>
    <row r="2166" spans="10:11">
      <c r="J2166" s="100" t="str">
        <f t="shared" ref="J2166:J2229" si="117">C2166&amp;D2166&amp;G2166</f>
        <v/>
      </c>
      <c r="K2166" s="100" t="str">
        <f t="shared" ref="K2166:K2229" si="118">C2166&amp;D2166&amp;H2166</f>
        <v/>
      </c>
    </row>
    <row r="2167" spans="10:11">
      <c r="J2167" s="100" t="str">
        <f t="shared" si="117"/>
        <v/>
      </c>
      <c r="K2167" s="100" t="str">
        <f t="shared" si="118"/>
        <v/>
      </c>
    </row>
    <row r="2168" spans="10:11">
      <c r="J2168" s="100" t="str">
        <f t="shared" si="117"/>
        <v/>
      </c>
      <c r="K2168" s="100" t="str">
        <f t="shared" si="118"/>
        <v/>
      </c>
    </row>
    <row r="2169" spans="10:11">
      <c r="J2169" s="100" t="str">
        <f t="shared" si="117"/>
        <v/>
      </c>
      <c r="K2169" s="100" t="str">
        <f t="shared" si="118"/>
        <v/>
      </c>
    </row>
    <row r="2170" spans="10:11">
      <c r="J2170" s="100" t="str">
        <f t="shared" si="117"/>
        <v/>
      </c>
      <c r="K2170" s="100" t="str">
        <f t="shared" si="118"/>
        <v/>
      </c>
    </row>
    <row r="2171" spans="10:11">
      <c r="J2171" s="100" t="str">
        <f t="shared" si="117"/>
        <v/>
      </c>
      <c r="K2171" s="100" t="str">
        <f t="shared" si="118"/>
        <v/>
      </c>
    </row>
    <row r="2172" spans="10:11">
      <c r="J2172" s="100" t="str">
        <f t="shared" si="117"/>
        <v/>
      </c>
      <c r="K2172" s="100" t="str">
        <f t="shared" si="118"/>
        <v/>
      </c>
    </row>
    <row r="2173" spans="10:11">
      <c r="J2173" s="100" t="str">
        <f t="shared" si="117"/>
        <v/>
      </c>
      <c r="K2173" s="100" t="str">
        <f t="shared" si="118"/>
        <v/>
      </c>
    </row>
    <row r="2174" spans="10:11">
      <c r="J2174" s="100" t="str">
        <f t="shared" si="117"/>
        <v/>
      </c>
      <c r="K2174" s="100" t="str">
        <f t="shared" si="118"/>
        <v/>
      </c>
    </row>
    <row r="2175" spans="10:11">
      <c r="J2175" s="100" t="str">
        <f t="shared" si="117"/>
        <v/>
      </c>
      <c r="K2175" s="100" t="str">
        <f t="shared" si="118"/>
        <v/>
      </c>
    </row>
    <row r="2176" spans="10:11">
      <c r="J2176" s="100" t="str">
        <f t="shared" si="117"/>
        <v/>
      </c>
      <c r="K2176" s="100" t="str">
        <f t="shared" si="118"/>
        <v/>
      </c>
    </row>
    <row r="2177" spans="10:11">
      <c r="J2177" s="100" t="str">
        <f t="shared" si="117"/>
        <v/>
      </c>
      <c r="K2177" s="100" t="str">
        <f t="shared" si="118"/>
        <v/>
      </c>
    </row>
    <row r="2178" spans="10:11">
      <c r="J2178" s="100" t="str">
        <f t="shared" si="117"/>
        <v/>
      </c>
      <c r="K2178" s="100" t="str">
        <f t="shared" si="118"/>
        <v/>
      </c>
    </row>
    <row r="2179" spans="10:11">
      <c r="J2179" s="100" t="str">
        <f t="shared" si="117"/>
        <v/>
      </c>
      <c r="K2179" s="100" t="str">
        <f t="shared" si="118"/>
        <v/>
      </c>
    </row>
    <row r="2180" spans="10:11">
      <c r="J2180" s="100" t="str">
        <f t="shared" si="117"/>
        <v/>
      </c>
      <c r="K2180" s="100" t="str">
        <f t="shared" si="118"/>
        <v/>
      </c>
    </row>
    <row r="2181" spans="10:11">
      <c r="J2181" s="100" t="str">
        <f t="shared" si="117"/>
        <v/>
      </c>
      <c r="K2181" s="100" t="str">
        <f t="shared" si="118"/>
        <v/>
      </c>
    </row>
    <row r="2182" spans="10:11">
      <c r="J2182" s="100" t="str">
        <f t="shared" si="117"/>
        <v/>
      </c>
      <c r="K2182" s="100" t="str">
        <f t="shared" si="118"/>
        <v/>
      </c>
    </row>
    <row r="2183" spans="10:11">
      <c r="J2183" s="100" t="str">
        <f t="shared" si="117"/>
        <v/>
      </c>
      <c r="K2183" s="100" t="str">
        <f t="shared" si="118"/>
        <v/>
      </c>
    </row>
    <row r="2184" spans="10:11">
      <c r="J2184" s="100" t="str">
        <f t="shared" si="117"/>
        <v/>
      </c>
      <c r="K2184" s="100" t="str">
        <f t="shared" si="118"/>
        <v/>
      </c>
    </row>
    <row r="2185" spans="10:11">
      <c r="J2185" s="100" t="str">
        <f t="shared" si="117"/>
        <v/>
      </c>
      <c r="K2185" s="100" t="str">
        <f t="shared" si="118"/>
        <v/>
      </c>
    </row>
    <row r="2186" spans="10:11">
      <c r="J2186" s="100" t="str">
        <f t="shared" si="117"/>
        <v/>
      </c>
      <c r="K2186" s="100" t="str">
        <f t="shared" si="118"/>
        <v/>
      </c>
    </row>
    <row r="2187" spans="10:11">
      <c r="J2187" s="100" t="str">
        <f t="shared" si="117"/>
        <v/>
      </c>
      <c r="K2187" s="100" t="str">
        <f t="shared" si="118"/>
        <v/>
      </c>
    </row>
    <row r="2188" spans="10:11">
      <c r="J2188" s="100" t="str">
        <f t="shared" si="117"/>
        <v/>
      </c>
      <c r="K2188" s="100" t="str">
        <f t="shared" si="118"/>
        <v/>
      </c>
    </row>
    <row r="2189" spans="10:11">
      <c r="J2189" s="100" t="str">
        <f t="shared" si="117"/>
        <v/>
      </c>
      <c r="K2189" s="100" t="str">
        <f t="shared" si="118"/>
        <v/>
      </c>
    </row>
    <row r="2190" spans="10:11">
      <c r="J2190" s="100" t="str">
        <f t="shared" si="117"/>
        <v/>
      </c>
      <c r="K2190" s="100" t="str">
        <f t="shared" si="118"/>
        <v/>
      </c>
    </row>
    <row r="2191" spans="10:11">
      <c r="J2191" s="100" t="str">
        <f t="shared" si="117"/>
        <v/>
      </c>
      <c r="K2191" s="100" t="str">
        <f t="shared" si="118"/>
        <v/>
      </c>
    </row>
    <row r="2192" spans="10:11">
      <c r="J2192" s="100" t="str">
        <f t="shared" si="117"/>
        <v/>
      </c>
      <c r="K2192" s="100" t="str">
        <f t="shared" si="118"/>
        <v/>
      </c>
    </row>
    <row r="2193" spans="10:11">
      <c r="J2193" s="100" t="str">
        <f t="shared" si="117"/>
        <v/>
      </c>
      <c r="K2193" s="100" t="str">
        <f t="shared" si="118"/>
        <v/>
      </c>
    </row>
    <row r="2194" spans="10:11">
      <c r="J2194" s="100" t="str">
        <f t="shared" si="117"/>
        <v/>
      </c>
      <c r="K2194" s="100" t="str">
        <f t="shared" si="118"/>
        <v/>
      </c>
    </row>
    <row r="2195" spans="10:11">
      <c r="J2195" s="100" t="str">
        <f t="shared" si="117"/>
        <v/>
      </c>
      <c r="K2195" s="100" t="str">
        <f t="shared" si="118"/>
        <v/>
      </c>
    </row>
    <row r="2196" spans="10:11">
      <c r="J2196" s="100" t="str">
        <f t="shared" si="117"/>
        <v/>
      </c>
      <c r="K2196" s="100" t="str">
        <f t="shared" si="118"/>
        <v/>
      </c>
    </row>
    <row r="2197" spans="10:11">
      <c r="J2197" s="100" t="str">
        <f t="shared" si="117"/>
        <v/>
      </c>
      <c r="K2197" s="100" t="str">
        <f t="shared" si="118"/>
        <v/>
      </c>
    </row>
    <row r="2198" spans="10:11">
      <c r="J2198" s="100" t="str">
        <f t="shared" si="117"/>
        <v/>
      </c>
      <c r="K2198" s="100" t="str">
        <f t="shared" si="118"/>
        <v/>
      </c>
    </row>
    <row r="2199" spans="10:11">
      <c r="J2199" s="100" t="str">
        <f t="shared" si="117"/>
        <v/>
      </c>
      <c r="K2199" s="100" t="str">
        <f t="shared" si="118"/>
        <v/>
      </c>
    </row>
    <row r="2200" spans="10:11">
      <c r="J2200" s="100" t="str">
        <f t="shared" si="117"/>
        <v/>
      </c>
      <c r="K2200" s="100" t="str">
        <f t="shared" si="118"/>
        <v/>
      </c>
    </row>
    <row r="2201" spans="10:11">
      <c r="J2201" s="100" t="str">
        <f t="shared" si="117"/>
        <v/>
      </c>
      <c r="K2201" s="100" t="str">
        <f t="shared" si="118"/>
        <v/>
      </c>
    </row>
    <row r="2202" spans="10:11">
      <c r="J2202" s="100" t="str">
        <f t="shared" si="117"/>
        <v/>
      </c>
      <c r="K2202" s="100" t="str">
        <f t="shared" si="118"/>
        <v/>
      </c>
    </row>
    <row r="2203" spans="10:11">
      <c r="J2203" s="100" t="str">
        <f t="shared" si="117"/>
        <v/>
      </c>
      <c r="K2203" s="100" t="str">
        <f t="shared" si="118"/>
        <v/>
      </c>
    </row>
    <row r="2204" spans="10:11">
      <c r="J2204" s="100" t="str">
        <f t="shared" si="117"/>
        <v/>
      </c>
      <c r="K2204" s="100" t="str">
        <f t="shared" si="118"/>
        <v/>
      </c>
    </row>
    <row r="2205" spans="10:11">
      <c r="J2205" s="100" t="str">
        <f t="shared" si="117"/>
        <v/>
      </c>
      <c r="K2205" s="100" t="str">
        <f t="shared" si="118"/>
        <v/>
      </c>
    </row>
    <row r="2206" spans="10:11">
      <c r="J2206" s="100" t="str">
        <f t="shared" si="117"/>
        <v/>
      </c>
      <c r="K2206" s="100" t="str">
        <f t="shared" si="118"/>
        <v/>
      </c>
    </row>
    <row r="2207" spans="10:11">
      <c r="J2207" s="100" t="str">
        <f t="shared" si="117"/>
        <v/>
      </c>
      <c r="K2207" s="100" t="str">
        <f t="shared" si="118"/>
        <v/>
      </c>
    </row>
    <row r="2208" spans="10:11">
      <c r="J2208" s="100" t="str">
        <f t="shared" si="117"/>
        <v/>
      </c>
      <c r="K2208" s="100" t="str">
        <f t="shared" si="118"/>
        <v/>
      </c>
    </row>
    <row r="2209" spans="10:11">
      <c r="J2209" s="100" t="str">
        <f t="shared" si="117"/>
        <v/>
      </c>
      <c r="K2209" s="100" t="str">
        <f t="shared" si="118"/>
        <v/>
      </c>
    </row>
    <row r="2210" spans="10:11">
      <c r="J2210" s="100" t="str">
        <f t="shared" si="117"/>
        <v/>
      </c>
      <c r="K2210" s="100" t="str">
        <f t="shared" si="118"/>
        <v/>
      </c>
    </row>
    <row r="2211" spans="10:11">
      <c r="J2211" s="100" t="str">
        <f t="shared" si="117"/>
        <v/>
      </c>
      <c r="K2211" s="100" t="str">
        <f t="shared" si="118"/>
        <v/>
      </c>
    </row>
    <row r="2212" spans="10:11">
      <c r="J2212" s="100" t="str">
        <f t="shared" si="117"/>
        <v/>
      </c>
      <c r="K2212" s="100" t="str">
        <f t="shared" si="118"/>
        <v/>
      </c>
    </row>
    <row r="2213" spans="10:11">
      <c r="J2213" s="100" t="str">
        <f t="shared" si="117"/>
        <v/>
      </c>
      <c r="K2213" s="100" t="str">
        <f t="shared" si="118"/>
        <v/>
      </c>
    </row>
    <row r="2214" spans="10:11">
      <c r="J2214" s="100" t="str">
        <f t="shared" si="117"/>
        <v/>
      </c>
      <c r="K2214" s="100" t="str">
        <f t="shared" si="118"/>
        <v/>
      </c>
    </row>
    <row r="2215" spans="10:11">
      <c r="J2215" s="100" t="str">
        <f t="shared" si="117"/>
        <v/>
      </c>
      <c r="K2215" s="100" t="str">
        <f t="shared" si="118"/>
        <v/>
      </c>
    </row>
    <row r="2216" spans="10:11">
      <c r="J2216" s="100" t="str">
        <f t="shared" si="117"/>
        <v/>
      </c>
      <c r="K2216" s="100" t="str">
        <f t="shared" si="118"/>
        <v/>
      </c>
    </row>
    <row r="2217" spans="10:11">
      <c r="J2217" s="100" t="str">
        <f t="shared" si="117"/>
        <v/>
      </c>
      <c r="K2217" s="100" t="str">
        <f t="shared" si="118"/>
        <v/>
      </c>
    </row>
    <row r="2218" spans="10:11">
      <c r="J2218" s="100" t="str">
        <f t="shared" si="117"/>
        <v/>
      </c>
      <c r="K2218" s="100" t="str">
        <f t="shared" si="118"/>
        <v/>
      </c>
    </row>
    <row r="2219" spans="10:11">
      <c r="J2219" s="100" t="str">
        <f t="shared" si="117"/>
        <v/>
      </c>
      <c r="K2219" s="100" t="str">
        <f t="shared" si="118"/>
        <v/>
      </c>
    </row>
    <row r="2220" spans="10:11">
      <c r="J2220" s="100" t="str">
        <f t="shared" si="117"/>
        <v/>
      </c>
      <c r="K2220" s="100" t="str">
        <f t="shared" si="118"/>
        <v/>
      </c>
    </row>
    <row r="2221" spans="10:11">
      <c r="J2221" s="100" t="str">
        <f t="shared" si="117"/>
        <v/>
      </c>
      <c r="K2221" s="100" t="str">
        <f t="shared" si="118"/>
        <v/>
      </c>
    </row>
    <row r="2222" spans="10:11">
      <c r="J2222" s="100" t="str">
        <f t="shared" si="117"/>
        <v/>
      </c>
      <c r="K2222" s="100" t="str">
        <f t="shared" si="118"/>
        <v/>
      </c>
    </row>
    <row r="2223" spans="10:11">
      <c r="J2223" s="100" t="str">
        <f t="shared" si="117"/>
        <v/>
      </c>
      <c r="K2223" s="100" t="str">
        <f t="shared" si="118"/>
        <v/>
      </c>
    </row>
    <row r="2224" spans="10:11">
      <c r="J2224" s="100" t="str">
        <f t="shared" si="117"/>
        <v/>
      </c>
      <c r="K2224" s="100" t="str">
        <f t="shared" si="118"/>
        <v/>
      </c>
    </row>
    <row r="2225" spans="10:11">
      <c r="J2225" s="100" t="str">
        <f t="shared" si="117"/>
        <v/>
      </c>
      <c r="K2225" s="100" t="str">
        <f t="shared" si="118"/>
        <v/>
      </c>
    </row>
    <row r="2226" spans="10:11">
      <c r="J2226" s="100" t="str">
        <f t="shared" si="117"/>
        <v/>
      </c>
      <c r="K2226" s="100" t="str">
        <f t="shared" si="118"/>
        <v/>
      </c>
    </row>
    <row r="2227" spans="10:11">
      <c r="J2227" s="100" t="str">
        <f t="shared" si="117"/>
        <v/>
      </c>
      <c r="K2227" s="100" t="str">
        <f t="shared" si="118"/>
        <v/>
      </c>
    </row>
    <row r="2228" spans="10:11">
      <c r="J2228" s="100" t="str">
        <f t="shared" si="117"/>
        <v/>
      </c>
      <c r="K2228" s="100" t="str">
        <f t="shared" si="118"/>
        <v/>
      </c>
    </row>
    <row r="2229" spans="10:11">
      <c r="J2229" s="100" t="str">
        <f t="shared" si="117"/>
        <v/>
      </c>
      <c r="K2229" s="100" t="str">
        <f t="shared" si="118"/>
        <v/>
      </c>
    </row>
    <row r="2230" spans="10:11">
      <c r="J2230" s="100" t="str">
        <f t="shared" ref="J2230:J2293" si="119">C2230&amp;D2230&amp;G2230</f>
        <v/>
      </c>
      <c r="K2230" s="100" t="str">
        <f t="shared" ref="K2230:K2293" si="120">C2230&amp;D2230&amp;H2230</f>
        <v/>
      </c>
    </row>
    <row r="2231" spans="10:11">
      <c r="J2231" s="100" t="str">
        <f t="shared" si="119"/>
        <v/>
      </c>
      <c r="K2231" s="100" t="str">
        <f t="shared" si="120"/>
        <v/>
      </c>
    </row>
    <row r="2232" spans="10:11">
      <c r="J2232" s="100" t="str">
        <f t="shared" si="119"/>
        <v/>
      </c>
      <c r="K2232" s="100" t="str">
        <f t="shared" si="120"/>
        <v/>
      </c>
    </row>
    <row r="2233" spans="10:11">
      <c r="J2233" s="100" t="str">
        <f t="shared" si="119"/>
        <v/>
      </c>
      <c r="K2233" s="100" t="str">
        <f t="shared" si="120"/>
        <v/>
      </c>
    </row>
    <row r="2234" spans="10:11">
      <c r="J2234" s="100" t="str">
        <f t="shared" si="119"/>
        <v/>
      </c>
      <c r="K2234" s="100" t="str">
        <f t="shared" si="120"/>
        <v/>
      </c>
    </row>
    <row r="2235" spans="10:11">
      <c r="J2235" s="100" t="str">
        <f t="shared" si="119"/>
        <v/>
      </c>
      <c r="K2235" s="100" t="str">
        <f t="shared" si="120"/>
        <v/>
      </c>
    </row>
    <row r="2236" spans="10:11">
      <c r="J2236" s="100" t="str">
        <f t="shared" si="119"/>
        <v/>
      </c>
      <c r="K2236" s="100" t="str">
        <f t="shared" si="120"/>
        <v/>
      </c>
    </row>
    <row r="2237" spans="10:11">
      <c r="J2237" s="100" t="str">
        <f t="shared" si="119"/>
        <v/>
      </c>
      <c r="K2237" s="100" t="str">
        <f t="shared" si="120"/>
        <v/>
      </c>
    </row>
    <row r="2238" spans="10:11">
      <c r="J2238" s="100" t="str">
        <f t="shared" si="119"/>
        <v/>
      </c>
      <c r="K2238" s="100" t="str">
        <f t="shared" si="120"/>
        <v/>
      </c>
    </row>
    <row r="2239" spans="10:11">
      <c r="J2239" s="100" t="str">
        <f t="shared" si="119"/>
        <v/>
      </c>
      <c r="K2239" s="100" t="str">
        <f t="shared" si="120"/>
        <v/>
      </c>
    </row>
    <row r="2240" spans="10:11">
      <c r="J2240" s="100" t="str">
        <f t="shared" si="119"/>
        <v/>
      </c>
      <c r="K2240" s="100" t="str">
        <f t="shared" si="120"/>
        <v/>
      </c>
    </row>
    <row r="2241" spans="10:11">
      <c r="J2241" s="100" t="str">
        <f t="shared" si="119"/>
        <v/>
      </c>
      <c r="K2241" s="100" t="str">
        <f t="shared" si="120"/>
        <v/>
      </c>
    </row>
    <row r="2242" spans="10:11">
      <c r="J2242" s="100" t="str">
        <f t="shared" si="119"/>
        <v/>
      </c>
      <c r="K2242" s="100" t="str">
        <f t="shared" si="120"/>
        <v/>
      </c>
    </row>
    <row r="2243" spans="10:11">
      <c r="J2243" s="100" t="str">
        <f t="shared" si="119"/>
        <v/>
      </c>
      <c r="K2243" s="100" t="str">
        <f t="shared" si="120"/>
        <v/>
      </c>
    </row>
    <row r="2244" spans="10:11">
      <c r="J2244" s="100" t="str">
        <f t="shared" si="119"/>
        <v/>
      </c>
      <c r="K2244" s="100" t="str">
        <f t="shared" si="120"/>
        <v/>
      </c>
    </row>
    <row r="2245" spans="10:11">
      <c r="J2245" s="100" t="str">
        <f t="shared" si="119"/>
        <v/>
      </c>
      <c r="K2245" s="100" t="str">
        <f t="shared" si="120"/>
        <v/>
      </c>
    </row>
    <row r="2246" spans="10:11">
      <c r="J2246" s="100" t="str">
        <f t="shared" si="119"/>
        <v/>
      </c>
      <c r="K2246" s="100" t="str">
        <f t="shared" si="120"/>
        <v/>
      </c>
    </row>
    <row r="2247" spans="10:11">
      <c r="J2247" s="100" t="str">
        <f t="shared" si="119"/>
        <v/>
      </c>
      <c r="K2247" s="100" t="str">
        <f t="shared" si="120"/>
        <v/>
      </c>
    </row>
    <row r="2248" spans="10:11">
      <c r="J2248" s="100" t="str">
        <f t="shared" si="119"/>
        <v/>
      </c>
      <c r="K2248" s="100" t="str">
        <f t="shared" si="120"/>
        <v/>
      </c>
    </row>
    <row r="2249" spans="10:11">
      <c r="J2249" s="100" t="str">
        <f t="shared" si="119"/>
        <v/>
      </c>
      <c r="K2249" s="100" t="str">
        <f t="shared" si="120"/>
        <v/>
      </c>
    </row>
    <row r="2250" spans="10:11">
      <c r="J2250" s="100" t="str">
        <f t="shared" si="119"/>
        <v/>
      </c>
      <c r="K2250" s="100" t="str">
        <f t="shared" si="120"/>
        <v/>
      </c>
    </row>
    <row r="2251" spans="10:11">
      <c r="J2251" s="100" t="str">
        <f t="shared" si="119"/>
        <v/>
      </c>
      <c r="K2251" s="100" t="str">
        <f t="shared" si="120"/>
        <v/>
      </c>
    </row>
    <row r="2252" spans="10:11">
      <c r="J2252" s="100" t="str">
        <f t="shared" si="119"/>
        <v/>
      </c>
      <c r="K2252" s="100" t="str">
        <f t="shared" si="120"/>
        <v/>
      </c>
    </row>
    <row r="2253" spans="10:11">
      <c r="J2253" s="100" t="str">
        <f t="shared" si="119"/>
        <v/>
      </c>
      <c r="K2253" s="100" t="str">
        <f t="shared" si="120"/>
        <v/>
      </c>
    </row>
    <row r="2254" spans="10:11">
      <c r="J2254" s="100" t="str">
        <f t="shared" si="119"/>
        <v/>
      </c>
      <c r="K2254" s="100" t="str">
        <f t="shared" si="120"/>
        <v/>
      </c>
    </row>
    <row r="2255" spans="10:11">
      <c r="J2255" s="100" t="str">
        <f t="shared" si="119"/>
        <v/>
      </c>
      <c r="K2255" s="100" t="str">
        <f t="shared" si="120"/>
        <v/>
      </c>
    </row>
    <row r="2256" spans="10:11">
      <c r="J2256" s="100" t="str">
        <f t="shared" si="119"/>
        <v/>
      </c>
      <c r="K2256" s="100" t="str">
        <f t="shared" si="120"/>
        <v/>
      </c>
    </row>
    <row r="2257" spans="10:11">
      <c r="J2257" s="100" t="str">
        <f t="shared" si="119"/>
        <v/>
      </c>
      <c r="K2257" s="100" t="str">
        <f t="shared" si="120"/>
        <v/>
      </c>
    </row>
    <row r="2258" spans="10:11">
      <c r="J2258" s="100" t="str">
        <f t="shared" si="119"/>
        <v/>
      </c>
      <c r="K2258" s="100" t="str">
        <f t="shared" si="120"/>
        <v/>
      </c>
    </row>
    <row r="2259" spans="10:11">
      <c r="J2259" s="100" t="str">
        <f t="shared" si="119"/>
        <v/>
      </c>
      <c r="K2259" s="100" t="str">
        <f t="shared" si="120"/>
        <v/>
      </c>
    </row>
    <row r="2260" spans="10:11">
      <c r="J2260" s="100" t="str">
        <f t="shared" si="119"/>
        <v/>
      </c>
      <c r="K2260" s="100" t="str">
        <f t="shared" si="120"/>
        <v/>
      </c>
    </row>
    <row r="2261" spans="10:11">
      <c r="J2261" s="100" t="str">
        <f t="shared" si="119"/>
        <v/>
      </c>
      <c r="K2261" s="100" t="str">
        <f t="shared" si="120"/>
        <v/>
      </c>
    </row>
    <row r="2262" spans="10:11">
      <c r="J2262" s="100" t="str">
        <f t="shared" si="119"/>
        <v/>
      </c>
      <c r="K2262" s="100" t="str">
        <f t="shared" si="120"/>
        <v/>
      </c>
    </row>
    <row r="2263" spans="10:11">
      <c r="J2263" s="100" t="str">
        <f t="shared" si="119"/>
        <v/>
      </c>
      <c r="K2263" s="100" t="str">
        <f t="shared" si="120"/>
        <v/>
      </c>
    </row>
    <row r="2264" spans="10:11">
      <c r="J2264" s="100" t="str">
        <f t="shared" si="119"/>
        <v/>
      </c>
      <c r="K2264" s="100" t="str">
        <f t="shared" si="120"/>
        <v/>
      </c>
    </row>
    <row r="2265" spans="10:11">
      <c r="J2265" s="100" t="str">
        <f t="shared" si="119"/>
        <v/>
      </c>
      <c r="K2265" s="100" t="str">
        <f t="shared" si="120"/>
        <v/>
      </c>
    </row>
    <row r="2266" spans="10:11">
      <c r="J2266" s="100" t="str">
        <f t="shared" si="119"/>
        <v/>
      </c>
      <c r="K2266" s="100" t="str">
        <f t="shared" si="120"/>
        <v/>
      </c>
    </row>
    <row r="2267" spans="10:11">
      <c r="J2267" s="100" t="str">
        <f t="shared" si="119"/>
        <v/>
      </c>
      <c r="K2267" s="100" t="str">
        <f t="shared" si="120"/>
        <v/>
      </c>
    </row>
    <row r="2268" spans="10:11">
      <c r="J2268" s="100" t="str">
        <f t="shared" si="119"/>
        <v/>
      </c>
      <c r="K2268" s="100" t="str">
        <f t="shared" si="120"/>
        <v/>
      </c>
    </row>
    <row r="2269" spans="10:11">
      <c r="J2269" s="100" t="str">
        <f t="shared" si="119"/>
        <v/>
      </c>
      <c r="K2269" s="100" t="str">
        <f t="shared" si="120"/>
        <v/>
      </c>
    </row>
    <row r="2270" spans="10:11">
      <c r="J2270" s="100" t="str">
        <f t="shared" si="119"/>
        <v/>
      </c>
      <c r="K2270" s="100" t="str">
        <f t="shared" si="120"/>
        <v/>
      </c>
    </row>
    <row r="2271" spans="10:11">
      <c r="J2271" s="100" t="str">
        <f t="shared" si="119"/>
        <v/>
      </c>
      <c r="K2271" s="100" t="str">
        <f t="shared" si="120"/>
        <v/>
      </c>
    </row>
    <row r="2272" spans="10:11">
      <c r="J2272" s="100" t="str">
        <f t="shared" si="119"/>
        <v/>
      </c>
      <c r="K2272" s="100" t="str">
        <f t="shared" si="120"/>
        <v/>
      </c>
    </row>
    <row r="2273" spans="10:11">
      <c r="J2273" s="100" t="str">
        <f t="shared" si="119"/>
        <v/>
      </c>
      <c r="K2273" s="100" t="str">
        <f t="shared" si="120"/>
        <v/>
      </c>
    </row>
    <row r="2274" spans="10:11">
      <c r="J2274" s="100" t="str">
        <f t="shared" si="119"/>
        <v/>
      </c>
      <c r="K2274" s="100" t="str">
        <f t="shared" si="120"/>
        <v/>
      </c>
    </row>
    <row r="2275" spans="10:11">
      <c r="J2275" s="100" t="str">
        <f t="shared" si="119"/>
        <v/>
      </c>
      <c r="K2275" s="100" t="str">
        <f t="shared" si="120"/>
        <v/>
      </c>
    </row>
    <row r="2276" spans="10:11">
      <c r="J2276" s="100" t="str">
        <f t="shared" si="119"/>
        <v/>
      </c>
      <c r="K2276" s="100" t="str">
        <f t="shared" si="120"/>
        <v/>
      </c>
    </row>
    <row r="2277" spans="10:11">
      <c r="J2277" s="100" t="str">
        <f t="shared" si="119"/>
        <v/>
      </c>
      <c r="K2277" s="100" t="str">
        <f t="shared" si="120"/>
        <v/>
      </c>
    </row>
    <row r="2278" spans="10:11">
      <c r="J2278" s="100" t="str">
        <f t="shared" si="119"/>
        <v/>
      </c>
      <c r="K2278" s="100" t="str">
        <f t="shared" si="120"/>
        <v/>
      </c>
    </row>
    <row r="2279" spans="10:11">
      <c r="J2279" s="100" t="str">
        <f t="shared" si="119"/>
        <v/>
      </c>
      <c r="K2279" s="100" t="str">
        <f t="shared" si="120"/>
        <v/>
      </c>
    </row>
    <row r="2280" spans="10:11">
      <c r="J2280" s="100" t="str">
        <f t="shared" si="119"/>
        <v/>
      </c>
      <c r="K2280" s="100" t="str">
        <f t="shared" si="120"/>
        <v/>
      </c>
    </row>
    <row r="2281" spans="10:11">
      <c r="J2281" s="100" t="str">
        <f t="shared" si="119"/>
        <v/>
      </c>
      <c r="K2281" s="100" t="str">
        <f t="shared" si="120"/>
        <v/>
      </c>
    </row>
    <row r="2282" spans="10:11">
      <c r="J2282" s="100" t="str">
        <f t="shared" si="119"/>
        <v/>
      </c>
      <c r="K2282" s="100" t="str">
        <f t="shared" si="120"/>
        <v/>
      </c>
    </row>
    <row r="2283" spans="10:11">
      <c r="J2283" s="100" t="str">
        <f t="shared" si="119"/>
        <v/>
      </c>
      <c r="K2283" s="100" t="str">
        <f t="shared" si="120"/>
        <v/>
      </c>
    </row>
    <row r="2284" spans="10:11">
      <c r="J2284" s="100" t="str">
        <f t="shared" si="119"/>
        <v/>
      </c>
      <c r="K2284" s="100" t="str">
        <f t="shared" si="120"/>
        <v/>
      </c>
    </row>
    <row r="2285" spans="10:11">
      <c r="J2285" s="100" t="str">
        <f t="shared" si="119"/>
        <v/>
      </c>
      <c r="K2285" s="100" t="str">
        <f t="shared" si="120"/>
        <v/>
      </c>
    </row>
    <row r="2286" spans="10:11">
      <c r="J2286" s="100" t="str">
        <f t="shared" si="119"/>
        <v/>
      </c>
      <c r="K2286" s="100" t="str">
        <f t="shared" si="120"/>
        <v/>
      </c>
    </row>
    <row r="2287" spans="10:11">
      <c r="J2287" s="100" t="str">
        <f t="shared" si="119"/>
        <v/>
      </c>
      <c r="K2287" s="100" t="str">
        <f t="shared" si="120"/>
        <v/>
      </c>
    </row>
    <row r="2288" spans="10:11">
      <c r="J2288" s="100" t="str">
        <f t="shared" si="119"/>
        <v/>
      </c>
      <c r="K2288" s="100" t="str">
        <f t="shared" si="120"/>
        <v/>
      </c>
    </row>
    <row r="2289" spans="10:11">
      <c r="J2289" s="100" t="str">
        <f t="shared" si="119"/>
        <v/>
      </c>
      <c r="K2289" s="100" t="str">
        <f t="shared" si="120"/>
        <v/>
      </c>
    </row>
    <row r="2290" spans="10:11">
      <c r="J2290" s="100" t="str">
        <f t="shared" si="119"/>
        <v/>
      </c>
      <c r="K2290" s="100" t="str">
        <f t="shared" si="120"/>
        <v/>
      </c>
    </row>
    <row r="2291" spans="10:11">
      <c r="J2291" s="100" t="str">
        <f t="shared" si="119"/>
        <v/>
      </c>
      <c r="K2291" s="100" t="str">
        <f t="shared" si="120"/>
        <v/>
      </c>
    </row>
    <row r="2292" spans="10:11">
      <c r="J2292" s="100" t="str">
        <f t="shared" si="119"/>
        <v/>
      </c>
      <c r="K2292" s="100" t="str">
        <f t="shared" si="120"/>
        <v/>
      </c>
    </row>
    <row r="2293" spans="10:11">
      <c r="J2293" s="100" t="str">
        <f t="shared" si="119"/>
        <v/>
      </c>
      <c r="K2293" s="100" t="str">
        <f t="shared" si="120"/>
        <v/>
      </c>
    </row>
    <row r="2294" spans="10:11">
      <c r="J2294" s="100" t="str">
        <f t="shared" ref="J2294:J2357" si="121">C2294&amp;D2294&amp;G2294</f>
        <v/>
      </c>
      <c r="K2294" s="100" t="str">
        <f t="shared" ref="K2294:K2357" si="122">C2294&amp;D2294&amp;H2294</f>
        <v/>
      </c>
    </row>
    <row r="2295" spans="10:11">
      <c r="J2295" s="100" t="str">
        <f t="shared" si="121"/>
        <v/>
      </c>
      <c r="K2295" s="100" t="str">
        <f t="shared" si="122"/>
        <v/>
      </c>
    </row>
    <row r="2296" spans="10:11">
      <c r="J2296" s="100" t="str">
        <f t="shared" si="121"/>
        <v/>
      </c>
      <c r="K2296" s="100" t="str">
        <f t="shared" si="122"/>
        <v/>
      </c>
    </row>
    <row r="2297" spans="10:11">
      <c r="J2297" s="100" t="str">
        <f t="shared" si="121"/>
        <v/>
      </c>
      <c r="K2297" s="100" t="str">
        <f t="shared" si="122"/>
        <v/>
      </c>
    </row>
    <row r="2298" spans="10:11">
      <c r="J2298" s="100" t="str">
        <f t="shared" si="121"/>
        <v/>
      </c>
      <c r="K2298" s="100" t="str">
        <f t="shared" si="122"/>
        <v/>
      </c>
    </row>
    <row r="2299" spans="10:11">
      <c r="J2299" s="100" t="str">
        <f t="shared" si="121"/>
        <v/>
      </c>
      <c r="K2299" s="100" t="str">
        <f t="shared" si="122"/>
        <v/>
      </c>
    </row>
    <row r="2300" spans="10:11">
      <c r="J2300" s="100" t="str">
        <f t="shared" si="121"/>
        <v/>
      </c>
      <c r="K2300" s="100" t="str">
        <f t="shared" si="122"/>
        <v/>
      </c>
    </row>
    <row r="2301" spans="10:11">
      <c r="J2301" s="100" t="str">
        <f t="shared" si="121"/>
        <v/>
      </c>
      <c r="K2301" s="100" t="str">
        <f t="shared" si="122"/>
        <v/>
      </c>
    </row>
    <row r="2302" spans="10:11">
      <c r="J2302" s="100" t="str">
        <f t="shared" si="121"/>
        <v/>
      </c>
      <c r="K2302" s="100" t="str">
        <f t="shared" si="122"/>
        <v/>
      </c>
    </row>
    <row r="2303" spans="10:11">
      <c r="J2303" s="100" t="str">
        <f t="shared" si="121"/>
        <v/>
      </c>
      <c r="K2303" s="100" t="str">
        <f t="shared" si="122"/>
        <v/>
      </c>
    </row>
    <row r="2304" spans="10:11">
      <c r="J2304" s="100" t="str">
        <f t="shared" si="121"/>
        <v/>
      </c>
      <c r="K2304" s="100" t="str">
        <f t="shared" si="122"/>
        <v/>
      </c>
    </row>
    <row r="2305" spans="10:11">
      <c r="J2305" s="100" t="str">
        <f t="shared" si="121"/>
        <v/>
      </c>
      <c r="K2305" s="100" t="str">
        <f t="shared" si="122"/>
        <v/>
      </c>
    </row>
    <row r="2306" spans="10:11">
      <c r="J2306" s="100" t="str">
        <f t="shared" si="121"/>
        <v/>
      </c>
      <c r="K2306" s="100" t="str">
        <f t="shared" si="122"/>
        <v/>
      </c>
    </row>
    <row r="2307" spans="10:11">
      <c r="J2307" s="100" t="str">
        <f t="shared" si="121"/>
        <v/>
      </c>
      <c r="K2307" s="100" t="str">
        <f t="shared" si="122"/>
        <v/>
      </c>
    </row>
    <row r="2308" spans="10:11">
      <c r="J2308" s="100" t="str">
        <f t="shared" si="121"/>
        <v/>
      </c>
      <c r="K2308" s="100" t="str">
        <f t="shared" si="122"/>
        <v/>
      </c>
    </row>
    <row r="2309" spans="10:11">
      <c r="J2309" s="100" t="str">
        <f t="shared" si="121"/>
        <v/>
      </c>
      <c r="K2309" s="100" t="str">
        <f t="shared" si="122"/>
        <v/>
      </c>
    </row>
    <row r="2310" spans="10:11">
      <c r="J2310" s="100" t="str">
        <f t="shared" si="121"/>
        <v/>
      </c>
      <c r="K2310" s="100" t="str">
        <f t="shared" si="122"/>
        <v/>
      </c>
    </row>
    <row r="2311" spans="10:11">
      <c r="J2311" s="100" t="str">
        <f t="shared" si="121"/>
        <v/>
      </c>
      <c r="K2311" s="100" t="str">
        <f t="shared" si="122"/>
        <v/>
      </c>
    </row>
    <row r="2312" spans="10:11">
      <c r="J2312" s="100" t="str">
        <f t="shared" si="121"/>
        <v/>
      </c>
      <c r="K2312" s="100" t="str">
        <f t="shared" si="122"/>
        <v/>
      </c>
    </row>
    <row r="2313" spans="10:11">
      <c r="J2313" s="100" t="str">
        <f t="shared" si="121"/>
        <v/>
      </c>
      <c r="K2313" s="100" t="str">
        <f t="shared" si="122"/>
        <v/>
      </c>
    </row>
    <row r="2314" spans="10:11">
      <c r="J2314" s="100" t="str">
        <f t="shared" si="121"/>
        <v/>
      </c>
      <c r="K2314" s="100" t="str">
        <f t="shared" si="122"/>
        <v/>
      </c>
    </row>
    <row r="2315" spans="10:11">
      <c r="J2315" s="100" t="str">
        <f t="shared" si="121"/>
        <v/>
      </c>
      <c r="K2315" s="100" t="str">
        <f t="shared" si="122"/>
        <v/>
      </c>
    </row>
    <row r="2316" spans="10:11">
      <c r="J2316" s="100" t="str">
        <f t="shared" si="121"/>
        <v/>
      </c>
      <c r="K2316" s="100" t="str">
        <f t="shared" si="122"/>
        <v/>
      </c>
    </row>
    <row r="2317" spans="10:11">
      <c r="J2317" s="100" t="str">
        <f t="shared" si="121"/>
        <v/>
      </c>
      <c r="K2317" s="100" t="str">
        <f t="shared" si="122"/>
        <v/>
      </c>
    </row>
    <row r="2318" spans="10:11">
      <c r="J2318" s="100" t="str">
        <f t="shared" si="121"/>
        <v/>
      </c>
      <c r="K2318" s="100" t="str">
        <f t="shared" si="122"/>
        <v/>
      </c>
    </row>
    <row r="2319" spans="10:11">
      <c r="J2319" s="100" t="str">
        <f t="shared" si="121"/>
        <v/>
      </c>
      <c r="K2319" s="100" t="str">
        <f t="shared" si="122"/>
        <v/>
      </c>
    </row>
    <row r="2320" spans="10:11">
      <c r="J2320" s="100" t="str">
        <f t="shared" si="121"/>
        <v/>
      </c>
      <c r="K2320" s="100" t="str">
        <f t="shared" si="122"/>
        <v/>
      </c>
    </row>
    <row r="2321" spans="10:11">
      <c r="J2321" s="100" t="str">
        <f t="shared" si="121"/>
        <v/>
      </c>
      <c r="K2321" s="100" t="str">
        <f t="shared" si="122"/>
        <v/>
      </c>
    </row>
    <row r="2322" spans="10:11">
      <c r="J2322" s="100" t="str">
        <f t="shared" si="121"/>
        <v/>
      </c>
      <c r="K2322" s="100" t="str">
        <f t="shared" si="122"/>
        <v/>
      </c>
    </row>
    <row r="2323" spans="10:11">
      <c r="J2323" s="100" t="str">
        <f t="shared" si="121"/>
        <v/>
      </c>
      <c r="K2323" s="100" t="str">
        <f t="shared" si="122"/>
        <v/>
      </c>
    </row>
    <row r="2324" spans="10:11">
      <c r="J2324" s="100" t="str">
        <f t="shared" si="121"/>
        <v/>
      </c>
      <c r="K2324" s="100" t="str">
        <f t="shared" si="122"/>
        <v/>
      </c>
    </row>
    <row r="2325" spans="10:11">
      <c r="J2325" s="100" t="str">
        <f t="shared" si="121"/>
        <v/>
      </c>
      <c r="K2325" s="100" t="str">
        <f t="shared" si="122"/>
        <v/>
      </c>
    </row>
    <row r="2326" spans="10:11">
      <c r="J2326" s="100" t="str">
        <f t="shared" si="121"/>
        <v/>
      </c>
      <c r="K2326" s="100" t="str">
        <f t="shared" si="122"/>
        <v/>
      </c>
    </row>
    <row r="2327" spans="10:11">
      <c r="J2327" s="100" t="str">
        <f t="shared" si="121"/>
        <v/>
      </c>
      <c r="K2327" s="100" t="str">
        <f t="shared" si="122"/>
        <v/>
      </c>
    </row>
    <row r="2328" spans="10:11">
      <c r="J2328" s="100" t="str">
        <f t="shared" si="121"/>
        <v/>
      </c>
      <c r="K2328" s="100" t="str">
        <f t="shared" si="122"/>
        <v/>
      </c>
    </row>
    <row r="2329" spans="10:11">
      <c r="J2329" s="100" t="str">
        <f t="shared" si="121"/>
        <v/>
      </c>
      <c r="K2329" s="100" t="str">
        <f t="shared" si="122"/>
        <v/>
      </c>
    </row>
    <row r="2330" spans="10:11">
      <c r="J2330" s="100" t="str">
        <f t="shared" si="121"/>
        <v/>
      </c>
      <c r="K2330" s="100" t="str">
        <f t="shared" si="122"/>
        <v/>
      </c>
    </row>
    <row r="2331" spans="10:11">
      <c r="J2331" s="100" t="str">
        <f t="shared" si="121"/>
        <v/>
      </c>
      <c r="K2331" s="100" t="str">
        <f t="shared" si="122"/>
        <v/>
      </c>
    </row>
    <row r="2332" spans="10:11">
      <c r="J2332" s="100" t="str">
        <f t="shared" si="121"/>
        <v/>
      </c>
      <c r="K2332" s="100" t="str">
        <f t="shared" si="122"/>
        <v/>
      </c>
    </row>
    <row r="2333" spans="10:11">
      <c r="J2333" s="100" t="str">
        <f t="shared" si="121"/>
        <v/>
      </c>
      <c r="K2333" s="100" t="str">
        <f t="shared" si="122"/>
        <v/>
      </c>
    </row>
    <row r="2334" spans="10:11">
      <c r="J2334" s="100" t="str">
        <f t="shared" si="121"/>
        <v/>
      </c>
      <c r="K2334" s="100" t="str">
        <f t="shared" si="122"/>
        <v/>
      </c>
    </row>
    <row r="2335" spans="10:11">
      <c r="J2335" s="100" t="str">
        <f t="shared" si="121"/>
        <v/>
      </c>
      <c r="K2335" s="100" t="str">
        <f t="shared" si="122"/>
        <v/>
      </c>
    </row>
    <row r="2336" spans="10:11">
      <c r="J2336" s="100" t="str">
        <f t="shared" si="121"/>
        <v/>
      </c>
      <c r="K2336" s="100" t="str">
        <f t="shared" si="122"/>
        <v/>
      </c>
    </row>
    <row r="2337" spans="10:11">
      <c r="J2337" s="100" t="str">
        <f t="shared" si="121"/>
        <v/>
      </c>
      <c r="K2337" s="100" t="str">
        <f t="shared" si="122"/>
        <v/>
      </c>
    </row>
    <row r="2338" spans="10:11">
      <c r="J2338" s="100" t="str">
        <f t="shared" si="121"/>
        <v/>
      </c>
      <c r="K2338" s="100" t="str">
        <f t="shared" si="122"/>
        <v/>
      </c>
    </row>
    <row r="2339" spans="10:11">
      <c r="J2339" s="100" t="str">
        <f t="shared" si="121"/>
        <v/>
      </c>
      <c r="K2339" s="100" t="str">
        <f t="shared" si="122"/>
        <v/>
      </c>
    </row>
    <row r="2340" spans="10:11">
      <c r="J2340" s="100" t="str">
        <f t="shared" si="121"/>
        <v/>
      </c>
      <c r="K2340" s="100" t="str">
        <f t="shared" si="122"/>
        <v/>
      </c>
    </row>
    <row r="2341" spans="10:11">
      <c r="J2341" s="100" t="str">
        <f t="shared" si="121"/>
        <v/>
      </c>
      <c r="K2341" s="100" t="str">
        <f t="shared" si="122"/>
        <v/>
      </c>
    </row>
    <row r="2342" spans="10:11">
      <c r="J2342" s="100" t="str">
        <f t="shared" si="121"/>
        <v/>
      </c>
      <c r="K2342" s="100" t="str">
        <f t="shared" si="122"/>
        <v/>
      </c>
    </row>
    <row r="2343" spans="10:11">
      <c r="J2343" s="100" t="str">
        <f t="shared" si="121"/>
        <v/>
      </c>
      <c r="K2343" s="100" t="str">
        <f t="shared" si="122"/>
        <v/>
      </c>
    </row>
    <row r="2344" spans="10:11">
      <c r="J2344" s="100" t="str">
        <f t="shared" si="121"/>
        <v/>
      </c>
      <c r="K2344" s="100" t="str">
        <f t="shared" si="122"/>
        <v/>
      </c>
    </row>
    <row r="2345" spans="10:11">
      <c r="J2345" s="100" t="str">
        <f t="shared" si="121"/>
        <v/>
      </c>
      <c r="K2345" s="100" t="str">
        <f t="shared" si="122"/>
        <v/>
      </c>
    </row>
    <row r="2346" spans="10:11">
      <c r="J2346" s="100" t="str">
        <f t="shared" si="121"/>
        <v/>
      </c>
      <c r="K2346" s="100" t="str">
        <f t="shared" si="122"/>
        <v/>
      </c>
    </row>
    <row r="2347" spans="10:11">
      <c r="J2347" s="100" t="str">
        <f t="shared" si="121"/>
        <v/>
      </c>
      <c r="K2347" s="100" t="str">
        <f t="shared" si="122"/>
        <v/>
      </c>
    </row>
    <row r="2348" spans="10:11">
      <c r="J2348" s="100" t="str">
        <f t="shared" si="121"/>
        <v/>
      </c>
      <c r="K2348" s="100" t="str">
        <f t="shared" si="122"/>
        <v/>
      </c>
    </row>
    <row r="2349" spans="10:11">
      <c r="J2349" s="100" t="str">
        <f t="shared" si="121"/>
        <v/>
      </c>
      <c r="K2349" s="100" t="str">
        <f t="shared" si="122"/>
        <v/>
      </c>
    </row>
    <row r="2350" spans="10:11">
      <c r="J2350" s="100" t="str">
        <f t="shared" si="121"/>
        <v/>
      </c>
      <c r="K2350" s="100" t="str">
        <f t="shared" si="122"/>
        <v/>
      </c>
    </row>
    <row r="2351" spans="10:11">
      <c r="J2351" s="100" t="str">
        <f t="shared" si="121"/>
        <v/>
      </c>
      <c r="K2351" s="100" t="str">
        <f t="shared" si="122"/>
        <v/>
      </c>
    </row>
    <row r="2352" spans="10:11">
      <c r="J2352" s="100" t="str">
        <f t="shared" si="121"/>
        <v/>
      </c>
      <c r="K2352" s="100" t="str">
        <f t="shared" si="122"/>
        <v/>
      </c>
    </row>
    <row r="2353" spans="10:11">
      <c r="J2353" s="100" t="str">
        <f t="shared" si="121"/>
        <v/>
      </c>
      <c r="K2353" s="100" t="str">
        <f t="shared" si="122"/>
        <v/>
      </c>
    </row>
    <row r="2354" spans="10:11">
      <c r="J2354" s="100" t="str">
        <f t="shared" si="121"/>
        <v/>
      </c>
      <c r="K2354" s="100" t="str">
        <f t="shared" si="122"/>
        <v/>
      </c>
    </row>
    <row r="2355" spans="10:11">
      <c r="J2355" s="100" t="str">
        <f t="shared" si="121"/>
        <v/>
      </c>
      <c r="K2355" s="100" t="str">
        <f t="shared" si="122"/>
        <v/>
      </c>
    </row>
    <row r="2356" spans="10:11">
      <c r="J2356" s="100" t="str">
        <f t="shared" si="121"/>
        <v/>
      </c>
      <c r="K2356" s="100" t="str">
        <f t="shared" si="122"/>
        <v/>
      </c>
    </row>
    <row r="2357" spans="10:11">
      <c r="J2357" s="100" t="str">
        <f t="shared" si="121"/>
        <v/>
      </c>
      <c r="K2357" s="100" t="str">
        <f t="shared" si="122"/>
        <v/>
      </c>
    </row>
    <row r="2358" spans="10:11">
      <c r="J2358" s="100" t="str">
        <f t="shared" ref="J2358:J2390" si="123">C2358&amp;D2358&amp;G2358</f>
        <v/>
      </c>
      <c r="K2358" s="100" t="str">
        <f t="shared" ref="K2358:K2390" si="124">C2358&amp;D2358&amp;H2358</f>
        <v/>
      </c>
    </row>
    <row r="2359" spans="10:11">
      <c r="J2359" s="100" t="str">
        <f t="shared" si="123"/>
        <v/>
      </c>
      <c r="K2359" s="100" t="str">
        <f t="shared" si="124"/>
        <v/>
      </c>
    </row>
    <row r="2360" spans="10:11">
      <c r="J2360" s="100" t="str">
        <f t="shared" si="123"/>
        <v/>
      </c>
      <c r="K2360" s="100" t="str">
        <f t="shared" si="124"/>
        <v/>
      </c>
    </row>
    <row r="2361" spans="10:11">
      <c r="J2361" s="100" t="str">
        <f t="shared" si="123"/>
        <v/>
      </c>
      <c r="K2361" s="100" t="str">
        <f t="shared" si="124"/>
        <v/>
      </c>
    </row>
    <row r="2362" spans="10:11">
      <c r="J2362" s="100" t="str">
        <f t="shared" si="123"/>
        <v/>
      </c>
      <c r="K2362" s="100" t="str">
        <f t="shared" si="124"/>
        <v/>
      </c>
    </row>
    <row r="2363" spans="10:11">
      <c r="J2363" s="100" t="str">
        <f t="shared" si="123"/>
        <v/>
      </c>
      <c r="K2363" s="100" t="str">
        <f t="shared" si="124"/>
        <v/>
      </c>
    </row>
    <row r="2364" spans="10:11">
      <c r="J2364" s="100" t="str">
        <f t="shared" si="123"/>
        <v/>
      </c>
      <c r="K2364" s="100" t="str">
        <f t="shared" si="124"/>
        <v/>
      </c>
    </row>
    <row r="2365" spans="10:11">
      <c r="J2365" s="100" t="str">
        <f t="shared" si="123"/>
        <v/>
      </c>
      <c r="K2365" s="100" t="str">
        <f t="shared" si="124"/>
        <v/>
      </c>
    </row>
    <row r="2366" spans="10:11">
      <c r="J2366" s="100" t="str">
        <f t="shared" si="123"/>
        <v/>
      </c>
      <c r="K2366" s="100" t="str">
        <f t="shared" si="124"/>
        <v/>
      </c>
    </row>
    <row r="2367" spans="10:11">
      <c r="J2367" s="100" t="str">
        <f t="shared" si="123"/>
        <v/>
      </c>
      <c r="K2367" s="100" t="str">
        <f t="shared" si="124"/>
        <v/>
      </c>
    </row>
    <row r="2368" spans="10:11">
      <c r="J2368" s="100" t="str">
        <f t="shared" si="123"/>
        <v/>
      </c>
      <c r="K2368" s="100" t="str">
        <f t="shared" si="124"/>
        <v/>
      </c>
    </row>
    <row r="2369" spans="10:11">
      <c r="J2369" s="100" t="str">
        <f t="shared" si="123"/>
        <v/>
      </c>
      <c r="K2369" s="100" t="str">
        <f t="shared" si="124"/>
        <v/>
      </c>
    </row>
    <row r="2370" spans="10:11">
      <c r="J2370" s="100" t="str">
        <f t="shared" si="123"/>
        <v/>
      </c>
      <c r="K2370" s="100" t="str">
        <f t="shared" si="124"/>
        <v/>
      </c>
    </row>
    <row r="2371" spans="10:11">
      <c r="J2371" s="100" t="str">
        <f t="shared" si="123"/>
        <v/>
      </c>
      <c r="K2371" s="100" t="str">
        <f t="shared" si="124"/>
        <v/>
      </c>
    </row>
    <row r="2372" spans="10:11">
      <c r="J2372" s="100" t="str">
        <f t="shared" si="123"/>
        <v/>
      </c>
      <c r="K2372" s="100" t="str">
        <f t="shared" si="124"/>
        <v/>
      </c>
    </row>
    <row r="2373" spans="10:11">
      <c r="J2373" s="100" t="str">
        <f t="shared" si="123"/>
        <v/>
      </c>
      <c r="K2373" s="100" t="str">
        <f t="shared" si="124"/>
        <v/>
      </c>
    </row>
    <row r="2374" spans="10:11">
      <c r="J2374" s="100" t="str">
        <f t="shared" si="123"/>
        <v/>
      </c>
      <c r="K2374" s="100" t="str">
        <f t="shared" si="124"/>
        <v/>
      </c>
    </row>
    <row r="2375" spans="10:11">
      <c r="J2375" s="100" t="str">
        <f t="shared" si="123"/>
        <v/>
      </c>
      <c r="K2375" s="100" t="str">
        <f t="shared" si="124"/>
        <v/>
      </c>
    </row>
    <row r="2376" spans="10:11">
      <c r="J2376" s="100" t="str">
        <f t="shared" si="123"/>
        <v/>
      </c>
      <c r="K2376" s="100" t="str">
        <f t="shared" si="124"/>
        <v/>
      </c>
    </row>
    <row r="2377" spans="10:11">
      <c r="J2377" s="100" t="str">
        <f t="shared" si="123"/>
        <v/>
      </c>
      <c r="K2377" s="100" t="str">
        <f t="shared" si="124"/>
        <v/>
      </c>
    </row>
    <row r="2378" spans="10:11">
      <c r="J2378" s="100" t="str">
        <f t="shared" si="123"/>
        <v/>
      </c>
      <c r="K2378" s="100" t="str">
        <f t="shared" si="124"/>
        <v/>
      </c>
    </row>
    <row r="2379" spans="10:11">
      <c r="J2379" s="100" t="str">
        <f t="shared" si="123"/>
        <v/>
      </c>
      <c r="K2379" s="100" t="str">
        <f t="shared" si="124"/>
        <v/>
      </c>
    </row>
    <row r="2380" spans="10:11">
      <c r="J2380" s="100" t="str">
        <f t="shared" si="123"/>
        <v/>
      </c>
      <c r="K2380" s="100" t="str">
        <f t="shared" si="124"/>
        <v/>
      </c>
    </row>
    <row r="2381" spans="10:11">
      <c r="J2381" s="100" t="str">
        <f t="shared" si="123"/>
        <v/>
      </c>
      <c r="K2381" s="100" t="str">
        <f t="shared" si="124"/>
        <v/>
      </c>
    </row>
    <row r="2382" spans="10:11">
      <c r="J2382" s="100" t="str">
        <f t="shared" si="123"/>
        <v/>
      </c>
      <c r="K2382" s="100" t="str">
        <f t="shared" si="124"/>
        <v/>
      </c>
    </row>
    <row r="2383" spans="10:11">
      <c r="J2383" s="100" t="str">
        <f t="shared" si="123"/>
        <v/>
      </c>
      <c r="K2383" s="100" t="str">
        <f t="shared" si="124"/>
        <v/>
      </c>
    </row>
    <row r="2384" spans="10:11">
      <c r="J2384" s="100" t="str">
        <f t="shared" si="123"/>
        <v/>
      </c>
      <c r="K2384" s="100" t="str">
        <f t="shared" si="124"/>
        <v/>
      </c>
    </row>
    <row r="2385" spans="10:11">
      <c r="J2385" s="100" t="str">
        <f t="shared" si="123"/>
        <v/>
      </c>
      <c r="K2385" s="100" t="str">
        <f t="shared" si="124"/>
        <v/>
      </c>
    </row>
    <row r="2386" spans="10:11">
      <c r="J2386" s="100" t="str">
        <f t="shared" si="123"/>
        <v/>
      </c>
      <c r="K2386" s="100" t="str">
        <f t="shared" si="124"/>
        <v/>
      </c>
    </row>
    <row r="2387" spans="10:11">
      <c r="J2387" s="100" t="str">
        <f t="shared" si="123"/>
        <v/>
      </c>
      <c r="K2387" s="100" t="str">
        <f t="shared" si="124"/>
        <v/>
      </c>
    </row>
    <row r="2388" spans="10:11">
      <c r="J2388" s="100" t="str">
        <f t="shared" si="123"/>
        <v/>
      </c>
      <c r="K2388" s="100" t="str">
        <f t="shared" si="124"/>
        <v/>
      </c>
    </row>
    <row r="2389" spans="10:11">
      <c r="J2389" s="100" t="str">
        <f t="shared" si="123"/>
        <v/>
      </c>
      <c r="K2389" s="100" t="str">
        <f t="shared" si="124"/>
        <v/>
      </c>
    </row>
    <row r="2390" spans="10:11">
      <c r="J2390" s="100" t="str">
        <f t="shared" si="123"/>
        <v/>
      </c>
      <c r="K2390" s="100" t="str">
        <f t="shared" si="124"/>
        <v/>
      </c>
    </row>
  </sheetData>
  <mergeCells count="36">
    <mergeCell ref="W105:Y108"/>
    <mergeCell ref="W69:Y72"/>
    <mergeCell ref="W75:Y78"/>
    <mergeCell ref="W81:Y84"/>
    <mergeCell ref="W87:Y90"/>
    <mergeCell ref="W93:Y96"/>
    <mergeCell ref="W33:Y36"/>
    <mergeCell ref="W39:Y42"/>
    <mergeCell ref="W51:Y54"/>
    <mergeCell ref="W57:Y60"/>
    <mergeCell ref="W63:Y66"/>
    <mergeCell ref="I1:I3"/>
    <mergeCell ref="A1:A3"/>
    <mergeCell ref="B1:B3"/>
    <mergeCell ref="D1:D3"/>
    <mergeCell ref="E1:E3"/>
    <mergeCell ref="F1:F3"/>
    <mergeCell ref="G1:G3"/>
    <mergeCell ref="H1:H3"/>
    <mergeCell ref="C1:C3"/>
    <mergeCell ref="W115:Y118"/>
    <mergeCell ref="J1:J3"/>
    <mergeCell ref="K1:K3"/>
    <mergeCell ref="L1:L3"/>
    <mergeCell ref="Q1:Q3"/>
    <mergeCell ref="R1:R3"/>
    <mergeCell ref="T1:T3"/>
    <mergeCell ref="U1:U3"/>
    <mergeCell ref="X1:X3"/>
    <mergeCell ref="Y1:Y3"/>
    <mergeCell ref="M1:M3"/>
    <mergeCell ref="N1:N3"/>
    <mergeCell ref="O1:O3"/>
    <mergeCell ref="P1:P3"/>
    <mergeCell ref="W1:W3"/>
    <mergeCell ref="W27:Y30"/>
  </mergeCells>
  <conditionalFormatting sqref="N114">
    <cfRule type="duplicateValues" dxfId="130" priority="1"/>
  </conditionalFormatting>
  <conditionalFormatting sqref="N510:N1048576 N1:N109">
    <cfRule type="duplicateValues" dxfId="129" priority="3"/>
  </conditionalFormatting>
  <pageMargins left="0.6" right="0.2" top="1" bottom="0.25" header="0.25" footer="0.05"/>
  <pageSetup scale="57" orientation="portrait" r:id="rId1"/>
  <headerFooter>
    <oddHeader>&amp;C&amp;"Arial,Regular"&amp;10UNS Electric, Inc &amp;8
Comparison of Present and Proposed Rates
Test Period Ended June 30, 2022&amp;R&amp;"Arial,Regular"&amp;8
Page &amp;P of &amp;N</oddHeader>
  </headerFooter>
  <rowBreaks count="6" manualBreakCount="6">
    <brk id="43" min="12" max="24" man="1"/>
    <brk id="79" min="12" max="24" man="1"/>
    <brk id="167" min="12" max="24" man="1"/>
    <brk id="232" min="12" max="24" man="1"/>
    <brk id="275" min="12" max="24" man="1"/>
    <brk id="288" min="12" max="24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2AE28-964F-403E-9974-C905057C5116}">
  <sheetPr codeName="Sheet18">
    <tabColor theme="8" tint="0.59999389629810485"/>
  </sheetPr>
  <dimension ref="A1:AB52"/>
  <sheetViews>
    <sheetView topLeftCell="A23" zoomScale="120" zoomScaleNormal="120" zoomScaleSheetLayoutView="96" workbookViewId="0">
      <selection activeCell="J31" sqref="J31"/>
    </sheetView>
  </sheetViews>
  <sheetFormatPr defaultColWidth="9.140625" defaultRowHeight="11.25" customHeight="1"/>
  <cols>
    <col min="1" max="1" width="4.42578125" style="307" bestFit="1" customWidth="1"/>
    <col min="2" max="2" width="4.140625" style="304" customWidth="1"/>
    <col min="3" max="3" width="23.85546875" style="306" bestFit="1" customWidth="1"/>
    <col min="4" max="4" width="17.28515625" style="305" bestFit="1" customWidth="1"/>
    <col min="5" max="5" width="12.28515625" style="304" bestFit="1" customWidth="1"/>
    <col min="6" max="6" width="10.5703125" style="304" bestFit="1" customWidth="1"/>
    <col min="7" max="7" width="11.7109375" style="304" customWidth="1"/>
    <col min="8" max="8" width="5.85546875" style="304" bestFit="1" customWidth="1"/>
    <col min="9" max="9" width="15.28515625" style="304" bestFit="1" customWidth="1"/>
    <col min="10" max="10" width="10.7109375" style="304" bestFit="1" customWidth="1"/>
    <col min="11" max="16384" width="9.140625" style="304"/>
  </cols>
  <sheetData>
    <row r="1" spans="1:10" s="307" customFormat="1" ht="67.5" customHeight="1">
      <c r="A1" s="300" t="s">
        <v>0</v>
      </c>
      <c r="B1" s="765" t="s">
        <v>1</v>
      </c>
      <c r="C1" s="765"/>
      <c r="D1" s="320" t="s">
        <v>2</v>
      </c>
      <c r="E1" s="300" t="s">
        <v>3</v>
      </c>
      <c r="F1" s="300" t="s">
        <v>4</v>
      </c>
      <c r="G1" s="300" t="s">
        <v>5</v>
      </c>
      <c r="J1" s="307" t="s">
        <v>6</v>
      </c>
    </row>
    <row r="2" spans="1:10" ht="11.25" customHeight="1">
      <c r="C2" s="327"/>
      <c r="D2" s="333" t="s">
        <v>7</v>
      </c>
      <c r="E2" s="333" t="s">
        <v>8</v>
      </c>
      <c r="F2" s="333" t="s">
        <v>9</v>
      </c>
      <c r="G2" s="333" t="s">
        <v>10</v>
      </c>
      <c r="H2" s="333"/>
    </row>
    <row r="3" spans="1:10" ht="11.25" customHeight="1">
      <c r="B3" s="327" t="s">
        <v>11</v>
      </c>
      <c r="C3" s="304"/>
    </row>
    <row r="4" spans="1:10" ht="11.25" customHeight="1">
      <c r="A4" s="320">
        <v>1</v>
      </c>
      <c r="C4" s="306" t="s">
        <v>12</v>
      </c>
      <c r="D4" s="323">
        <f>SUM(E4:G4)</f>
        <v>592552817</v>
      </c>
      <c r="E4" s="323">
        <f>SUM('G-3 COST OF SERVICE'!$G$27:$I$27)</f>
        <v>473692617</v>
      </c>
      <c r="F4" s="323">
        <f>SUM('G-3 COST OF SERVICE'!$J$27:$L$27)</f>
        <v>78750878</v>
      </c>
      <c r="G4" s="323">
        <f>SUM('G-3 COST OF SERVICE'!$M$27:$O$27)</f>
        <v>40109322</v>
      </c>
      <c r="H4" s="323"/>
      <c r="J4" s="308">
        <f>D4-'G-3 COST OF SERVICE'!F27</f>
        <v>0</v>
      </c>
    </row>
    <row r="5" spans="1:10" ht="11.25" customHeight="1">
      <c r="A5" s="320">
        <f t="shared" ref="A5:A45" si="0">+A4+1</f>
        <v>2</v>
      </c>
      <c r="C5" s="306" t="s">
        <v>13</v>
      </c>
      <c r="D5" s="332">
        <f>SUM(E5:H5)</f>
        <v>230512145.60347921</v>
      </c>
      <c r="E5" s="332">
        <f>SUM('G-3 COST OF SERVICE'!$G$52:$I$52)</f>
        <v>183280109.44763494</v>
      </c>
      <c r="F5" s="332">
        <f>SUM('G-3 COST OF SERVICE'!$J$52:$L$52)</f>
        <v>30449837.646552496</v>
      </c>
      <c r="G5" s="332">
        <f>SUM('G-3 COST OF SERVICE'!$M$52:$O$52)</f>
        <v>16782198.509291761</v>
      </c>
      <c r="H5" s="331"/>
      <c r="J5" s="308">
        <f>D5-'G-3 COST OF SERVICE'!F52</f>
        <v>0</v>
      </c>
    </row>
    <row r="6" spans="1:10" ht="11.25" customHeight="1">
      <c r="A6" s="320">
        <f t="shared" si="0"/>
        <v>3</v>
      </c>
      <c r="B6" s="327" t="s">
        <v>14</v>
      </c>
      <c r="C6" s="304"/>
      <c r="D6" s="323">
        <f>+D4-D5</f>
        <v>362040671.39652079</v>
      </c>
      <c r="E6" s="323">
        <f>+E4-E5</f>
        <v>290412507.55236506</v>
      </c>
      <c r="F6" s="323">
        <f>+F4-F5</f>
        <v>48301040.353447504</v>
      </c>
      <c r="G6" s="323">
        <f>+G4-G5</f>
        <v>23327123.490708239</v>
      </c>
      <c r="H6" s="323"/>
      <c r="J6" s="308">
        <f>D6-'G-3 COST OF SERVICE'!F54</f>
        <v>0</v>
      </c>
    </row>
    <row r="7" spans="1:10" ht="11.25" customHeight="1">
      <c r="A7" s="320">
        <f t="shared" si="0"/>
        <v>4</v>
      </c>
      <c r="D7" s="304"/>
    </row>
    <row r="8" spans="1:10" ht="11.25" customHeight="1">
      <c r="A8" s="320">
        <f t="shared" si="0"/>
        <v>5</v>
      </c>
      <c r="B8" s="327" t="s">
        <v>15</v>
      </c>
      <c r="C8" s="304"/>
      <c r="D8" s="304"/>
    </row>
    <row r="9" spans="1:10" ht="11.25" customHeight="1">
      <c r="A9" s="320">
        <f t="shared" si="0"/>
        <v>6</v>
      </c>
      <c r="C9" s="306" t="s">
        <v>16</v>
      </c>
      <c r="D9" s="323">
        <f t="shared" ref="D9:D15" si="1">SUM(E9:H9)</f>
        <v>-5304562.0382017521</v>
      </c>
      <c r="E9" s="323">
        <f>SUM('G-3 COST OF SERVICE'!G57:I57)</f>
        <v>-4240519.6673911894</v>
      </c>
      <c r="F9" s="323">
        <f>SUM('G-3 COST OF SERVICE'!J57:L57)</f>
        <v>-704981.74636793847</v>
      </c>
      <c r="G9" s="323">
        <f>SUM('G-3 COST OF SERVICE'!M57:O57)</f>
        <v>-359060.62444262393</v>
      </c>
      <c r="H9" s="323"/>
    </row>
    <row r="10" spans="1:10" ht="11.25" customHeight="1">
      <c r="A10" s="320">
        <f t="shared" si="0"/>
        <v>7</v>
      </c>
      <c r="C10" s="306" t="s">
        <v>17</v>
      </c>
      <c r="D10" s="331">
        <f t="shared" si="1"/>
        <v>2592782.7800000003</v>
      </c>
      <c r="E10" s="323">
        <f>SUM('G-3 COST OF SERVICE'!G58:I58)</f>
        <v>2072696.3494219829</v>
      </c>
      <c r="F10" s="331">
        <f>SUM('G-3 COST OF SERVICE'!J58:L58)</f>
        <v>344583.49606120645</v>
      </c>
      <c r="G10" s="323">
        <f>SUM('G-3 COST OF SERVICE'!M58:O58)</f>
        <v>175502.93451681081</v>
      </c>
      <c r="H10" s="331"/>
    </row>
    <row r="11" spans="1:10" ht="11.25" customHeight="1">
      <c r="A11" s="320">
        <f t="shared" si="0"/>
        <v>8</v>
      </c>
      <c r="C11" s="306" t="s">
        <v>18</v>
      </c>
      <c r="D11" s="331">
        <f t="shared" si="1"/>
        <v>485024.13000000006</v>
      </c>
      <c r="E11" s="323">
        <f>SUM('G-3 COST OF SERVICE'!G59:I59)</f>
        <v>387733.11493243306</v>
      </c>
      <c r="F11" s="331">
        <f>SUM('G-3 COST OF SERVICE'!J59:L59)</f>
        <v>64460.205335614381</v>
      </c>
      <c r="G11" s="323">
        <f>SUM('G-3 COST OF SERVICE'!M59:O59)</f>
        <v>32830.809731952606</v>
      </c>
      <c r="H11" s="331"/>
    </row>
    <row r="12" spans="1:10" ht="11.25" customHeight="1">
      <c r="A12" s="320">
        <f t="shared" si="0"/>
        <v>9</v>
      </c>
      <c r="C12" s="306" t="s">
        <v>19</v>
      </c>
      <c r="D12" s="331">
        <f t="shared" si="1"/>
        <v>-5445150</v>
      </c>
      <c r="E12" s="331">
        <f>SUM('G-3 COST OF SERVICE'!G63:I63)</f>
        <v>-5018511.550863049</v>
      </c>
      <c r="F12" s="331">
        <f>SUM('G-3 COST OF SERVICE'!J63:L63)</f>
        <v>-424151.61695188645</v>
      </c>
      <c r="G12" s="331">
        <f>SUM('G-3 COST OF SERVICE'!M63:O63)</f>
        <v>-2486.8321850643242</v>
      </c>
      <c r="H12" s="331"/>
    </row>
    <row r="13" spans="1:10" ht="11.25" customHeight="1">
      <c r="A13" s="320">
        <f t="shared" si="0"/>
        <v>10</v>
      </c>
      <c r="C13" s="306" t="s">
        <v>20</v>
      </c>
      <c r="D13" s="331">
        <f t="shared" si="1"/>
        <v>-1598822.74</v>
      </c>
      <c r="E13" s="331">
        <f>SUM('G-3 COST OF SERVICE'!G64:I64)</f>
        <v>-1473551.7641336804</v>
      </c>
      <c r="F13" s="331">
        <f>SUM('G-3 COST OF SERVICE'!J64:L64)</f>
        <v>-124540.78407214595</v>
      </c>
      <c r="G13" s="331">
        <f>SUM('G-3 COST OF SERVICE'!M64:O64)</f>
        <v>-730.19179417366468</v>
      </c>
      <c r="H13" s="331"/>
    </row>
    <row r="14" spans="1:10" ht="11.25" customHeight="1">
      <c r="A14" s="320">
        <f t="shared" si="0"/>
        <v>11</v>
      </c>
      <c r="C14" s="306" t="s">
        <v>21</v>
      </c>
      <c r="D14" s="331">
        <f t="shared" si="1"/>
        <v>-23829415.809999995</v>
      </c>
      <c r="E14" s="331">
        <f>SUM('G-3 COST OF SERVICE'!G71:I71)</f>
        <v>-18993893.329710606</v>
      </c>
      <c r="F14" s="331">
        <f>SUM('G-3 COST OF SERVICE'!J71:L71)</f>
        <v>-3194246.2212030455</v>
      </c>
      <c r="G14" s="331">
        <f>SUM('G-3 COST OF SERVICE'!M71:O71)</f>
        <v>-1641276.2590863451</v>
      </c>
      <c r="H14" s="331"/>
    </row>
    <row r="15" spans="1:10" ht="11.25" customHeight="1">
      <c r="A15" s="320">
        <f t="shared" si="0"/>
        <v>12</v>
      </c>
      <c r="C15" s="306" t="s">
        <v>22</v>
      </c>
      <c r="D15" s="332">
        <f t="shared" si="1"/>
        <v>-37645144.641083837</v>
      </c>
      <c r="E15" s="332">
        <f>SUM('G-3 COST OF SERVICE'!G73:I73)</f>
        <v>-30093903.143791024</v>
      </c>
      <c r="F15" s="332">
        <f>SUM('G-3 COST OF SERVICE'!J73:L73)</f>
        <v>-5003078.388744453</v>
      </c>
      <c r="G15" s="332">
        <f>SUM('G-3 COST OF SERVICE'!M73:O73)</f>
        <v>-2548163.1085483576</v>
      </c>
      <c r="H15" s="331"/>
    </row>
    <row r="16" spans="1:10" ht="11.25" customHeight="1">
      <c r="A16" s="320">
        <f t="shared" si="0"/>
        <v>13</v>
      </c>
      <c r="B16" s="327" t="s">
        <v>23</v>
      </c>
      <c r="C16" s="304"/>
      <c r="D16" s="323">
        <f>SUM(D9:D15)</f>
        <v>-70745288.319285586</v>
      </c>
      <c r="E16" s="323">
        <f>SUM(E9:E15)</f>
        <v>-57359949.991535135</v>
      </c>
      <c r="F16" s="323">
        <f>SUM(F9:F15)</f>
        <v>-9041955.055942649</v>
      </c>
      <c r="G16" s="323">
        <f>SUM(G9:G15)</f>
        <v>-4343383.271807801</v>
      </c>
      <c r="H16" s="323"/>
    </row>
    <row r="17" spans="1:28" ht="11.25" customHeight="1">
      <c r="A17" s="320">
        <f t="shared" si="0"/>
        <v>14</v>
      </c>
      <c r="D17" s="304"/>
    </row>
    <row r="18" spans="1:28" ht="11.25" customHeight="1" thickBot="1">
      <c r="A18" s="320">
        <f t="shared" si="0"/>
        <v>15</v>
      </c>
      <c r="B18" s="307" t="s">
        <v>24</v>
      </c>
      <c r="D18" s="324">
        <f>+D6+D16</f>
        <v>291295383.07723522</v>
      </c>
      <c r="E18" s="324">
        <f>+E6+E16</f>
        <v>233052557.56082994</v>
      </c>
      <c r="F18" s="324">
        <f>+F6+F16</f>
        <v>39259085.297504857</v>
      </c>
      <c r="G18" s="324">
        <f>+G6+G16</f>
        <v>18983740.218900438</v>
      </c>
      <c r="H18" s="323"/>
      <c r="J18" s="308">
        <f>+D18-'G-3 COST OF SERVICE'!F75</f>
        <v>0</v>
      </c>
    </row>
    <row r="19" spans="1:28" ht="11.25" customHeight="1" thickTop="1">
      <c r="A19" s="320">
        <f t="shared" si="0"/>
        <v>16</v>
      </c>
      <c r="D19" s="323"/>
    </row>
    <row r="20" spans="1:28" ht="11.25" customHeight="1">
      <c r="A20" s="320">
        <f t="shared" si="0"/>
        <v>17</v>
      </c>
      <c r="B20" s="327" t="s">
        <v>25</v>
      </c>
      <c r="C20" s="304"/>
      <c r="H20" s="323"/>
    </row>
    <row r="21" spans="1:28">
      <c r="A21" s="320">
        <f t="shared" si="0"/>
        <v>18</v>
      </c>
      <c r="B21" s="307" t="s">
        <v>26</v>
      </c>
      <c r="D21" s="330"/>
      <c r="F21" s="314"/>
      <c r="G21" s="314"/>
      <c r="I21" s="314"/>
      <c r="J21" s="308"/>
      <c r="K21" s="308"/>
      <c r="L21" s="308"/>
      <c r="M21" s="308"/>
      <c r="N21" s="308"/>
      <c r="O21" s="308"/>
      <c r="P21" s="308"/>
      <c r="Q21" s="308"/>
      <c r="R21" s="308"/>
      <c r="S21" s="308"/>
      <c r="T21" s="308"/>
      <c r="U21" s="308"/>
      <c r="V21" s="308"/>
      <c r="W21" s="308"/>
      <c r="X21" s="308"/>
      <c r="Y21" s="308"/>
      <c r="Z21" s="308"/>
      <c r="AA21" s="308"/>
      <c r="AB21" s="308"/>
    </row>
    <row r="22" spans="1:28">
      <c r="A22" s="320">
        <f t="shared" si="0"/>
        <v>19</v>
      </c>
      <c r="C22" s="304" t="s">
        <v>27</v>
      </c>
      <c r="D22" s="323">
        <f>SUM(E22:H22)</f>
        <v>67665951.509218872</v>
      </c>
      <c r="E22" s="323">
        <f>+E49</f>
        <v>47630968.966079876</v>
      </c>
      <c r="F22" s="323">
        <f>+F49</f>
        <v>14389762.907030964</v>
      </c>
      <c r="G22" s="323">
        <f>+G49</f>
        <v>5645219.6361080408</v>
      </c>
      <c r="H22" s="323"/>
      <c r="I22" s="314"/>
      <c r="J22" s="308"/>
      <c r="K22" s="308"/>
      <c r="L22" s="308"/>
      <c r="M22" s="308"/>
      <c r="N22" s="308"/>
      <c r="O22" s="308"/>
      <c r="P22" s="308"/>
      <c r="Q22" s="308"/>
      <c r="R22" s="308"/>
      <c r="S22" s="308"/>
      <c r="T22" s="308"/>
      <c r="U22" s="308"/>
      <c r="V22" s="308"/>
      <c r="W22" s="308"/>
      <c r="X22" s="308"/>
      <c r="Y22" s="308"/>
      <c r="Z22" s="308"/>
      <c r="AA22" s="308"/>
      <c r="AB22" s="308"/>
    </row>
    <row r="23" spans="1:28">
      <c r="A23" s="320">
        <f t="shared" si="0"/>
        <v>20</v>
      </c>
      <c r="B23" s="307" t="s">
        <v>28</v>
      </c>
      <c r="D23" s="323">
        <f>+D22</f>
        <v>67665951.509218872</v>
      </c>
      <c r="E23" s="323">
        <f>SUM(E22:E22)</f>
        <v>47630968.966079876</v>
      </c>
      <c r="F23" s="323">
        <f>SUM(F22:F22)</f>
        <v>14389762.907030964</v>
      </c>
      <c r="G23" s="323">
        <f>SUM(G22:G22)</f>
        <v>5645219.6361080408</v>
      </c>
      <c r="H23" s="314"/>
      <c r="I23" s="314"/>
      <c r="J23" s="308"/>
      <c r="K23" s="308"/>
      <c r="L23" s="308"/>
      <c r="M23" s="308"/>
      <c r="N23" s="308"/>
      <c r="O23" s="308"/>
      <c r="P23" s="308"/>
      <c r="Q23" s="308"/>
      <c r="R23" s="308"/>
      <c r="S23" s="308"/>
      <c r="T23" s="308"/>
      <c r="U23" s="308"/>
      <c r="V23" s="308"/>
      <c r="W23" s="308"/>
      <c r="X23" s="308"/>
      <c r="Y23" s="308"/>
      <c r="Z23" s="308"/>
      <c r="AA23" s="308"/>
      <c r="AB23" s="308"/>
    </row>
    <row r="24" spans="1:28">
      <c r="A24" s="320">
        <f t="shared" si="0"/>
        <v>21</v>
      </c>
      <c r="B24" s="307"/>
      <c r="D24" s="328"/>
      <c r="F24" s="314"/>
      <c r="G24" s="314"/>
      <c r="H24" s="314"/>
      <c r="I24" s="314"/>
      <c r="J24" s="308"/>
      <c r="K24" s="308"/>
      <c r="L24" s="308"/>
      <c r="M24" s="308"/>
      <c r="N24" s="308"/>
      <c r="O24" s="308"/>
      <c r="P24" s="308"/>
      <c r="Q24" s="308"/>
      <c r="R24" s="308"/>
      <c r="S24" s="308"/>
      <c r="T24" s="308"/>
      <c r="U24" s="308"/>
      <c r="V24" s="308"/>
      <c r="W24" s="308"/>
      <c r="X24" s="308"/>
      <c r="Y24" s="308"/>
      <c r="Z24" s="308"/>
      <c r="AA24" s="308"/>
      <c r="AB24" s="308"/>
    </row>
    <row r="25" spans="1:28">
      <c r="A25" s="320">
        <f t="shared" si="0"/>
        <v>22</v>
      </c>
      <c r="B25" s="307" t="s">
        <v>29</v>
      </c>
      <c r="F25" s="314"/>
      <c r="G25" s="314"/>
      <c r="H25" s="323"/>
      <c r="I25" s="314"/>
      <c r="J25" s="308"/>
      <c r="K25" s="308"/>
      <c r="L25" s="308"/>
      <c r="M25" s="308"/>
      <c r="N25" s="308"/>
      <c r="O25" s="308"/>
      <c r="P25" s="308"/>
      <c r="Q25" s="308"/>
      <c r="R25" s="308"/>
      <c r="S25" s="308"/>
      <c r="T25" s="308"/>
      <c r="U25" s="308"/>
      <c r="V25" s="308"/>
      <c r="W25" s="308"/>
      <c r="X25" s="308"/>
      <c r="Y25" s="308"/>
      <c r="Z25" s="308"/>
      <c r="AA25" s="308"/>
      <c r="AB25" s="308"/>
    </row>
    <row r="26" spans="1:28">
      <c r="A26" s="320">
        <f t="shared" si="0"/>
        <v>23</v>
      </c>
      <c r="C26" s="304" t="s">
        <v>30</v>
      </c>
      <c r="D26" s="323">
        <f>SUM(E26:H26)</f>
        <v>489636</v>
      </c>
      <c r="E26" s="323">
        <f>+'G-7 Allocations'!$F$60</f>
        <v>346759.44971957838</v>
      </c>
      <c r="F26" s="323">
        <f>+'G-7 Allocations'!$I$60</f>
        <v>79075.109579946322</v>
      </c>
      <c r="G26" s="323">
        <f>+'G-7 Allocations'!L$60</f>
        <v>63801.440700475301</v>
      </c>
      <c r="H26" s="323"/>
      <c r="I26" s="314"/>
      <c r="J26" s="308">
        <f>D26-'G-7 Allocations'!E60</f>
        <v>0</v>
      </c>
      <c r="K26" s="308"/>
      <c r="L26" s="308"/>
      <c r="M26" s="308"/>
      <c r="N26" s="308"/>
      <c r="O26" s="308"/>
      <c r="P26" s="308"/>
      <c r="Q26" s="308"/>
      <c r="R26" s="308"/>
      <c r="S26" s="308"/>
      <c r="T26" s="308"/>
      <c r="U26" s="308"/>
      <c r="V26" s="308"/>
      <c r="W26" s="308"/>
      <c r="X26" s="308"/>
      <c r="Y26" s="308"/>
      <c r="Z26" s="308"/>
      <c r="AA26" s="308"/>
      <c r="AB26" s="308"/>
    </row>
    <row r="27" spans="1:28">
      <c r="A27" s="320">
        <f t="shared" si="0"/>
        <v>24</v>
      </c>
      <c r="C27" s="304" t="s">
        <v>31</v>
      </c>
      <c r="D27" s="326">
        <f>SUM(E27:H27)</f>
        <v>805199.31000000017</v>
      </c>
      <c r="E27" s="326">
        <f>+'G-7 Allocations'!$H$31</f>
        <v>764893.05016548978</v>
      </c>
      <c r="F27" s="326">
        <f>+'G-7 Allocations'!$K$31</f>
        <v>40145.424402921788</v>
      </c>
      <c r="G27" s="326">
        <f>+'G-7 Allocations'!N31</f>
        <v>160.83543158856128</v>
      </c>
      <c r="H27" s="326"/>
      <c r="I27" s="314"/>
      <c r="J27" s="308">
        <f>D27-'G-7 Allocations'!E31</f>
        <v>0</v>
      </c>
      <c r="K27" s="308"/>
      <c r="L27" s="308"/>
      <c r="M27" s="308"/>
      <c r="N27" s="308"/>
      <c r="O27" s="308"/>
      <c r="P27" s="308"/>
      <c r="Q27" s="308"/>
      <c r="R27" s="308"/>
      <c r="S27" s="308"/>
      <c r="T27" s="308"/>
      <c r="U27" s="308"/>
      <c r="V27" s="308"/>
      <c r="W27" s="308"/>
      <c r="X27" s="308"/>
      <c r="Y27" s="308"/>
      <c r="Z27" s="308"/>
      <c r="AA27" s="308"/>
      <c r="AB27" s="308"/>
    </row>
    <row r="28" spans="1:28">
      <c r="A28" s="320">
        <f t="shared" si="0"/>
        <v>25</v>
      </c>
      <c r="C28" s="304" t="s">
        <v>32</v>
      </c>
      <c r="D28" s="329">
        <f>SUM(E28:H28)</f>
        <v>21775.900000000147</v>
      </c>
      <c r="E28" s="329">
        <f>+E22/$D$22*'Rev&amp;Expense'!$D$15</f>
        <v>15328.34747719694</v>
      </c>
      <c r="F28" s="329">
        <f>+F22/$D$22*'Rev&amp;Expense'!$D$15</f>
        <v>4630.837682738068</v>
      </c>
      <c r="G28" s="329">
        <f>+G22/$D$22*'Rev&amp;Expense'!$D$15</f>
        <v>1816.7148400651367</v>
      </c>
      <c r="H28" s="323"/>
      <c r="I28" s="313"/>
      <c r="J28" s="311">
        <f>D28-'Rev&amp;Expense'!D15</f>
        <v>0</v>
      </c>
      <c r="K28" s="311"/>
      <c r="L28" s="311"/>
      <c r="M28" s="311"/>
      <c r="N28" s="311"/>
      <c r="O28" s="311"/>
      <c r="P28" s="311"/>
      <c r="Q28" s="311"/>
      <c r="R28" s="311"/>
      <c r="S28" s="311"/>
      <c r="T28" s="311"/>
      <c r="U28" s="311"/>
      <c r="V28" s="311"/>
      <c r="W28" s="311"/>
      <c r="X28" s="311"/>
      <c r="Y28" s="311"/>
      <c r="Z28" s="311"/>
      <c r="AA28" s="311"/>
      <c r="AB28" s="311"/>
    </row>
    <row r="29" spans="1:28">
      <c r="A29" s="320">
        <f t="shared" si="0"/>
        <v>26</v>
      </c>
      <c r="B29" s="307" t="s">
        <v>33</v>
      </c>
      <c r="D29" s="323">
        <f>SUM(D26:D28)</f>
        <v>1316611.2100000002</v>
      </c>
      <c r="E29" s="323">
        <f>SUM(E26:E28)</f>
        <v>1126980.8473622652</v>
      </c>
      <c r="F29" s="323">
        <f>SUM(F26:F28)</f>
        <v>123851.37166560617</v>
      </c>
      <c r="G29" s="323">
        <f>SUM(G26:G28)</f>
        <v>65778.990972129002</v>
      </c>
      <c r="H29" s="305"/>
      <c r="I29" s="314"/>
      <c r="J29" s="308"/>
      <c r="K29" s="308"/>
      <c r="L29" s="308"/>
      <c r="M29" s="308"/>
      <c r="N29" s="308"/>
      <c r="O29" s="308"/>
      <c r="P29" s="308"/>
      <c r="Q29" s="308"/>
      <c r="R29" s="308"/>
      <c r="S29" s="308"/>
      <c r="T29" s="308"/>
      <c r="U29" s="308"/>
      <c r="V29" s="308"/>
      <c r="W29" s="308"/>
      <c r="X29" s="308"/>
      <c r="Y29" s="308"/>
      <c r="Z29" s="308"/>
      <c r="AA29" s="308"/>
      <c r="AB29" s="308"/>
    </row>
    <row r="30" spans="1:28">
      <c r="A30" s="320">
        <f t="shared" si="0"/>
        <v>27</v>
      </c>
      <c r="E30" s="305"/>
      <c r="F30" s="305"/>
      <c r="G30" s="305"/>
      <c r="H30" s="323"/>
      <c r="I30" s="314"/>
      <c r="J30" s="308"/>
      <c r="K30" s="308"/>
      <c r="L30" s="308"/>
      <c r="M30" s="308"/>
      <c r="N30" s="308"/>
      <c r="O30" s="308"/>
      <c r="P30" s="308"/>
      <c r="Q30" s="308"/>
      <c r="R30" s="308"/>
      <c r="S30" s="308"/>
      <c r="T30" s="308"/>
      <c r="U30" s="308"/>
      <c r="V30" s="308"/>
      <c r="W30" s="308"/>
      <c r="X30" s="308"/>
      <c r="Y30" s="308"/>
      <c r="Z30" s="308"/>
      <c r="AA30" s="308"/>
      <c r="AB30" s="308"/>
    </row>
    <row r="31" spans="1:28" ht="12" thickBot="1">
      <c r="A31" s="320">
        <f t="shared" si="0"/>
        <v>28</v>
      </c>
      <c r="B31" s="307" t="s">
        <v>34</v>
      </c>
      <c r="D31" s="324">
        <f>+D29+D23</f>
        <v>68982562.719218865</v>
      </c>
      <c r="E31" s="324">
        <f>+E29+E23</f>
        <v>48757949.813442141</v>
      </c>
      <c r="F31" s="324">
        <f>+F29+F23</f>
        <v>14513614.278696571</v>
      </c>
      <c r="G31" s="324">
        <f>+G29+G23</f>
        <v>5710998.6270801695</v>
      </c>
      <c r="I31" s="314"/>
      <c r="J31" s="308">
        <f>D31-[6]Cover!$G$15</f>
        <v>-3149.22078114748</v>
      </c>
      <c r="K31" s="308"/>
      <c r="L31" s="308"/>
      <c r="M31" s="308"/>
      <c r="N31" s="308"/>
      <c r="O31" s="308"/>
      <c r="P31" s="308"/>
      <c r="Q31" s="308"/>
      <c r="R31" s="308"/>
      <c r="S31" s="308"/>
      <c r="T31" s="308"/>
      <c r="U31" s="308"/>
      <c r="V31" s="308"/>
      <c r="W31" s="308"/>
      <c r="X31" s="308"/>
      <c r="Y31" s="308"/>
      <c r="Z31" s="308"/>
      <c r="AA31" s="308"/>
      <c r="AB31" s="308"/>
    </row>
    <row r="32" spans="1:28" ht="11.25" customHeight="1" thickTop="1">
      <c r="A32" s="320">
        <f t="shared" si="0"/>
        <v>29</v>
      </c>
      <c r="C32" s="327"/>
      <c r="D32" s="328"/>
    </row>
    <row r="33" spans="1:28" ht="11.25" customHeight="1">
      <c r="A33" s="320">
        <f t="shared" si="0"/>
        <v>30</v>
      </c>
      <c r="C33" s="327"/>
      <c r="D33" s="328"/>
    </row>
    <row r="34" spans="1:28" ht="11.25" customHeight="1">
      <c r="A34" s="320">
        <f t="shared" si="0"/>
        <v>31</v>
      </c>
      <c r="B34" s="307" t="s">
        <v>35</v>
      </c>
      <c r="C34" s="327"/>
      <c r="H34" s="323"/>
    </row>
    <row r="35" spans="1:28" ht="11.25" customHeight="1">
      <c r="A35" s="320">
        <f t="shared" si="0"/>
        <v>32</v>
      </c>
      <c r="C35" s="306" t="s">
        <v>36</v>
      </c>
      <c r="D35" s="323">
        <f>SUM(E35:G35)</f>
        <v>28962820.550075125</v>
      </c>
      <c r="E35" s="323">
        <f>+SUM('G-4 COST OF SERVICE'!$G$57:$I$57)</f>
        <v>24477305.009011738</v>
      </c>
      <c r="F35" s="323">
        <f>+SUM('G-4 COST OF SERVICE'!$J$57:$L$57)</f>
        <v>3219064.1271802313</v>
      </c>
      <c r="G35" s="323">
        <f>+SUM('G-4 COST OF SERVICE'!$M$57:$O$57)</f>
        <v>1266451.4138831566</v>
      </c>
      <c r="H35" s="323"/>
      <c r="J35" s="308">
        <f>D35-'G-4 COST OF SERVICE'!F57</f>
        <v>0</v>
      </c>
    </row>
    <row r="36" spans="1:28" ht="11.25" customHeight="1">
      <c r="A36" s="320">
        <f t="shared" si="0"/>
        <v>33</v>
      </c>
      <c r="C36" s="306" t="s">
        <v>37</v>
      </c>
      <c r="D36" s="326">
        <f>SUM(E36:H36)</f>
        <v>17445062.362369001</v>
      </c>
      <c r="E36" s="326">
        <f>+SUM('G-4 COST OF SERVICE'!$G$90:$I$90)</f>
        <v>14049380.109621689</v>
      </c>
      <c r="F36" s="326">
        <f>+SUM('G-4 COST OF SERVICE'!$J$90:$L$90)</f>
        <v>2312041.7994349524</v>
      </c>
      <c r="G36" s="326">
        <f>+SUM('G-4 COST OF SERVICE'!$M$90:$O$90)</f>
        <v>1083640.4533123591</v>
      </c>
      <c r="H36" s="326"/>
      <c r="J36" s="308">
        <f>D36-'G-4 COST OF SERVICE'!F90</f>
        <v>0</v>
      </c>
    </row>
    <row r="37" spans="1:28" ht="11.25" customHeight="1">
      <c r="A37" s="320">
        <f t="shared" si="0"/>
        <v>34</v>
      </c>
      <c r="C37" s="306" t="s">
        <v>38</v>
      </c>
      <c r="D37" s="326">
        <f>SUM(E37:H37)</f>
        <v>53976.839999999989</v>
      </c>
      <c r="E37" s="326">
        <f>+SUM('G-4 COST OF SERVICE'!$G$92:$I$92)</f>
        <v>-1343.4163755143716</v>
      </c>
      <c r="F37" s="326">
        <f>+SUM('G-4 COST OF SERVICE'!$J$92:$L$92)</f>
        <v>55320.256375514364</v>
      </c>
      <c r="G37" s="326">
        <f>+SUM('G-4 COST OF SERVICE'!$M$92:$O$92)</f>
        <v>0</v>
      </c>
      <c r="H37" s="326"/>
      <c r="J37" s="308">
        <f>D37-'G-4 COST OF SERVICE'!F92</f>
        <v>0</v>
      </c>
    </row>
    <row r="38" spans="1:28" ht="11.25" customHeight="1">
      <c r="A38" s="320">
        <f t="shared" si="0"/>
        <v>35</v>
      </c>
      <c r="C38" s="306" t="s">
        <v>39</v>
      </c>
      <c r="D38" s="326">
        <f>SUM(E38:H38)</f>
        <v>5852780.7856770055</v>
      </c>
      <c r="E38" s="326">
        <f>+SUM('G-4 COST OF SERVICE'!$G$97:$I$97)</f>
        <v>4678771.1872352073</v>
      </c>
      <c r="F38" s="326">
        <f>+SUM('G-4 COST OF SERVICE'!$J$97:$L$97)</f>
        <v>777840.57790344453</v>
      </c>
      <c r="G38" s="326">
        <f>+SUM('G-4 COST OF SERVICE'!$M$97:$O$97)</f>
        <v>396169.02053835307</v>
      </c>
      <c r="H38" s="326"/>
      <c r="J38" s="308">
        <f>D38-'G-4 COST OF SERVICE'!F97</f>
        <v>0</v>
      </c>
    </row>
    <row r="39" spans="1:28" ht="11.25" customHeight="1">
      <c r="A39" s="320">
        <f t="shared" si="0"/>
        <v>36</v>
      </c>
      <c r="C39" s="306" t="s">
        <v>40</v>
      </c>
      <c r="D39" s="325">
        <f>SUM(E39:H39)</f>
        <v>1752762.988355818</v>
      </c>
      <c r="E39" s="325">
        <f>+SUM('G-4 COST OF SERVICE'!$G$103:$I$103)</f>
        <v>1401176.1704864327</v>
      </c>
      <c r="F39" s="325">
        <f>+SUM('G-4 COST OF SERVICE'!$J$103:$L$103)</f>
        <v>232944.00144405093</v>
      </c>
      <c r="G39" s="325">
        <f>+SUM('G-4 COST OF SERVICE'!$M$103:$O$103)</f>
        <v>118642.81642533437</v>
      </c>
      <c r="H39" s="323"/>
      <c r="J39" s="308">
        <f>D39-'G-4 COST OF SERVICE'!F103</f>
        <v>0</v>
      </c>
    </row>
    <row r="40" spans="1:28" ht="11.25" customHeight="1">
      <c r="A40" s="320">
        <f t="shared" si="0"/>
        <v>37</v>
      </c>
      <c r="B40" s="307" t="s">
        <v>41</v>
      </c>
      <c r="D40" s="323">
        <f>SUM(D35:D39)</f>
        <v>54067403.526476957</v>
      </c>
      <c r="E40" s="323">
        <f>SUM(E35:E39)</f>
        <v>44605289.059979551</v>
      </c>
      <c r="F40" s="323">
        <f>SUM(F35:F39)</f>
        <v>6597210.7623381941</v>
      </c>
      <c r="G40" s="323">
        <f>SUM(G35:G39)</f>
        <v>2864903.704159203</v>
      </c>
      <c r="J40" s="308">
        <f>+D40-'G-4 COST OF SERVICE'!F107</f>
        <v>0</v>
      </c>
    </row>
    <row r="41" spans="1:28" ht="11.25" customHeight="1">
      <c r="A41" s="320">
        <f t="shared" si="0"/>
        <v>38</v>
      </c>
      <c r="H41" s="323"/>
    </row>
    <row r="42" spans="1:28" ht="11.25" customHeight="1" thickBot="1">
      <c r="A42" s="320">
        <f t="shared" si="0"/>
        <v>39</v>
      </c>
      <c r="B42" s="307" t="s">
        <v>42</v>
      </c>
      <c r="D42" s="324">
        <f>SUM(E42:H42)</f>
        <v>14915159.192741932</v>
      </c>
      <c r="E42" s="324">
        <f>+E31-E40</f>
        <v>4152660.7534625903</v>
      </c>
      <c r="F42" s="324">
        <f>+F31-F40</f>
        <v>7916403.5163583765</v>
      </c>
      <c r="G42" s="324">
        <f>+G31-G40</f>
        <v>2846094.9229209665</v>
      </c>
      <c r="H42" s="323"/>
    </row>
    <row r="43" spans="1:28" ht="11.25" customHeight="1" thickTop="1">
      <c r="A43" s="320">
        <f t="shared" si="0"/>
        <v>40</v>
      </c>
      <c r="B43" s="307"/>
      <c r="D43" s="323"/>
      <c r="E43" s="323"/>
      <c r="F43" s="323"/>
      <c r="G43" s="323"/>
    </row>
    <row r="44" spans="1:28">
      <c r="A44" s="320">
        <f t="shared" si="0"/>
        <v>41</v>
      </c>
      <c r="B44" s="307" t="s">
        <v>43</v>
      </c>
      <c r="D44" s="322">
        <f>+D42/D18</f>
        <v>5.120286849444252E-2</v>
      </c>
      <c r="E44" s="322">
        <f>+E42/E18</f>
        <v>1.7818559027736429E-2</v>
      </c>
      <c r="F44" s="322">
        <f>+F42/F18</f>
        <v>0.20164513402102902</v>
      </c>
      <c r="G44" s="322">
        <f>+G42/G18</f>
        <v>0.14992277022877507</v>
      </c>
      <c r="H44" s="321"/>
      <c r="I44" s="308"/>
      <c r="J44" s="308"/>
      <c r="K44" s="308"/>
      <c r="L44" s="308"/>
      <c r="M44" s="308"/>
      <c r="N44" s="308"/>
      <c r="O44" s="308"/>
      <c r="P44" s="308"/>
      <c r="Q44" s="308"/>
      <c r="R44" s="308"/>
      <c r="S44" s="308"/>
      <c r="T44" s="308"/>
      <c r="U44" s="308"/>
      <c r="V44" s="308"/>
      <c r="W44" s="308"/>
      <c r="X44" s="308"/>
      <c r="Y44" s="308"/>
      <c r="Z44" s="308"/>
      <c r="AA44" s="308"/>
      <c r="AB44" s="308"/>
    </row>
    <row r="45" spans="1:28">
      <c r="A45" s="320">
        <f t="shared" si="0"/>
        <v>42</v>
      </c>
      <c r="B45" s="307"/>
      <c r="D45" s="319"/>
      <c r="E45" s="318"/>
      <c r="F45" s="318"/>
      <c r="G45" s="318"/>
      <c r="H45" s="317"/>
      <c r="I45" s="308"/>
      <c r="J45" s="308"/>
      <c r="K45" s="308"/>
      <c r="L45" s="308"/>
      <c r="M45" s="308"/>
      <c r="N45" s="308"/>
      <c r="O45" s="308"/>
      <c r="P45" s="308"/>
      <c r="Q45" s="308"/>
      <c r="R45" s="308"/>
      <c r="S45" s="308"/>
      <c r="T45" s="308"/>
      <c r="U45" s="308"/>
      <c r="V45" s="308"/>
      <c r="W45" s="308"/>
      <c r="X45" s="308"/>
      <c r="Y45" s="308"/>
      <c r="Z45" s="308"/>
      <c r="AA45" s="308"/>
      <c r="AB45" s="308"/>
    </row>
    <row r="46" spans="1:28">
      <c r="D46" s="316"/>
      <c r="F46" s="308"/>
      <c r="G46" s="308"/>
      <c r="H46" s="314"/>
      <c r="I46" s="308"/>
      <c r="J46" s="308"/>
      <c r="K46" s="308"/>
      <c r="L46" s="308"/>
      <c r="M46" s="308"/>
      <c r="N46" s="308"/>
      <c r="O46" s="308"/>
      <c r="P46" s="308"/>
      <c r="Q46" s="308"/>
      <c r="R46" s="308"/>
      <c r="S46" s="308"/>
      <c r="T46" s="308"/>
      <c r="U46" s="308"/>
      <c r="V46" s="308"/>
      <c r="W46" s="308"/>
      <c r="X46" s="308"/>
      <c r="Y46" s="308"/>
      <c r="Z46" s="308"/>
      <c r="AA46" s="308"/>
      <c r="AB46" s="308"/>
    </row>
    <row r="47" spans="1:28">
      <c r="B47" s="307" t="s">
        <v>44</v>
      </c>
      <c r="D47" s="315"/>
      <c r="E47" s="315"/>
      <c r="F47" s="315"/>
      <c r="G47" s="315"/>
      <c r="H47" s="314"/>
      <c r="I47" s="308"/>
      <c r="J47" s="308"/>
      <c r="K47" s="308"/>
      <c r="L47" s="308"/>
      <c r="M47" s="308"/>
      <c r="N47" s="308"/>
      <c r="O47" s="308"/>
      <c r="P47" s="308"/>
      <c r="Q47" s="308"/>
      <c r="R47" s="308"/>
      <c r="S47" s="308"/>
      <c r="T47" s="308"/>
      <c r="U47" s="308"/>
      <c r="V47" s="308"/>
      <c r="W47" s="308"/>
      <c r="X47" s="308"/>
      <c r="Y47" s="308"/>
      <c r="Z47" s="308"/>
      <c r="AA47" s="308"/>
      <c r="AB47" s="308"/>
    </row>
    <row r="48" spans="1:28">
      <c r="B48" s="304" t="s">
        <v>45</v>
      </c>
      <c r="D48" s="311">
        <f>SUM(E48:H48)</f>
        <v>162655194.52705708</v>
      </c>
      <c r="E48" s="311">
        <f>Summary!$I$8</f>
        <v>83845183.570931241</v>
      </c>
      <c r="F48" s="311">
        <f>Summary!$I$9</f>
        <v>39416903.669418596</v>
      </c>
      <c r="G48" s="311">
        <f>Summary!$I$10</f>
        <v>39393107.28670726</v>
      </c>
      <c r="H48" s="313"/>
      <c r="I48" s="311"/>
      <c r="J48" s="311"/>
      <c r="K48" s="311"/>
      <c r="L48" s="311"/>
      <c r="M48" s="311"/>
      <c r="N48" s="311"/>
      <c r="O48" s="311"/>
      <c r="P48" s="311"/>
      <c r="Q48" s="311"/>
      <c r="R48" s="311"/>
      <c r="S48" s="311"/>
      <c r="T48" s="311"/>
      <c r="U48" s="311"/>
      <c r="V48" s="311"/>
      <c r="W48" s="311"/>
      <c r="X48" s="311"/>
      <c r="Y48" s="311"/>
      <c r="Z48" s="311"/>
      <c r="AA48" s="311"/>
      <c r="AB48" s="311"/>
    </row>
    <row r="49" spans="2:28">
      <c r="B49" s="304" t="s">
        <v>46</v>
      </c>
      <c r="D49" s="311">
        <f>SUM(E49:H49)</f>
        <v>67665951.509218872</v>
      </c>
      <c r="E49" s="311">
        <f>Summary!$K$8</f>
        <v>47630968.966079876</v>
      </c>
      <c r="F49" s="311">
        <f>Summary!$K$9</f>
        <v>14389762.907030964</v>
      </c>
      <c r="G49" s="311">
        <f>Summary!$K$10</f>
        <v>5645219.6361080408</v>
      </c>
      <c r="I49" s="311"/>
      <c r="J49" s="311"/>
      <c r="K49" s="311"/>
      <c r="L49" s="311"/>
      <c r="M49" s="311"/>
      <c r="N49" s="311"/>
      <c r="O49" s="311"/>
      <c r="P49" s="311"/>
      <c r="Q49" s="311"/>
      <c r="R49" s="311"/>
      <c r="S49" s="311"/>
      <c r="T49" s="311"/>
      <c r="U49" s="311"/>
      <c r="V49" s="311"/>
      <c r="W49" s="311"/>
      <c r="X49" s="311"/>
      <c r="Y49" s="311"/>
      <c r="Z49" s="311"/>
      <c r="AA49" s="311"/>
      <c r="AB49" s="311"/>
    </row>
    <row r="50" spans="2:28">
      <c r="B50" s="304" t="s">
        <v>47</v>
      </c>
      <c r="D50" s="312">
        <f>SUM(E50:I50)</f>
        <v>170333.76751301496</v>
      </c>
      <c r="E50" s="311">
        <f>Summary!$H$8/12</f>
        <v>156987.77439851736</v>
      </c>
      <c r="F50" s="311">
        <f>Summary!$H$9/12</f>
        <v>13268.200676225999</v>
      </c>
      <c r="G50" s="311">
        <f>Summary!$H$10/12</f>
        <v>77.792438271604937</v>
      </c>
      <c r="I50" s="311"/>
      <c r="J50" s="311"/>
      <c r="K50" s="311"/>
      <c r="L50" s="311"/>
      <c r="M50" s="311"/>
      <c r="N50" s="311"/>
      <c r="O50" s="311"/>
      <c r="P50" s="311"/>
      <c r="Q50" s="311"/>
      <c r="R50" s="311"/>
      <c r="S50" s="311"/>
      <c r="T50" s="311"/>
      <c r="U50" s="311"/>
      <c r="V50" s="311"/>
      <c r="W50" s="311"/>
      <c r="X50" s="311"/>
      <c r="Y50" s="311"/>
      <c r="Z50" s="311"/>
      <c r="AA50" s="311"/>
      <c r="AB50" s="311"/>
    </row>
    <row r="52" spans="2:28" ht="11.25" customHeight="1">
      <c r="D52" s="310"/>
      <c r="E52" s="309"/>
      <c r="F52" s="308"/>
      <c r="G52" s="308"/>
      <c r="H52" s="308"/>
    </row>
  </sheetData>
  <mergeCells count="1">
    <mergeCell ref="B1:C1"/>
  </mergeCells>
  <pageMargins left="0.7" right="0.7" top="1" bottom="0.75" header="0.55000000000000004" footer="0.3"/>
  <pageSetup scale="81" pageOrder="overThenDown" orientation="landscape" r:id="rId1"/>
  <headerFooter>
    <oddHeader>&amp;C&amp;"Arial,Bold"&amp;10UNS GAS, INC.
SUMMARY OF CURRENT RATES
FOR THE TEST PERIOD ENDING JUNE 30, 2024&amp;R&amp;"Arial,Bold"&amp;10SCHEDULE G-1
SHEET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1D9A8-2EFC-46C4-A7E2-4D6F45E81746}">
  <sheetPr codeName="Sheet34">
    <tabColor theme="8" tint="0.59999389629810485"/>
  </sheetPr>
  <dimension ref="A1:AC59"/>
  <sheetViews>
    <sheetView zoomScaleNormal="100" zoomScaleSheetLayoutView="96" workbookViewId="0">
      <selection activeCell="D30" sqref="D30"/>
    </sheetView>
  </sheetViews>
  <sheetFormatPr defaultColWidth="9.140625" defaultRowHeight="11.25" customHeight="1"/>
  <cols>
    <col min="1" max="1" width="5.140625" style="307" customWidth="1"/>
    <col min="2" max="2" width="11.5703125" style="304" customWidth="1"/>
    <col min="3" max="3" width="23.85546875" style="306" bestFit="1" customWidth="1"/>
    <col min="4" max="4" width="11" style="305" bestFit="1" customWidth="1"/>
    <col min="5" max="5" width="13.28515625" style="304" bestFit="1" customWidth="1"/>
    <col min="6" max="6" width="10.7109375" style="304" customWidth="1"/>
    <col min="7" max="7" width="11.7109375" style="304" customWidth="1"/>
    <col min="8" max="8" width="5.5703125" style="304" bestFit="1" customWidth="1"/>
    <col min="9" max="9" width="10.140625" style="304" bestFit="1" customWidth="1"/>
    <col min="10" max="10" width="11" style="304" bestFit="1" customWidth="1"/>
    <col min="11" max="12" width="11.42578125" style="304" bestFit="1" customWidth="1"/>
    <col min="13" max="13" width="10.140625" style="304" bestFit="1" customWidth="1"/>
    <col min="14" max="16384" width="9.140625" style="304"/>
  </cols>
  <sheetData>
    <row r="1" spans="1:10" s="307" customFormat="1" ht="67.5" customHeight="1">
      <c r="A1" s="300" t="s">
        <v>0</v>
      </c>
      <c r="B1" s="765" t="s">
        <v>1</v>
      </c>
      <c r="C1" s="765"/>
      <c r="D1" s="320" t="s">
        <v>2</v>
      </c>
      <c r="E1" s="300" t="s">
        <v>3</v>
      </c>
      <c r="F1" s="300" t="s">
        <v>4</v>
      </c>
      <c r="G1" s="300" t="s">
        <v>5</v>
      </c>
      <c r="I1" s="366" t="s">
        <v>48</v>
      </c>
    </row>
    <row r="2" spans="1:10" ht="11.25" customHeight="1">
      <c r="C2" s="327"/>
      <c r="D2" s="333" t="s">
        <v>7</v>
      </c>
      <c r="E2" s="333" t="s">
        <v>8</v>
      </c>
      <c r="F2" s="333" t="s">
        <v>9</v>
      </c>
      <c r="G2" s="333" t="s">
        <v>10</v>
      </c>
      <c r="H2" s="333"/>
    </row>
    <row r="3" spans="1:10" ht="11.25" customHeight="1">
      <c r="B3" s="327" t="s">
        <v>11</v>
      </c>
      <c r="C3" s="304"/>
    </row>
    <row r="4" spans="1:10" ht="11.25" customHeight="1">
      <c r="A4" s="320">
        <v>1</v>
      </c>
      <c r="C4" s="306" t="s">
        <v>12</v>
      </c>
      <c r="D4" s="323">
        <f>SUM(E4:H4)</f>
        <v>592552817</v>
      </c>
      <c r="E4" s="323">
        <f>SUM('G-3 COST OF SERVICE'!G27:I27)</f>
        <v>473692617</v>
      </c>
      <c r="F4" s="323">
        <f>SUM('G-3 COST OF SERVICE'!J27:L27)</f>
        <v>78750878</v>
      </c>
      <c r="G4" s="323">
        <f>SUM('G-3 COST OF SERVICE'!M27:O27)</f>
        <v>40109322</v>
      </c>
      <c r="H4" s="323"/>
      <c r="I4" s="308">
        <f>D4-'G-3 COST OF SERVICE'!F27</f>
        <v>0</v>
      </c>
      <c r="J4" s="323"/>
    </row>
    <row r="5" spans="1:10" ht="11.25" customHeight="1">
      <c r="A5" s="320">
        <f t="shared" ref="A5:A45" si="0">+A4+1</f>
        <v>2</v>
      </c>
      <c r="C5" s="306" t="s">
        <v>13</v>
      </c>
      <c r="D5" s="331">
        <f>SUM(E5:H5)</f>
        <v>230512145.60347921</v>
      </c>
      <c r="E5" s="323">
        <f>SUM('G-3 COST OF SERVICE'!G52:I52)</f>
        <v>183280109.44763494</v>
      </c>
      <c r="F5" s="323">
        <f>SUM('G-3 COST OF SERVICE'!J52:L52)</f>
        <v>30449837.646552496</v>
      </c>
      <c r="G5" s="323">
        <f>SUM('G-3 COST OF SERVICE'!M52:O52)</f>
        <v>16782198.509291761</v>
      </c>
      <c r="H5" s="332"/>
      <c r="I5" s="308">
        <f>D5-'G-3 COST OF SERVICE'!F52</f>
        <v>0</v>
      </c>
      <c r="J5" s="323"/>
    </row>
    <row r="6" spans="1:10" ht="11.25" customHeight="1">
      <c r="A6" s="320">
        <f t="shared" si="0"/>
        <v>3</v>
      </c>
      <c r="B6" s="327" t="s">
        <v>14</v>
      </c>
      <c r="C6" s="304"/>
      <c r="D6" s="355">
        <f>+D4-D5</f>
        <v>362040671.39652079</v>
      </c>
      <c r="E6" s="355">
        <f>+E4-E5</f>
        <v>290412507.55236506</v>
      </c>
      <c r="F6" s="355">
        <f>+F4-F5</f>
        <v>48301040.353447504</v>
      </c>
      <c r="G6" s="355">
        <f>+G4-G5</f>
        <v>23327123.490708239</v>
      </c>
      <c r="H6" s="323"/>
      <c r="I6" s="308">
        <f>D6-'G-3 COST OF SERVICE'!F54</f>
        <v>0</v>
      </c>
      <c r="J6" s="323"/>
    </row>
    <row r="7" spans="1:10" ht="11.25" customHeight="1">
      <c r="A7" s="320">
        <f t="shared" si="0"/>
        <v>4</v>
      </c>
      <c r="D7" s="304"/>
    </row>
    <row r="8" spans="1:10" ht="11.25" customHeight="1">
      <c r="A8" s="320">
        <f t="shared" si="0"/>
        <v>5</v>
      </c>
      <c r="B8" s="327" t="s">
        <v>15</v>
      </c>
      <c r="C8" s="304"/>
      <c r="D8" s="304"/>
    </row>
    <row r="9" spans="1:10" ht="11.25" customHeight="1">
      <c r="A9" s="320">
        <f t="shared" si="0"/>
        <v>6</v>
      </c>
      <c r="C9" s="306" t="s">
        <v>16</v>
      </c>
      <c r="D9" s="323">
        <f t="shared" ref="D9:D15" si="1">SUM(E9:H9)</f>
        <v>-5304562.0382017521</v>
      </c>
      <c r="E9" s="323">
        <f>SUM('G-3 COST OF SERVICE'!G57:I57)</f>
        <v>-4240519.6673911894</v>
      </c>
      <c r="F9" s="323">
        <f>SUM('G-3 COST OF SERVICE'!J57:L57)</f>
        <v>-704981.74636793847</v>
      </c>
      <c r="G9" s="323">
        <f>SUM('G-3 COST OF SERVICE'!M57:O57)</f>
        <v>-359060.62444262393</v>
      </c>
      <c r="H9" s="323"/>
      <c r="I9" s="308">
        <f>D9-'G-3 COST OF SERVICE'!F57</f>
        <v>0</v>
      </c>
      <c r="J9" s="323"/>
    </row>
    <row r="10" spans="1:10" ht="11.25" customHeight="1">
      <c r="A10" s="320">
        <f t="shared" si="0"/>
        <v>7</v>
      </c>
      <c r="C10" s="306" t="s">
        <v>17</v>
      </c>
      <c r="D10" s="331">
        <f t="shared" si="1"/>
        <v>2592782.7800000003</v>
      </c>
      <c r="E10" s="323">
        <f>SUM('G-3 COST OF SERVICE'!G58:I58)</f>
        <v>2072696.3494219829</v>
      </c>
      <c r="F10" s="323">
        <f>SUM('G-3 COST OF SERVICE'!J58:L58)</f>
        <v>344583.49606120645</v>
      </c>
      <c r="G10" s="323">
        <f>SUM('G-3 COST OF SERVICE'!M58:O58)</f>
        <v>175502.93451681081</v>
      </c>
      <c r="H10" s="331"/>
      <c r="I10" s="308">
        <f>D10-'G-3 COST OF SERVICE'!F58</f>
        <v>0</v>
      </c>
      <c r="J10" s="323"/>
    </row>
    <row r="11" spans="1:10" ht="11.25" customHeight="1">
      <c r="A11" s="320">
        <f t="shared" si="0"/>
        <v>8</v>
      </c>
      <c r="C11" s="306" t="s">
        <v>18</v>
      </c>
      <c r="D11" s="331">
        <f t="shared" si="1"/>
        <v>485024.13000000006</v>
      </c>
      <c r="E11" s="323">
        <f>SUM('G-3 COST OF SERVICE'!G59:I59)</f>
        <v>387733.11493243306</v>
      </c>
      <c r="F11" s="323">
        <f>SUM('G-3 COST OF SERVICE'!J59:L59)</f>
        <v>64460.205335614381</v>
      </c>
      <c r="G11" s="323">
        <f>SUM('G-3 COST OF SERVICE'!M59:O59)</f>
        <v>32830.809731952606</v>
      </c>
      <c r="H11" s="331"/>
      <c r="I11" s="308">
        <f>D11-'G-3 COST OF SERVICE'!F59</f>
        <v>0</v>
      </c>
      <c r="J11" s="323"/>
    </row>
    <row r="12" spans="1:10" ht="11.25" customHeight="1">
      <c r="A12" s="320">
        <f t="shared" si="0"/>
        <v>9</v>
      </c>
      <c r="C12" s="306" t="s">
        <v>19</v>
      </c>
      <c r="D12" s="331">
        <f t="shared" si="1"/>
        <v>-5445150</v>
      </c>
      <c r="E12" s="323">
        <f>SUM('G-3 COST OF SERVICE'!G63:I63)</f>
        <v>-5018511.550863049</v>
      </c>
      <c r="F12" s="323">
        <f>SUM('G-3 COST OF SERVICE'!J63:L63)</f>
        <v>-424151.61695188645</v>
      </c>
      <c r="G12" s="323">
        <f>SUM('G-3 COST OF SERVICE'!M63:O63)</f>
        <v>-2486.8321850643242</v>
      </c>
      <c r="H12" s="331"/>
      <c r="I12" s="308">
        <f>D12-'G-3 COST OF SERVICE'!F63</f>
        <v>0</v>
      </c>
      <c r="J12" s="323"/>
    </row>
    <row r="13" spans="1:10" ht="11.25" customHeight="1">
      <c r="A13" s="320">
        <f t="shared" si="0"/>
        <v>10</v>
      </c>
      <c r="C13" s="306" t="s">
        <v>20</v>
      </c>
      <c r="D13" s="331">
        <f t="shared" si="1"/>
        <v>-1598822.74</v>
      </c>
      <c r="E13" s="323">
        <f>SUM('G-3 COST OF SERVICE'!G64:I64)</f>
        <v>-1473551.7641336804</v>
      </c>
      <c r="F13" s="323">
        <f>SUM('G-3 COST OF SERVICE'!J64:L64)</f>
        <v>-124540.78407214595</v>
      </c>
      <c r="G13" s="323">
        <f>SUM('G-3 COST OF SERVICE'!M64:O64)</f>
        <v>-730.19179417366468</v>
      </c>
      <c r="H13" s="331"/>
      <c r="I13" s="308">
        <f>D13-'G-3 COST OF SERVICE'!F64</f>
        <v>0</v>
      </c>
      <c r="J13" s="323"/>
    </row>
    <row r="14" spans="1:10" ht="11.25" customHeight="1">
      <c r="A14" s="320">
        <f t="shared" si="0"/>
        <v>11</v>
      </c>
      <c r="C14" s="306" t="s">
        <v>49</v>
      </c>
      <c r="D14" s="331">
        <f t="shared" si="1"/>
        <v>-23829415.809999995</v>
      </c>
      <c r="E14" s="323">
        <f>SUM('G-3 COST OF SERVICE'!G71:I71)</f>
        <v>-18993893.329710606</v>
      </c>
      <c r="F14" s="323">
        <f>SUM('G-3 COST OF SERVICE'!J71:L71)</f>
        <v>-3194246.2212030455</v>
      </c>
      <c r="G14" s="323">
        <f>SUM('G-3 COST OF SERVICE'!M71:O71)</f>
        <v>-1641276.2590863451</v>
      </c>
      <c r="H14" s="331"/>
      <c r="I14" s="308">
        <f>D14-'G-3 COST OF SERVICE'!F71</f>
        <v>0</v>
      </c>
      <c r="J14" s="323"/>
    </row>
    <row r="15" spans="1:10" ht="11.25" customHeight="1">
      <c r="A15" s="320">
        <f t="shared" si="0"/>
        <v>12</v>
      </c>
      <c r="C15" s="306" t="s">
        <v>22</v>
      </c>
      <c r="D15" s="331">
        <f t="shared" si="1"/>
        <v>-37645144.641083837</v>
      </c>
      <c r="E15" s="323">
        <f>SUM('G-3 COST OF SERVICE'!G73:I73)</f>
        <v>-30093903.143791024</v>
      </c>
      <c r="F15" s="323">
        <f>SUM('G-3 COST OF SERVICE'!J73:L73)</f>
        <v>-5003078.388744453</v>
      </c>
      <c r="G15" s="323">
        <f>SUM('G-3 COST OF SERVICE'!M73:O73)</f>
        <v>-2548163.1085483576</v>
      </c>
      <c r="H15" s="332"/>
      <c r="I15" s="308">
        <f>D15-'G-3 COST OF SERVICE'!F73</f>
        <v>0</v>
      </c>
      <c r="J15" s="323"/>
    </row>
    <row r="16" spans="1:10" ht="11.25" customHeight="1">
      <c r="A16" s="320">
        <f t="shared" si="0"/>
        <v>13</v>
      </c>
      <c r="B16" s="327" t="s">
        <v>50</v>
      </c>
      <c r="C16" s="304"/>
      <c r="D16" s="355">
        <f>SUM(D9:D15)</f>
        <v>-70745288.319285586</v>
      </c>
      <c r="E16" s="355">
        <f>SUM(E9:E15)</f>
        <v>-57359949.991535135</v>
      </c>
      <c r="F16" s="355">
        <f>SUM(F9:F15)</f>
        <v>-9041955.055942649</v>
      </c>
      <c r="G16" s="355">
        <f>SUM(G9:G15)</f>
        <v>-4343383.271807801</v>
      </c>
      <c r="H16" s="323"/>
      <c r="I16" s="308"/>
      <c r="J16" s="323"/>
    </row>
    <row r="17" spans="1:29" ht="11.25" customHeight="1">
      <c r="A17" s="320">
        <f t="shared" si="0"/>
        <v>14</v>
      </c>
      <c r="D17" s="304"/>
      <c r="I17" s="308"/>
    </row>
    <row r="18" spans="1:29" s="360" customFormat="1" ht="11.25" customHeight="1" thickBot="1">
      <c r="A18" s="365">
        <f t="shared" si="0"/>
        <v>15</v>
      </c>
      <c r="B18" s="364" t="s">
        <v>24</v>
      </c>
      <c r="C18" s="363"/>
      <c r="D18" s="362">
        <f>+D6+D16</f>
        <v>291295383.07723522</v>
      </c>
      <c r="E18" s="362">
        <f>+E6+E16</f>
        <v>233052557.56082994</v>
      </c>
      <c r="F18" s="362">
        <f>+F6+F16</f>
        <v>39259085.297504857</v>
      </c>
      <c r="G18" s="362">
        <f>+G6+G16</f>
        <v>18983740.218900438</v>
      </c>
      <c r="H18" s="362"/>
      <c r="I18" s="311">
        <f>D18-[6]Cover!$G$26</f>
        <v>1.3945487141609192</v>
      </c>
      <c r="J18" s="361"/>
    </row>
    <row r="19" spans="1:29" ht="11.1" customHeight="1" thickTop="1">
      <c r="A19" s="320">
        <f t="shared" si="0"/>
        <v>16</v>
      </c>
      <c r="D19" s="304"/>
      <c r="I19" s="308"/>
      <c r="L19" s="323"/>
    </row>
    <row r="20" spans="1:29">
      <c r="A20" s="320">
        <f t="shared" si="0"/>
        <v>17</v>
      </c>
      <c r="B20" s="307" t="s">
        <v>51</v>
      </c>
      <c r="D20" s="359">
        <f>[6]Cover!$G$46</f>
        <v>7.6265300000000008E-2</v>
      </c>
      <c r="E20" s="359">
        <f>+$D$20</f>
        <v>7.6265300000000008E-2</v>
      </c>
      <c r="F20" s="359">
        <f>+$D$20</f>
        <v>7.6265300000000008E-2</v>
      </c>
      <c r="G20" s="359">
        <f>+$D$20</f>
        <v>7.6265300000000008E-2</v>
      </c>
      <c r="H20" s="311"/>
      <c r="J20" s="313"/>
      <c r="K20" s="311"/>
      <c r="L20" s="311"/>
      <c r="M20" s="311"/>
      <c r="N20" s="311"/>
      <c r="O20" s="311"/>
      <c r="P20" s="311"/>
      <c r="Q20" s="311"/>
      <c r="R20" s="311"/>
      <c r="S20" s="311"/>
      <c r="T20" s="311"/>
      <c r="U20" s="311"/>
      <c r="V20" s="311"/>
      <c r="W20" s="311"/>
      <c r="X20" s="311"/>
      <c r="Y20" s="311"/>
      <c r="Z20" s="311"/>
      <c r="AA20" s="311"/>
      <c r="AB20" s="311"/>
      <c r="AC20" s="311"/>
    </row>
    <row r="21" spans="1:29" ht="11.25" customHeight="1">
      <c r="A21" s="320">
        <f t="shared" si="0"/>
        <v>18</v>
      </c>
      <c r="B21" s="307" t="s">
        <v>52</v>
      </c>
      <c r="C21" s="307"/>
      <c r="D21" s="323">
        <f>+D18*D20</f>
        <v>22215729.779000271</v>
      </c>
      <c r="E21" s="323">
        <f>+E18*E20</f>
        <v>17773823.218143966</v>
      </c>
      <c r="F21" s="323">
        <f>+F18*F20</f>
        <v>2994105.9179397975</v>
      </c>
      <c r="G21" s="323">
        <f>+G18*G20</f>
        <v>1447800.6429165078</v>
      </c>
      <c r="H21" s="323"/>
      <c r="I21" s="311">
        <f>D21-[6]Cover!$G$31</f>
        <v>0.10900026932358742</v>
      </c>
    </row>
    <row r="22" spans="1:29" ht="11.25" customHeight="1">
      <c r="A22" s="320">
        <f t="shared" si="0"/>
        <v>19</v>
      </c>
      <c r="D22" s="304"/>
      <c r="I22" s="308"/>
      <c r="L22" s="323"/>
      <c r="M22" s="323"/>
    </row>
    <row r="23" spans="1:29" ht="11.25" customHeight="1">
      <c r="A23" s="320">
        <f t="shared" si="0"/>
        <v>20</v>
      </c>
      <c r="C23" s="304"/>
      <c r="I23" s="308"/>
    </row>
    <row r="24" spans="1:29">
      <c r="A24" s="320">
        <f t="shared" si="0"/>
        <v>21</v>
      </c>
      <c r="B24" s="307" t="s">
        <v>53</v>
      </c>
      <c r="D24" s="323">
        <f>SUM(E24:G24)</f>
        <v>77394114.803090662</v>
      </c>
      <c r="E24" s="358">
        <f>+E49</f>
        <v>54362762.591130532</v>
      </c>
      <c r="F24" s="323">
        <f>+F49</f>
        <v>15860448.446729843</v>
      </c>
      <c r="G24" s="323">
        <f>+G49</f>
        <v>7170903.7652302813</v>
      </c>
      <c r="H24" s="323"/>
      <c r="I24" s="308"/>
      <c r="J24" s="314"/>
      <c r="K24" s="308"/>
      <c r="L24" s="311"/>
      <c r="M24" s="308"/>
      <c r="N24" s="308"/>
      <c r="O24" s="308"/>
      <c r="P24" s="308"/>
      <c r="Q24" s="308"/>
      <c r="R24" s="308"/>
      <c r="S24" s="308"/>
      <c r="T24" s="308"/>
      <c r="U24" s="308"/>
      <c r="V24" s="308"/>
      <c r="W24" s="308"/>
      <c r="X24" s="308"/>
      <c r="Y24" s="308"/>
      <c r="Z24" s="308"/>
      <c r="AA24" s="308"/>
      <c r="AB24" s="308"/>
      <c r="AC24" s="308"/>
    </row>
    <row r="25" spans="1:29">
      <c r="A25" s="320">
        <f t="shared" si="0"/>
        <v>22</v>
      </c>
      <c r="B25" s="307"/>
      <c r="F25" s="314"/>
      <c r="G25" s="314"/>
      <c r="H25" s="314"/>
      <c r="I25" s="308"/>
      <c r="J25" s="314"/>
      <c r="K25" s="308"/>
      <c r="L25" s="308"/>
      <c r="M25" s="308"/>
      <c r="N25" s="308"/>
      <c r="O25" s="308"/>
      <c r="P25" s="308"/>
      <c r="Q25" s="308"/>
      <c r="R25" s="308"/>
      <c r="S25" s="308"/>
      <c r="T25" s="308"/>
      <c r="U25" s="308"/>
      <c r="V25" s="308"/>
      <c r="W25" s="308"/>
      <c r="X25" s="308"/>
      <c r="Y25" s="308"/>
      <c r="Z25" s="308"/>
      <c r="AA25" s="308"/>
      <c r="AB25" s="308"/>
      <c r="AC25" s="308"/>
    </row>
    <row r="26" spans="1:29">
      <c r="A26" s="320">
        <f t="shared" si="0"/>
        <v>23</v>
      </c>
      <c r="B26" s="307" t="s">
        <v>29</v>
      </c>
      <c r="F26" s="313"/>
      <c r="G26" s="313"/>
      <c r="H26" s="313"/>
      <c r="I26" s="311"/>
      <c r="J26" s="313"/>
      <c r="K26" s="311"/>
      <c r="L26" s="311"/>
      <c r="M26" s="311"/>
      <c r="N26" s="311"/>
      <c r="O26" s="311"/>
      <c r="P26" s="311"/>
      <c r="Q26" s="311"/>
      <c r="R26" s="311"/>
      <c r="S26" s="311"/>
      <c r="T26" s="311"/>
      <c r="U26" s="311"/>
      <c r="V26" s="311"/>
      <c r="W26" s="311"/>
      <c r="X26" s="311"/>
      <c r="Y26" s="311"/>
      <c r="Z26" s="311"/>
      <c r="AA26" s="311"/>
      <c r="AB26" s="311"/>
      <c r="AC26" s="311"/>
    </row>
    <row r="27" spans="1:29">
      <c r="A27" s="320">
        <f t="shared" si="0"/>
        <v>24</v>
      </c>
      <c r="C27" s="304" t="s">
        <v>30</v>
      </c>
      <c r="D27" s="323">
        <f>SUM(E27:H27)</f>
        <v>489636</v>
      </c>
      <c r="E27" s="323">
        <f>+'G-7 Allocations'!$F$60</f>
        <v>346759.44971957838</v>
      </c>
      <c r="F27" s="323">
        <f>+'G-7 Allocations'!$I$60</f>
        <v>79075.109579946322</v>
      </c>
      <c r="G27" s="323">
        <f>+'G-7 Allocations'!L$60</f>
        <v>63801.440700475301</v>
      </c>
      <c r="H27" s="323"/>
      <c r="I27" s="311"/>
      <c r="J27" s="313"/>
      <c r="K27" s="311"/>
      <c r="L27" s="311"/>
      <c r="M27" s="311"/>
      <c r="N27" s="311"/>
      <c r="O27" s="311"/>
      <c r="P27" s="311"/>
      <c r="Q27" s="311"/>
      <c r="R27" s="311"/>
      <c r="S27" s="311"/>
      <c r="T27" s="311"/>
      <c r="U27" s="311"/>
      <c r="V27" s="311"/>
      <c r="W27" s="311"/>
      <c r="X27" s="311"/>
      <c r="Y27" s="311"/>
      <c r="Z27" s="311"/>
      <c r="AA27" s="311"/>
      <c r="AB27" s="311"/>
      <c r="AC27" s="311"/>
    </row>
    <row r="28" spans="1:29">
      <c r="A28" s="320">
        <f t="shared" si="0"/>
        <v>25</v>
      </c>
      <c r="C28" s="304" t="s">
        <v>31</v>
      </c>
      <c r="D28" s="357">
        <f>SUM(E28:H28)</f>
        <v>805199.31000000017</v>
      </c>
      <c r="E28" s="357">
        <f>+'G-7 Allocations'!$H$31</f>
        <v>764893.05016548978</v>
      </c>
      <c r="F28" s="357">
        <f>+'G-7 Allocations'!$K$31</f>
        <v>40145.424402921788</v>
      </c>
      <c r="G28" s="357">
        <f>+'G-7 Allocations'!N31</f>
        <v>160.83543158856128</v>
      </c>
      <c r="H28" s="357"/>
      <c r="I28" s="311"/>
      <c r="J28" s="313"/>
      <c r="K28" s="311"/>
      <c r="L28" s="311"/>
      <c r="M28" s="311"/>
      <c r="N28" s="311"/>
      <c r="O28" s="311"/>
      <c r="P28" s="311"/>
      <c r="Q28" s="311"/>
      <c r="R28" s="311"/>
      <c r="S28" s="311"/>
      <c r="T28" s="311"/>
      <c r="U28" s="311"/>
      <c r="V28" s="311"/>
      <c r="W28" s="311"/>
      <c r="X28" s="311"/>
      <c r="Y28" s="311"/>
      <c r="Z28" s="311"/>
      <c r="AA28" s="311"/>
      <c r="AB28" s="311"/>
      <c r="AC28" s="311"/>
    </row>
    <row r="29" spans="1:29">
      <c r="A29" s="320">
        <f t="shared" si="0"/>
        <v>26</v>
      </c>
      <c r="C29" s="304" t="s">
        <v>54</v>
      </c>
      <c r="D29" s="329">
        <f>SUM(E29:H29)</f>
        <v>21775.900000000147</v>
      </c>
      <c r="E29" s="329">
        <f>+'Schedule G-1 Present Rates'!E28</f>
        <v>15328.34747719694</v>
      </c>
      <c r="F29" s="329">
        <f>+'Schedule G-1 Present Rates'!F28</f>
        <v>4630.837682738068</v>
      </c>
      <c r="G29" s="329">
        <f>+'Schedule G-1 Present Rates'!G28</f>
        <v>1816.7148400651367</v>
      </c>
      <c r="H29" s="329"/>
      <c r="I29" s="311"/>
      <c r="J29" s="313"/>
      <c r="K29" s="311"/>
      <c r="L29" s="311"/>
      <c r="M29" s="311"/>
      <c r="N29" s="311"/>
      <c r="O29" s="311"/>
      <c r="P29" s="311"/>
      <c r="Q29" s="311"/>
      <c r="R29" s="311"/>
      <c r="S29" s="311"/>
      <c r="T29" s="311"/>
      <c r="U29" s="311"/>
      <c r="V29" s="311"/>
      <c r="W29" s="311"/>
      <c r="X29" s="311"/>
      <c r="Y29" s="311"/>
      <c r="Z29" s="311"/>
      <c r="AA29" s="311"/>
      <c r="AB29" s="311"/>
      <c r="AC29" s="311"/>
    </row>
    <row r="30" spans="1:29">
      <c r="A30" s="320">
        <f t="shared" si="0"/>
        <v>27</v>
      </c>
      <c r="B30" s="307" t="s">
        <v>33</v>
      </c>
      <c r="D30" s="323">
        <f>SUM(D27:D29)</f>
        <v>1316611.2100000002</v>
      </c>
      <c r="E30" s="323">
        <f>SUM(E27:E29)</f>
        <v>1126980.8473622652</v>
      </c>
      <c r="F30" s="323">
        <f>SUM(F27:F29)</f>
        <v>123851.37166560617</v>
      </c>
      <c r="G30" s="323">
        <f>SUM(G27:G29)</f>
        <v>65778.990972129002</v>
      </c>
      <c r="H30" s="323"/>
      <c r="I30" s="311">
        <f>D30-[6]Cover!$G$14</f>
        <v>0</v>
      </c>
      <c r="J30" s="313"/>
      <c r="K30" s="311"/>
      <c r="L30" s="311"/>
      <c r="M30" s="311"/>
      <c r="N30" s="311"/>
      <c r="O30" s="311"/>
      <c r="P30" s="311"/>
      <c r="Q30" s="311"/>
      <c r="R30" s="311"/>
      <c r="S30" s="311"/>
      <c r="T30" s="311"/>
      <c r="U30" s="311"/>
      <c r="V30" s="311"/>
      <c r="W30" s="311"/>
      <c r="X30" s="311"/>
      <c r="Y30" s="311"/>
      <c r="Z30" s="311"/>
      <c r="AA30" s="311"/>
      <c r="AB30" s="311"/>
      <c r="AC30" s="311"/>
    </row>
    <row r="31" spans="1:29">
      <c r="A31" s="320">
        <f t="shared" si="0"/>
        <v>28</v>
      </c>
      <c r="E31" s="305"/>
      <c r="F31" s="305"/>
      <c r="G31" s="305"/>
      <c r="H31" s="305"/>
      <c r="I31" s="308"/>
      <c r="J31" s="314"/>
      <c r="K31" s="308"/>
      <c r="L31" s="308"/>
      <c r="M31" s="308"/>
      <c r="N31" s="308"/>
      <c r="O31" s="308"/>
      <c r="P31" s="308"/>
      <c r="Q31" s="308"/>
      <c r="R31" s="308"/>
      <c r="S31" s="308"/>
      <c r="T31" s="308"/>
      <c r="U31" s="308"/>
      <c r="V31" s="308"/>
      <c r="W31" s="308"/>
      <c r="X31" s="308"/>
      <c r="Y31" s="308"/>
      <c r="Z31" s="308"/>
      <c r="AA31" s="308"/>
      <c r="AB31" s="308"/>
      <c r="AC31" s="308"/>
    </row>
    <row r="32" spans="1:29" ht="12" thickBot="1">
      <c r="A32" s="320">
        <f t="shared" si="0"/>
        <v>29</v>
      </c>
      <c r="B32" s="307" t="s">
        <v>34</v>
      </c>
      <c r="D32" s="324">
        <f>+D30+D24</f>
        <v>78710726.013090655</v>
      </c>
      <c r="E32" s="324">
        <f>+E30+E24</f>
        <v>55489743.438492797</v>
      </c>
      <c r="F32" s="324">
        <f>+F30+F24</f>
        <v>15984299.818395449</v>
      </c>
      <c r="G32" s="324">
        <f>+G30+G24</f>
        <v>7236682.75620241</v>
      </c>
      <c r="H32" s="324"/>
      <c r="I32" s="311">
        <f>D32-[6]Cover!$G$39</f>
        <v>-10993.279834061861</v>
      </c>
      <c r="J32" s="313"/>
      <c r="K32" s="311"/>
      <c r="L32" s="311"/>
      <c r="M32" s="311"/>
      <c r="N32" s="311"/>
      <c r="O32" s="311"/>
      <c r="P32" s="311"/>
      <c r="Q32" s="311"/>
      <c r="R32" s="311"/>
      <c r="S32" s="311"/>
      <c r="T32" s="311"/>
      <c r="U32" s="311"/>
      <c r="V32" s="311"/>
      <c r="W32" s="311"/>
      <c r="X32" s="311"/>
      <c r="Y32" s="311"/>
      <c r="Z32" s="311"/>
      <c r="AA32" s="311"/>
      <c r="AB32" s="311"/>
      <c r="AC32" s="311"/>
    </row>
    <row r="33" spans="1:29" ht="12" thickTop="1">
      <c r="A33" s="320">
        <f t="shared" si="0"/>
        <v>30</v>
      </c>
      <c r="B33" s="307"/>
      <c r="D33" s="323"/>
      <c r="E33" s="323"/>
      <c r="F33" s="323"/>
      <c r="G33" s="323"/>
      <c r="H33" s="323"/>
      <c r="I33" s="308"/>
      <c r="J33" s="314"/>
      <c r="K33" s="308"/>
      <c r="L33" s="308"/>
      <c r="M33" s="308"/>
      <c r="N33" s="308"/>
      <c r="O33" s="308"/>
      <c r="P33" s="308"/>
      <c r="Q33" s="308"/>
      <c r="R33" s="308"/>
      <c r="S33" s="308"/>
      <c r="T33" s="308"/>
      <c r="U33" s="308"/>
      <c r="V33" s="308"/>
      <c r="W33" s="308"/>
      <c r="X33" s="308"/>
      <c r="Y33" s="308"/>
      <c r="Z33" s="308"/>
      <c r="AA33" s="308"/>
      <c r="AB33" s="308"/>
      <c r="AC33" s="308"/>
    </row>
    <row r="34" spans="1:29" ht="11.25" customHeight="1">
      <c r="A34" s="320">
        <f t="shared" si="0"/>
        <v>31</v>
      </c>
      <c r="B34" s="307" t="s">
        <v>35</v>
      </c>
      <c r="C34" s="327"/>
      <c r="I34" s="308"/>
    </row>
    <row r="35" spans="1:29" ht="11.25" customHeight="1">
      <c r="A35" s="320">
        <f t="shared" si="0"/>
        <v>32</v>
      </c>
      <c r="C35" s="306" t="s">
        <v>36</v>
      </c>
      <c r="D35" s="323">
        <f>SUM(E35:H35)</f>
        <v>28962820.550075125</v>
      </c>
      <c r="E35" s="323">
        <f>+SUM('G-4 COST OF SERVICE'!$G$57:$I$57)</f>
        <v>24477305.009011738</v>
      </c>
      <c r="F35" s="323">
        <f>+SUM('G-4 COST OF SERVICE'!$J$57:$L$57)</f>
        <v>3219064.1271802313</v>
      </c>
      <c r="G35" s="323">
        <f>+SUM('G-4 COST OF SERVICE'!$M$57:$O$57)</f>
        <v>1266451.4138831566</v>
      </c>
      <c r="H35" s="323"/>
      <c r="I35" s="356"/>
    </row>
    <row r="36" spans="1:29" ht="11.25" customHeight="1">
      <c r="A36" s="320">
        <f t="shared" si="0"/>
        <v>33</v>
      </c>
      <c r="C36" s="306" t="s">
        <v>37</v>
      </c>
      <c r="D36" s="326">
        <f>SUM(E36:H36)</f>
        <v>17445062.362369001</v>
      </c>
      <c r="E36" s="326">
        <f>+SUM('G-4 COST OF SERVICE'!$G$90:$I$90)</f>
        <v>14049380.109621689</v>
      </c>
      <c r="F36" s="326">
        <f>+SUM('G-4 COST OF SERVICE'!$J$90:$L$90)</f>
        <v>2312041.7994349524</v>
      </c>
      <c r="G36" s="326">
        <f>+SUM('G-4 COST OF SERVICE'!$M$90:$O$90)</f>
        <v>1083640.4533123591</v>
      </c>
      <c r="H36" s="326"/>
      <c r="I36" s="311"/>
    </row>
    <row r="37" spans="1:29" ht="11.25" customHeight="1">
      <c r="A37" s="320">
        <f t="shared" si="0"/>
        <v>34</v>
      </c>
      <c r="C37" s="306" t="s">
        <v>38</v>
      </c>
      <c r="D37" s="326">
        <f>SUM(E37:H37)</f>
        <v>53976.839999999989</v>
      </c>
      <c r="E37" s="326">
        <f>+SUM('G-4 COST OF SERVICE'!$G$92:$I$92)</f>
        <v>-1343.4163755143716</v>
      </c>
      <c r="F37" s="326">
        <f>+SUM('G-4 COST OF SERVICE'!$J$92:$L$92)</f>
        <v>55320.256375514364</v>
      </c>
      <c r="G37" s="326">
        <f>+SUM('G-4 COST OF SERVICE'!$M$92:$O$92)</f>
        <v>0</v>
      </c>
      <c r="H37" s="326"/>
      <c r="I37" s="311"/>
    </row>
    <row r="38" spans="1:29" ht="11.25" customHeight="1">
      <c r="A38" s="320">
        <f t="shared" si="0"/>
        <v>35</v>
      </c>
      <c r="C38" s="306" t="s">
        <v>39</v>
      </c>
      <c r="D38" s="326">
        <f>SUM(E38:H38)</f>
        <v>5852780.7856770055</v>
      </c>
      <c r="E38" s="326">
        <f>+SUM('G-4 COST OF SERVICE'!$G$97:$I$97)</f>
        <v>4678771.1872352073</v>
      </c>
      <c r="F38" s="326">
        <f>+SUM('G-4 COST OF SERVICE'!$J$97:$L$97)</f>
        <v>777840.57790344453</v>
      </c>
      <c r="G38" s="326">
        <f>+SUM('G-4 COST OF SERVICE'!$M$97:$O$97)</f>
        <v>396169.02053835307</v>
      </c>
      <c r="H38" s="326"/>
      <c r="I38" s="311"/>
    </row>
    <row r="39" spans="1:29" ht="11.25" customHeight="1">
      <c r="A39" s="320">
        <f t="shared" si="0"/>
        <v>36</v>
      </c>
      <c r="C39" s="306" t="s">
        <v>55</v>
      </c>
      <c r="D39" s="329">
        <f>SUM(E39:G39)</f>
        <v>4184258</v>
      </c>
      <c r="E39" s="326">
        <f>'Rate Changes'!Q20</f>
        <v>2059258</v>
      </c>
      <c r="F39" s="326">
        <f>'Rate Changes'!R20</f>
        <v>1450000</v>
      </c>
      <c r="G39" s="326">
        <f>'Rate Changes'!S20</f>
        <v>675000</v>
      </c>
      <c r="H39" s="329"/>
      <c r="I39" s="311"/>
    </row>
    <row r="40" spans="1:29" ht="11.25" customHeight="1">
      <c r="A40" s="320">
        <f t="shared" si="0"/>
        <v>37</v>
      </c>
      <c r="B40" s="307" t="s">
        <v>41</v>
      </c>
      <c r="D40" s="323">
        <f>SUM(D35:D39)</f>
        <v>56498898.538121141</v>
      </c>
      <c r="E40" s="355">
        <f>SUM(E35:E39)</f>
        <v>45263370.889493115</v>
      </c>
      <c r="F40" s="355">
        <f>SUM(F35:F39)</f>
        <v>7814266.760894143</v>
      </c>
      <c r="G40" s="355">
        <f>SUM(G35:G39)</f>
        <v>3421260.8877338688</v>
      </c>
      <c r="H40" s="323"/>
      <c r="I40" s="311"/>
    </row>
    <row r="41" spans="1:29" ht="11.25" customHeight="1">
      <c r="A41" s="320">
        <f t="shared" si="0"/>
        <v>38</v>
      </c>
      <c r="I41" s="308"/>
    </row>
    <row r="42" spans="1:29" ht="11.25" customHeight="1" thickBot="1">
      <c r="A42" s="320">
        <f t="shared" si="0"/>
        <v>39</v>
      </c>
      <c r="B42" s="307" t="s">
        <v>42</v>
      </c>
      <c r="D42" s="324">
        <f>SUM(E42:G42)</f>
        <v>22211827.474969529</v>
      </c>
      <c r="E42" s="324">
        <f>+E32-E40</f>
        <v>10226372.548999682</v>
      </c>
      <c r="F42" s="324">
        <f>+F32-F40</f>
        <v>8170033.0575013058</v>
      </c>
      <c r="G42" s="324">
        <f>+G32-G40</f>
        <v>3815421.8684685412</v>
      </c>
      <c r="H42" s="324">
        <f>+H32-H40</f>
        <v>0</v>
      </c>
      <c r="I42" s="311">
        <f>D42-[6]Cover!$G$32</f>
        <v>-3902.1950304731727</v>
      </c>
      <c r="K42" s="354"/>
      <c r="L42" s="354"/>
      <c r="M42" s="354"/>
    </row>
    <row r="43" spans="1:29" ht="11.25" customHeight="1" thickTop="1">
      <c r="A43" s="320">
        <f t="shared" si="0"/>
        <v>40</v>
      </c>
      <c r="B43" s="307"/>
      <c r="D43" s="323"/>
      <c r="E43" s="323"/>
      <c r="F43" s="323"/>
      <c r="G43" s="323"/>
      <c r="H43" s="323"/>
      <c r="I43" s="308"/>
    </row>
    <row r="44" spans="1:29">
      <c r="A44" s="320">
        <f t="shared" si="0"/>
        <v>41</v>
      </c>
      <c r="B44" s="307" t="s">
        <v>43</v>
      </c>
      <c r="D44" s="353">
        <f>+D42/D18</f>
        <v>7.6251903618672165E-2</v>
      </c>
      <c r="E44" s="322">
        <f>+E42/E18</f>
        <v>4.3880112949760089E-2</v>
      </c>
      <c r="F44" s="353">
        <f>+F42/F18</f>
        <v>0.20810553775231638</v>
      </c>
      <c r="G44" s="322">
        <f>+G42/G18</f>
        <v>0.200983674685448</v>
      </c>
      <c r="H44" s="322"/>
      <c r="I44" s="308"/>
      <c r="J44" s="308"/>
      <c r="K44" s="308"/>
      <c r="L44" s="308"/>
      <c r="M44" s="308"/>
      <c r="N44" s="308"/>
      <c r="O44" s="308"/>
      <c r="P44" s="308"/>
      <c r="Q44" s="308"/>
      <c r="R44" s="308"/>
      <c r="S44" s="308"/>
      <c r="T44" s="308"/>
      <c r="U44" s="308"/>
      <c r="V44" s="308"/>
      <c r="W44" s="308"/>
      <c r="X44" s="308"/>
      <c r="Y44" s="308"/>
      <c r="Z44" s="308"/>
      <c r="AA44" s="308"/>
      <c r="AB44" s="308"/>
      <c r="AC44" s="308"/>
    </row>
    <row r="45" spans="1:29">
      <c r="A45" s="320">
        <f t="shared" si="0"/>
        <v>42</v>
      </c>
      <c r="B45" s="307"/>
      <c r="D45" s="352"/>
      <c r="E45" s="350"/>
      <c r="F45" s="351"/>
      <c r="G45" s="350"/>
      <c r="H45" s="350"/>
      <c r="I45" s="350"/>
      <c r="J45" s="308"/>
      <c r="K45" s="308"/>
      <c r="L45" s="308"/>
      <c r="M45" s="308"/>
      <c r="N45" s="308"/>
      <c r="O45" s="308"/>
      <c r="P45" s="308"/>
      <c r="Q45" s="308"/>
      <c r="R45" s="308"/>
      <c r="S45" s="308"/>
      <c r="T45" s="308"/>
      <c r="U45" s="308"/>
      <c r="V45" s="308"/>
      <c r="W45" s="308"/>
      <c r="X45" s="308"/>
      <c r="Y45" s="308"/>
      <c r="Z45" s="308"/>
      <c r="AA45" s="308"/>
      <c r="AB45" s="308"/>
      <c r="AC45" s="308"/>
    </row>
    <row r="46" spans="1:29">
      <c r="B46" s="307"/>
      <c r="D46" s="328"/>
      <c r="E46" s="349"/>
      <c r="F46" s="349"/>
      <c r="G46" s="349"/>
      <c r="H46" s="308"/>
      <c r="I46" s="308"/>
      <c r="J46" s="308"/>
      <c r="K46" s="308"/>
      <c r="L46" s="308"/>
      <c r="M46" s="308"/>
      <c r="N46" s="308"/>
      <c r="O46" s="308"/>
      <c r="P46" s="308"/>
      <c r="Q46" s="308"/>
      <c r="R46" s="308"/>
      <c r="S46" s="308"/>
      <c r="T46" s="308"/>
      <c r="U46" s="308"/>
      <c r="V46" s="308"/>
      <c r="W46" s="308"/>
      <c r="X46" s="308"/>
      <c r="Y46" s="308"/>
      <c r="Z46" s="308"/>
      <c r="AA46" s="308"/>
      <c r="AB46" s="308"/>
      <c r="AC46" s="308"/>
    </row>
    <row r="47" spans="1:29">
      <c r="B47" s="307" t="s">
        <v>56</v>
      </c>
      <c r="D47" s="316"/>
      <c r="F47" s="308"/>
      <c r="G47" s="308"/>
      <c r="H47" s="308"/>
      <c r="I47" s="308"/>
      <c r="J47" s="308"/>
      <c r="K47" s="308"/>
      <c r="L47" s="308"/>
      <c r="M47" s="308"/>
      <c r="N47" s="308"/>
      <c r="O47" s="308"/>
      <c r="P47" s="308"/>
      <c r="Q47" s="308"/>
      <c r="R47" s="308"/>
      <c r="S47" s="308"/>
      <c r="T47" s="308"/>
      <c r="U47" s="308"/>
      <c r="V47" s="308"/>
      <c r="W47" s="308"/>
      <c r="X47" s="308"/>
      <c r="Y47" s="308"/>
      <c r="Z47" s="308"/>
      <c r="AA47" s="308"/>
      <c r="AB47" s="308"/>
      <c r="AC47" s="308"/>
    </row>
    <row r="48" spans="1:29">
      <c r="B48" s="304" t="s">
        <v>45</v>
      </c>
      <c r="D48" s="308">
        <f>SUM(E48:H48)</f>
        <v>162655194.52705711</v>
      </c>
      <c r="E48" s="308">
        <f>Summary!$N$8</f>
        <v>83845183.570931241</v>
      </c>
      <c r="F48" s="308">
        <f>Summary!$N$9</f>
        <v>36221648.273520097</v>
      </c>
      <c r="G48" s="308">
        <f>Summary!$N$10</f>
        <v>42588362.682605758</v>
      </c>
      <c r="H48" s="314"/>
      <c r="I48" s="308"/>
      <c r="J48" s="308"/>
      <c r="K48" s="308"/>
      <c r="L48" s="308"/>
      <c r="M48" s="308"/>
      <c r="N48" s="308"/>
      <c r="O48" s="308"/>
      <c r="P48" s="308"/>
      <c r="Q48" s="308"/>
      <c r="R48" s="308"/>
      <c r="S48" s="308"/>
      <c r="T48" s="308"/>
      <c r="U48" s="308"/>
      <c r="V48" s="308"/>
      <c r="W48" s="308"/>
      <c r="X48" s="308"/>
      <c r="Y48" s="308"/>
      <c r="Z48" s="308"/>
      <c r="AA48" s="308"/>
      <c r="AB48" s="308"/>
      <c r="AC48" s="308"/>
    </row>
    <row r="49" spans="1:29">
      <c r="B49" s="304" t="s">
        <v>57</v>
      </c>
      <c r="D49" s="308">
        <f>SUM(E49:H49)</f>
        <v>77394114.803090662</v>
      </c>
      <c r="E49" s="308">
        <f>Summary!$P$8</f>
        <v>54362762.591130532</v>
      </c>
      <c r="F49" s="308">
        <f>Summary!$P$9</f>
        <v>15860448.446729843</v>
      </c>
      <c r="G49" s="308">
        <f>Summary!$P$10</f>
        <v>7170903.7652302813</v>
      </c>
      <c r="I49" s="308"/>
      <c r="J49" s="308"/>
      <c r="K49" s="308"/>
      <c r="L49" s="308"/>
      <c r="M49" s="308"/>
      <c r="N49" s="308"/>
      <c r="O49" s="308"/>
      <c r="P49" s="308"/>
      <c r="Q49" s="308"/>
      <c r="R49" s="308"/>
      <c r="S49" s="308"/>
      <c r="T49" s="308"/>
      <c r="U49" s="308"/>
      <c r="V49" s="308"/>
      <c r="W49" s="308"/>
      <c r="X49" s="308"/>
      <c r="Y49" s="308"/>
      <c r="Z49" s="308"/>
      <c r="AA49" s="308"/>
      <c r="AB49" s="308"/>
      <c r="AC49" s="308"/>
    </row>
    <row r="50" spans="1:29">
      <c r="B50" s="304" t="s">
        <v>47</v>
      </c>
      <c r="D50" s="308">
        <f>SUM(E50:H50)</f>
        <v>170333.76751301496</v>
      </c>
      <c r="E50" s="308">
        <f>Summary!$M$8/12</f>
        <v>156987.77439851736</v>
      </c>
      <c r="F50" s="308">
        <f>Summary!$M$9/12</f>
        <v>13266.784009559333</v>
      </c>
      <c r="G50" s="308">
        <f>Summary!$M$10/12</f>
        <v>79.209104938271608</v>
      </c>
      <c r="H50" s="308"/>
      <c r="I50" s="308"/>
      <c r="J50" s="308"/>
      <c r="K50" s="308"/>
      <c r="L50" s="308"/>
      <c r="M50" s="308"/>
      <c r="N50" s="308"/>
      <c r="O50" s="308"/>
      <c r="P50" s="308"/>
      <c r="Q50" s="308"/>
      <c r="R50" s="308"/>
      <c r="S50" s="308"/>
      <c r="T50" s="308"/>
      <c r="U50" s="308"/>
      <c r="V50" s="308"/>
      <c r="W50" s="308"/>
      <c r="X50" s="308"/>
      <c r="Y50" s="308"/>
      <c r="Z50" s="308"/>
      <c r="AA50" s="308"/>
      <c r="AB50" s="308"/>
      <c r="AC50" s="308"/>
    </row>
    <row r="52" spans="1:29" ht="11.25" customHeight="1">
      <c r="A52" s="348"/>
      <c r="B52" s="347"/>
      <c r="C52" s="346"/>
      <c r="D52" s="346"/>
      <c r="E52" s="346"/>
    </row>
    <row r="53" spans="1:29" ht="11.25" customHeight="1">
      <c r="A53" s="339"/>
      <c r="B53" s="345"/>
      <c r="C53" s="337"/>
      <c r="D53" s="337"/>
      <c r="E53" s="337"/>
    </row>
    <row r="54" spans="1:29" ht="11.25" customHeight="1" thickBot="1">
      <c r="A54" s="344"/>
      <c r="B54" s="343">
        <f>[6]Cover!$G$32</f>
        <v>22215729.670000002</v>
      </c>
      <c r="C54" s="337"/>
      <c r="D54" s="337"/>
      <c r="E54" s="337"/>
    </row>
    <row r="55" spans="1:29" ht="11.25" customHeight="1" thickBot="1">
      <c r="A55" s="339"/>
      <c r="B55" s="342">
        <f>+B54-D42</f>
        <v>3902.1950304731727</v>
      </c>
      <c r="C55" s="337"/>
      <c r="D55" s="337"/>
      <c r="E55" s="337"/>
    </row>
    <row r="56" spans="1:29" ht="11.25" customHeight="1" thickBot="1">
      <c r="A56" s="341" t="s">
        <v>58</v>
      </c>
      <c r="B56" s="340"/>
      <c r="C56" s="337" t="s">
        <v>59</v>
      </c>
      <c r="D56" s="337"/>
      <c r="E56" s="337"/>
    </row>
    <row r="57" spans="1:29" ht="11.25" customHeight="1">
      <c r="A57" s="339"/>
      <c r="B57" s="338"/>
      <c r="C57" s="337"/>
      <c r="D57" s="337"/>
      <c r="E57" s="337"/>
    </row>
    <row r="58" spans="1:29" ht="11.25" customHeight="1">
      <c r="A58" s="336"/>
      <c r="B58" s="335"/>
      <c r="C58" s="335"/>
      <c r="D58" s="334"/>
      <c r="E58" s="334"/>
    </row>
    <row r="59" spans="1:29" ht="11.25" customHeight="1">
      <c r="D59" s="328"/>
    </row>
  </sheetData>
  <autoFilter ref="I32" xr:uid="{0971D9A8-2EFC-46C4-A7E2-4D6F45E81746}"/>
  <mergeCells count="1">
    <mergeCell ref="B1:C1"/>
  </mergeCells>
  <pageMargins left="0.7" right="0.7" top="1" bottom="0.75" header="0.55000000000000004" footer="0.3"/>
  <pageSetup scale="81" pageOrder="overThenDown" orientation="landscape" r:id="rId1"/>
  <headerFooter>
    <oddHeader>&amp;C&amp;"Arial,Bold"&amp;10UNS GAS, INC.
SUMMARY OF PROPOSED RATES
FOR THE TEST PERIOD ENDING JUNE 30, 2024&amp;R&amp;"Arial,Bold"&amp;10SCHEDULE G-2
SHEET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82874-8981-46F0-8294-F1C879352847}">
  <sheetPr codeName="Sheet35">
    <tabColor theme="8" tint="0.59999389629810485"/>
  </sheetPr>
  <dimension ref="A1:U77"/>
  <sheetViews>
    <sheetView topLeftCell="H1" zoomScaleNormal="100" zoomScaleSheetLayoutView="98" workbookViewId="0">
      <selection sqref="A1:A3"/>
    </sheetView>
  </sheetViews>
  <sheetFormatPr defaultRowHeight="15"/>
  <cols>
    <col min="1" max="1" width="4.42578125" bestFit="1" customWidth="1"/>
    <col min="2" max="2" width="8.28515625" bestFit="1" customWidth="1"/>
    <col min="3" max="3" width="47.7109375" bestFit="1" customWidth="1"/>
    <col min="4" max="4" width="7.7109375" bestFit="1" customWidth="1"/>
    <col min="5" max="5" width="6.5703125" bestFit="1" customWidth="1"/>
    <col min="6" max="6" width="14.140625" bestFit="1" customWidth="1"/>
    <col min="7" max="7" width="13.28515625" bestFit="1" customWidth="1"/>
    <col min="8" max="8" width="11" bestFit="1" customWidth="1"/>
    <col min="9" max="9" width="14.140625" bestFit="1" customWidth="1"/>
    <col min="10" max="10" width="13.28515625" bestFit="1" customWidth="1"/>
    <col min="11" max="11" width="11" bestFit="1" customWidth="1"/>
    <col min="12" max="13" width="13.28515625" bestFit="1" customWidth="1"/>
    <col min="14" max="14" width="11" bestFit="1" customWidth="1"/>
    <col min="15" max="15" width="12.28515625" bestFit="1" customWidth="1"/>
    <col min="17" max="17" width="11.85546875" customWidth="1"/>
    <col min="19" max="19" width="11.85546875" bestFit="1" customWidth="1"/>
    <col min="20" max="20" width="14.7109375" bestFit="1" customWidth="1"/>
    <col min="21" max="21" width="13.85546875" bestFit="1" customWidth="1"/>
  </cols>
  <sheetData>
    <row r="1" spans="1:21">
      <c r="A1" s="428"/>
      <c r="B1" s="427" t="s">
        <v>60</v>
      </c>
      <c r="C1" s="426"/>
      <c r="D1" s="425"/>
      <c r="E1" s="425"/>
      <c r="F1" s="424" t="s">
        <v>61</v>
      </c>
      <c r="G1" s="766" t="s">
        <v>3</v>
      </c>
      <c r="H1" s="767"/>
      <c r="I1" s="768"/>
      <c r="J1" s="766" t="s">
        <v>4</v>
      </c>
      <c r="K1" s="767"/>
      <c r="L1" s="768"/>
      <c r="M1" s="766" t="s">
        <v>5</v>
      </c>
      <c r="N1" s="767"/>
      <c r="O1" s="768"/>
      <c r="P1" s="304"/>
      <c r="Q1" s="415"/>
      <c r="R1" s="304"/>
      <c r="S1" s="304"/>
      <c r="T1" s="304"/>
      <c r="U1" s="304"/>
    </row>
    <row r="2" spans="1:21" ht="15.75" thickBot="1">
      <c r="A2" s="423" t="s">
        <v>62</v>
      </c>
      <c r="B2" s="422" t="s">
        <v>63</v>
      </c>
      <c r="C2" s="422" t="s">
        <v>1</v>
      </c>
      <c r="D2" s="421" t="s">
        <v>64</v>
      </c>
      <c r="E2" s="421" t="s">
        <v>65</v>
      </c>
      <c r="F2" s="420" t="s">
        <v>66</v>
      </c>
      <c r="G2" s="419" t="s">
        <v>67</v>
      </c>
      <c r="H2" s="418" t="s">
        <v>68</v>
      </c>
      <c r="I2" s="417" t="s">
        <v>69</v>
      </c>
      <c r="J2" s="419" t="s">
        <v>67</v>
      </c>
      <c r="K2" s="418" t="s">
        <v>68</v>
      </c>
      <c r="L2" s="417" t="s">
        <v>69</v>
      </c>
      <c r="M2" s="419" t="s">
        <v>67</v>
      </c>
      <c r="N2" s="418" t="s">
        <v>68</v>
      </c>
      <c r="O2" s="417" t="s">
        <v>69</v>
      </c>
      <c r="P2" s="304"/>
      <c r="Q2" s="415" t="s">
        <v>6</v>
      </c>
      <c r="R2" s="304"/>
      <c r="S2" s="304" t="s">
        <v>70</v>
      </c>
      <c r="T2" s="304" t="s">
        <v>71</v>
      </c>
      <c r="U2" s="304" t="s">
        <v>72</v>
      </c>
    </row>
    <row r="3" spans="1:21">
      <c r="A3" s="320"/>
      <c r="B3" s="304"/>
      <c r="C3" s="416" t="s">
        <v>73</v>
      </c>
      <c r="D3" s="406"/>
      <c r="E3" s="406"/>
      <c r="F3" s="370"/>
      <c r="G3" s="369"/>
      <c r="H3" s="369"/>
      <c r="I3" s="369"/>
      <c r="J3" s="369"/>
      <c r="K3" s="369"/>
      <c r="L3" s="369"/>
      <c r="M3" s="369"/>
      <c r="N3" s="369"/>
      <c r="O3" s="369"/>
      <c r="P3" s="304"/>
      <c r="Q3" s="415"/>
      <c r="R3" s="304"/>
      <c r="S3" s="304"/>
      <c r="T3" s="304"/>
      <c r="U3" s="304"/>
    </row>
    <row r="4" spans="1:21">
      <c r="A4" s="320">
        <v>1</v>
      </c>
      <c r="B4" s="374" t="s">
        <v>74</v>
      </c>
      <c r="C4" s="377" t="s">
        <v>75</v>
      </c>
      <c r="D4" s="379" t="s">
        <v>76</v>
      </c>
      <c r="E4" s="379">
        <f>_xlfn.IFNA(VLOOKUP(D4,'G-7 Allocations'!$C$63:$D$106,2,),VLOOKUP(D4,'G-7 Allocations'!$C$10:$D$15,2,))</f>
        <v>19</v>
      </c>
      <c r="F4" s="375">
        <f>SUM(G4:O4)</f>
        <v>1796627.0000000002</v>
      </c>
      <c r="G4" s="375">
        <f>+'G-5 Function Rate Base'!$D$9*VLOOKUP($E$4,'G-7 Allocations'!$D$5:$N$106,'G-3 COST OF SERVICE'!G77,FALSE)</f>
        <v>279086.79271291551</v>
      </c>
      <c r="H4" s="375">
        <f>+'G-5 Function Rate Base'!$D$9*VLOOKUP($E$4,'G-7 Allocations'!$D$5:$N$106,'G-3 COST OF SERVICE'!H77,FALSE)</f>
        <v>0</v>
      </c>
      <c r="I4" s="375">
        <f>+'G-5 Function Rate Base'!$D$9*VLOOKUP($E$4,'G-7 Allocations'!$D$5:$N$106,'G-3 COST OF SERVICE'!I77,FALSE)</f>
        <v>1157154.7053785557</v>
      </c>
      <c r="J4" s="375">
        <f>+'G-5 Function Rate Base'!$D$9*VLOOKUP($E$4,'G-7 Allocations'!$D$5:$N$106,'G-3 COST OF SERVICE'!J77,FALSE)</f>
        <v>120003.02548488148</v>
      </c>
      <c r="K4" s="375">
        <f>+'G-5 Function Rate Base'!$D$9*VLOOKUP($E$4,'G-7 Allocations'!$D$5:$N$106,'G-3 COST OF SERVICE'!K77,FALSE)</f>
        <v>0</v>
      </c>
      <c r="L4" s="375">
        <f>+'G-5 Function Rate Base'!$D$9*VLOOKUP($E$4,'G-7 Allocations'!$D$5:$N$106,'G-3 COST OF SERVICE'!L77,FALSE)</f>
        <v>118770.54920615267</v>
      </c>
      <c r="M4" s="375">
        <f>+'G-5 Function Rate Base'!$D$9*VLOOKUP($E$4,'G-7 Allocations'!$D$5:$N$106,'G-3 COST OF SERVICE'!M77,FALSE)</f>
        <v>110271.39544593969</v>
      </c>
      <c r="N4" s="375">
        <f>+'G-5 Function Rate Base'!$D$9*VLOOKUP($E$4,'G-7 Allocations'!$D$5:$N$106,'G-3 COST OF SERVICE'!N77,FALSE)</f>
        <v>0</v>
      </c>
      <c r="O4" s="375">
        <f>+'G-5 Function Rate Base'!$D$9*VLOOKUP($E$4,'G-7 Allocations'!$D$5:$N$106,'G-3 COST OF SERVICE'!O77,FALSE)</f>
        <v>11340.531771555266</v>
      </c>
      <c r="P4" s="304"/>
      <c r="Q4" s="414">
        <f>F4-'Rate Base'!C8</f>
        <v>0.57000000006519258</v>
      </c>
      <c r="R4" s="304"/>
      <c r="S4" s="314">
        <f>SUM(G4,J4,M4)-'G-5 Function Rate Base'!E9</f>
        <v>0.21364373667165637</v>
      </c>
      <c r="T4" s="314">
        <f>SUM(H4,K4,N4)-'G-5 Function Rate Base'!F9</f>
        <v>0</v>
      </c>
      <c r="U4" s="314">
        <f>SUM(I4,L4,O4)-'G-5 Function Rate Base'!G9</f>
        <v>-0.21364373643882573</v>
      </c>
    </row>
    <row r="5" spans="1:21">
      <c r="A5" s="320">
        <f t="shared" ref="A5:A36" si="0">+A4+1</f>
        <v>2</v>
      </c>
      <c r="B5" s="386"/>
      <c r="C5" s="377"/>
      <c r="D5" s="408"/>
      <c r="E5" s="379"/>
      <c r="F5" s="370"/>
      <c r="G5" s="369"/>
      <c r="H5" s="375"/>
      <c r="I5" s="375"/>
      <c r="J5" s="375"/>
      <c r="K5" s="375"/>
      <c r="L5" s="375"/>
      <c r="M5" s="375"/>
      <c r="N5" s="375"/>
      <c r="O5" s="375"/>
      <c r="P5" s="304"/>
      <c r="Q5" s="415"/>
      <c r="R5" s="304"/>
      <c r="S5" s="314"/>
      <c r="T5" s="314"/>
      <c r="U5" s="314"/>
    </row>
    <row r="6" spans="1:21">
      <c r="A6" s="320">
        <f t="shared" si="0"/>
        <v>3</v>
      </c>
      <c r="B6" s="374" t="s">
        <v>77</v>
      </c>
      <c r="C6" s="377" t="s">
        <v>78</v>
      </c>
      <c r="D6" s="379" t="s">
        <v>79</v>
      </c>
      <c r="E6" s="379">
        <f>_xlfn.IFNA(VLOOKUP(D6,'G-7 Allocations'!$C$63:$D$106,2,),VLOOKUP(D6,'G-7 Allocations'!$C$10:$D$15,2,))</f>
        <v>41</v>
      </c>
      <c r="F6" s="375">
        <f>SUM(G6:O6)</f>
        <v>18791587.249999989</v>
      </c>
      <c r="G6" s="375">
        <f>+'G-5 Function Rate Base'!$D$17*VLOOKUP($E$6,'G-7 Allocations'!$D$5:$N$106,'G-3 COST OF SERVICE'!G77,FALSE)</f>
        <v>10296197.816223146</v>
      </c>
      <c r="H6" s="375">
        <f>+'G-5 Function Rate Base'!$D$17*VLOOKUP($E$6,'G-7 Allocations'!$D$5:$N$106,'G-3 COST OF SERVICE'!H77,FALSE)</f>
        <v>0</v>
      </c>
      <c r="I6" s="375">
        <f>+'G-5 Function Rate Base'!$D$17*VLOOKUP($E$6,'G-7 Allocations'!$D$5:$N$106,'G-3 COST OF SERVICE'!I77,FALSE)</f>
        <v>0</v>
      </c>
      <c r="J6" s="375">
        <f>+'G-5 Function Rate Base'!$D$17*VLOOKUP($E$6,'G-7 Allocations'!$D$5:$N$106,'G-3 COST OF SERVICE'!J77,FALSE)</f>
        <v>4427206.5937874382</v>
      </c>
      <c r="K6" s="375">
        <f>+'G-5 Function Rate Base'!$D$17*VLOOKUP($E$6,'G-7 Allocations'!$D$5:$N$106,'G-3 COST OF SERVICE'!K77,FALSE)</f>
        <v>0</v>
      </c>
      <c r="L6" s="375">
        <f>+'G-5 Function Rate Base'!$D$17*VLOOKUP($E$6,'G-7 Allocations'!$D$5:$N$106,'G-3 COST OF SERVICE'!L77,FALSE)</f>
        <v>0</v>
      </c>
      <c r="M6" s="375">
        <f>+'G-5 Function Rate Base'!$D$17*VLOOKUP($E$6,'G-7 Allocations'!$D$5:$N$106,'G-3 COST OF SERVICE'!M77,FALSE)</f>
        <v>4068182.8399894065</v>
      </c>
      <c r="N6" s="375">
        <f>+'G-5 Function Rate Base'!$D$17*VLOOKUP($E$6,'G-7 Allocations'!$D$5:$N$106,'G-3 COST OF SERVICE'!N77,FALSE)</f>
        <v>0</v>
      </c>
      <c r="O6" s="375">
        <f>+'G-5 Function Rate Base'!$D$17*VLOOKUP($E$6,'G-7 Allocations'!$D$5:$N$106,'G-3 COST OF SERVICE'!O77,FALSE)</f>
        <v>0</v>
      </c>
      <c r="P6" s="304"/>
      <c r="Q6" s="414">
        <f>F6-'Rate Base'!C16</f>
        <v>0</v>
      </c>
      <c r="R6" s="304"/>
      <c r="S6" s="314">
        <f>SUM(G6,J6,M6)-'G-5 Function Rate Base'!E17</f>
        <v>0</v>
      </c>
      <c r="T6" s="314">
        <f>SUM(H6,K6,N6)-'G-5 Function Rate Base'!F17</f>
        <v>0</v>
      </c>
      <c r="U6" s="314">
        <f>SUM(I6,L6,O6)-'G-5 Function Rate Base'!G17</f>
        <v>0</v>
      </c>
    </row>
    <row r="7" spans="1:21">
      <c r="A7" s="320">
        <f t="shared" si="0"/>
        <v>4</v>
      </c>
      <c r="B7" s="374"/>
      <c r="C7" s="377"/>
      <c r="D7" s="408"/>
      <c r="E7" s="379"/>
      <c r="F7" s="376"/>
      <c r="G7" s="405"/>
      <c r="H7" s="405"/>
      <c r="I7" s="405"/>
      <c r="J7" s="405"/>
      <c r="K7" s="405"/>
      <c r="L7" s="405"/>
      <c r="M7" s="405"/>
      <c r="N7" s="405"/>
      <c r="O7" s="405"/>
      <c r="P7" s="314"/>
      <c r="Q7" s="371"/>
      <c r="R7" s="314"/>
      <c r="S7" s="314"/>
      <c r="T7" s="314"/>
      <c r="U7" s="314"/>
    </row>
    <row r="8" spans="1:21">
      <c r="A8" s="320">
        <f t="shared" si="0"/>
        <v>5</v>
      </c>
      <c r="B8" s="374"/>
      <c r="C8" s="377" t="s">
        <v>80</v>
      </c>
      <c r="D8" s="377"/>
      <c r="E8" s="379"/>
      <c r="F8" s="370"/>
      <c r="G8" s="369"/>
      <c r="H8" s="396"/>
      <c r="I8" s="396"/>
      <c r="J8" s="396"/>
      <c r="K8" s="396"/>
      <c r="L8" s="396"/>
      <c r="M8" s="396"/>
      <c r="N8" s="396"/>
      <c r="O8" s="396"/>
      <c r="P8" s="314"/>
      <c r="Q8" s="371"/>
      <c r="R8" s="314"/>
      <c r="S8" s="314"/>
      <c r="T8" s="314"/>
      <c r="U8" s="314"/>
    </row>
    <row r="9" spans="1:21">
      <c r="A9" s="320">
        <f t="shared" si="0"/>
        <v>6</v>
      </c>
      <c r="B9" s="385">
        <v>374</v>
      </c>
      <c r="C9" s="379" t="s">
        <v>81</v>
      </c>
      <c r="D9" s="379" t="str">
        <f>+'G-7 Allocations'!$C$13</f>
        <v>DISTR</v>
      </c>
      <c r="E9" s="379">
        <f>_xlfn.IFNA(VLOOKUP(D9,'G-7 Allocations'!$C$63:$D$106,2,),VLOOKUP(D9,'G-7 Allocations'!$C$10:$D$15,2,))</f>
        <v>42</v>
      </c>
      <c r="F9" s="375">
        <f t="shared" ref="F9:F20" si="1">SUM(G9:O9)</f>
        <v>448524.97000000009</v>
      </c>
      <c r="G9" s="375">
        <f>+'G-5 Function Rate Base'!$D$20*VLOOKUP($E$9,'G-7 Allocations'!$D$5:$N$106,'G-3 COST OF SERVICE'!G77,FALSE)</f>
        <v>245753.68515693396</v>
      </c>
      <c r="H9" s="375">
        <f>+'G-5 Function Rate Base'!$D$20*VLOOKUP($E$9,'G-7 Allocations'!$D$5:$N$106,'G-3 COST OF SERVICE'!H77,FALSE)</f>
        <v>0</v>
      </c>
      <c r="I9" s="375">
        <f>+'G-5 Function Rate Base'!$D$20*VLOOKUP($E$9,'G-7 Allocations'!$D$5:$N$106,'G-3 COST OF SERVICE'!I77,FALSE)</f>
        <v>0</v>
      </c>
      <c r="J9" s="375">
        <f>+'G-5 Function Rate Base'!$D$20*VLOOKUP($E$9,'G-7 Allocations'!$D$5:$N$106,'G-3 COST OF SERVICE'!J77,FALSE)</f>
        <v>105670.30226051362</v>
      </c>
      <c r="K9" s="375">
        <f>+'G-5 Function Rate Base'!$D$20*VLOOKUP($E$9,'G-7 Allocations'!$D$5:$N$106,'G-3 COST OF SERVICE'!K77,FALSE)</f>
        <v>0</v>
      </c>
      <c r="L9" s="375">
        <f>+'G-5 Function Rate Base'!$D$20*VLOOKUP($E$9,'G-7 Allocations'!$D$5:$N$106,'G-3 COST OF SERVICE'!L77,FALSE)</f>
        <v>0</v>
      </c>
      <c r="M9" s="375">
        <f>+'G-5 Function Rate Base'!$D$20*VLOOKUP($E$9,'G-7 Allocations'!$D$5:$N$106,'G-3 COST OF SERVICE'!M77,FALSE)</f>
        <v>97100.982582552446</v>
      </c>
      <c r="N9" s="375">
        <f>+'G-5 Function Rate Base'!$D$20*VLOOKUP($E$9,'G-7 Allocations'!$D$5:$N$106,'G-3 COST OF SERVICE'!N77,FALSE)</f>
        <v>0</v>
      </c>
      <c r="O9" s="375">
        <f>+'G-5 Function Rate Base'!$D$20*VLOOKUP($E$9,'G-7 Allocations'!$D$5:$N$106,'G-3 COST OF SERVICE'!O77,FALSE)</f>
        <v>0</v>
      </c>
      <c r="P9" s="314"/>
      <c r="Q9" s="371">
        <f>F9-'Rate Base'!C19</f>
        <v>0</v>
      </c>
      <c r="R9" s="314"/>
      <c r="S9" s="314">
        <f>SUM(G9,J9,M9)-'G-5 Function Rate Base'!E20</f>
        <v>0</v>
      </c>
      <c r="T9" s="314">
        <f>SUM(H9,K9,N9)-'G-5 Function Rate Base'!F20</f>
        <v>0</v>
      </c>
      <c r="U9" s="314">
        <f>SUM(I9,L9,O9)-'G-5 Function Rate Base'!G20</f>
        <v>0</v>
      </c>
    </row>
    <row r="10" spans="1:21">
      <c r="A10" s="320">
        <f t="shared" si="0"/>
        <v>7</v>
      </c>
      <c r="B10" s="386">
        <v>375</v>
      </c>
      <c r="C10" s="379" t="s">
        <v>82</v>
      </c>
      <c r="D10" s="379" t="str">
        <f>+'G-7 Allocations'!$C$13</f>
        <v>DISTR</v>
      </c>
      <c r="E10" s="379">
        <f>_xlfn.IFNA(VLOOKUP(D10,'G-7 Allocations'!$C$63:$D$106,2,),VLOOKUP(D10,'G-7 Allocations'!$C$10:$D$15,2,))</f>
        <v>42</v>
      </c>
      <c r="F10" s="405">
        <f t="shared" si="1"/>
        <v>181967.05</v>
      </c>
      <c r="G10" s="405">
        <f>+'G-5 Function Rate Base'!$D$21*VLOOKUP($E$10,'G-7 Allocations'!$D$5:$N$106,'G-3 COST OF SERVICE'!G77,FALSE)</f>
        <v>99702.527408086244</v>
      </c>
      <c r="H10" s="405">
        <f>+'G-5 Function Rate Base'!$D$21*VLOOKUP($E$10,'G-7 Allocations'!$D$5:$N$106,'G-3 COST OF SERVICE'!H77,FALSE)</f>
        <v>0</v>
      </c>
      <c r="I10" s="405">
        <f>+'G-5 Function Rate Base'!$D$21*VLOOKUP($E$10,'G-7 Allocations'!$D$5:$N$106,'G-3 COST OF SERVICE'!I77,FALSE)</f>
        <v>0</v>
      </c>
      <c r="J10" s="405">
        <f>+'G-5 Function Rate Base'!$D$21*VLOOKUP($E$10,'G-7 Allocations'!$D$5:$N$106,'G-3 COST OF SERVICE'!J77,FALSE)</f>
        <v>42870.55227929449</v>
      </c>
      <c r="K10" s="405">
        <f>+'G-5 Function Rate Base'!$D$21*VLOOKUP($E$10,'G-7 Allocations'!$D$5:$N$106,'G-3 COST OF SERVICE'!K77,FALSE)</f>
        <v>0</v>
      </c>
      <c r="L10" s="405">
        <f>+'G-5 Function Rate Base'!$D$21*VLOOKUP($E$10,'G-7 Allocations'!$D$5:$N$106,'G-3 COST OF SERVICE'!L77,FALSE)</f>
        <v>0</v>
      </c>
      <c r="M10" s="405">
        <f>+'G-5 Function Rate Base'!$D$21*VLOOKUP($E$10,'G-7 Allocations'!$D$5:$N$106,'G-3 COST OF SERVICE'!M77,FALSE)</f>
        <v>39393.970312619269</v>
      </c>
      <c r="N10" s="405">
        <f>+'G-5 Function Rate Base'!$D$21*VLOOKUP($E$10,'G-7 Allocations'!$D$5:$N$106,'G-3 COST OF SERVICE'!N77,FALSE)</f>
        <v>0</v>
      </c>
      <c r="O10" s="405">
        <f>+'G-5 Function Rate Base'!$D$21*VLOOKUP($E$10,'G-7 Allocations'!$D$5:$N$106,'G-3 COST OF SERVICE'!O77,FALSE)</f>
        <v>0</v>
      </c>
      <c r="P10" s="314"/>
      <c r="Q10" s="371">
        <f>F10-'Rate Base'!C20</f>
        <v>0</v>
      </c>
      <c r="R10" s="314"/>
      <c r="S10" s="314">
        <f>SUM(G10,J10,M10)-'G-5 Function Rate Base'!E21</f>
        <v>0</v>
      </c>
      <c r="T10" s="314">
        <f>SUM(H10,K10,N10)-'G-5 Function Rate Base'!F21</f>
        <v>0</v>
      </c>
      <c r="U10" s="314">
        <f>SUM(I10,L10,O10)-'G-5 Function Rate Base'!G21</f>
        <v>0</v>
      </c>
    </row>
    <row r="11" spans="1:21">
      <c r="A11" s="320">
        <f t="shared" si="0"/>
        <v>8</v>
      </c>
      <c r="B11" s="385">
        <v>376</v>
      </c>
      <c r="C11" s="379" t="s">
        <v>83</v>
      </c>
      <c r="D11" s="379" t="str">
        <f>+'G-7 Allocations'!$C$14</f>
        <v>DISTMAIN</v>
      </c>
      <c r="E11" s="379">
        <f>_xlfn.IFNA(VLOOKUP(D11,'G-7 Allocations'!$C$63:$D$106,2,),VLOOKUP(D11,'G-7 Allocations'!$C$10:$D$15,2,))</f>
        <v>43</v>
      </c>
      <c r="F11" s="401">
        <f t="shared" si="1"/>
        <v>242676757.67685547</v>
      </c>
      <c r="G11" s="401">
        <f>+'G-5 Function Rate Base'!$D$22*VLOOKUP($E$11,'G-7 Allocations'!$D$5:$N$106,'G-3 COST OF SERVICE'!G77,FALSE)</f>
        <v>64470374.322728358</v>
      </c>
      <c r="H11" s="401">
        <f>+'G-5 Function Rate Base'!$D$22*VLOOKUP($E$11,'G-7 Allocations'!$D$5:$N$106,'G-3 COST OF SERVICE'!H77,FALSE)</f>
        <v>0</v>
      </c>
      <c r="I11" s="401">
        <f>+'G-5 Function Rate Base'!$D$22*VLOOKUP($E$11,'G-7 Allocations'!$D$5:$N$106,'G-3 COST OF SERVICE'!I77,FALSE)</f>
        <v>115216965.11231115</v>
      </c>
      <c r="J11" s="401">
        <f>+'G-5 Function Rate Base'!$D$22*VLOOKUP($E$11,'G-7 Allocations'!$D$5:$N$106,'G-3 COST OF SERVICE'!J77,FALSE)</f>
        <v>27721268.705210879</v>
      </c>
      <c r="K11" s="401">
        <f>+'G-5 Function Rate Base'!$D$22*VLOOKUP($E$11,'G-7 Allocations'!$D$5:$N$106,'G-3 COST OF SERVICE'!K77,FALSE)</f>
        <v>0</v>
      </c>
      <c r="L11" s="401">
        <f>+'G-5 Function Rate Base'!$D$22*VLOOKUP($E$11,'G-7 Allocations'!$D$5:$N$106,'G-3 COST OF SERVICE'!L77,FALSE)</f>
        <v>9737839.9067890197</v>
      </c>
      <c r="M11" s="401">
        <f>+'G-5 Function Rate Base'!$D$22*VLOOKUP($E$11,'G-7 Allocations'!$D$5:$N$106,'G-3 COST OF SERVICE'!M77,FALSE)</f>
        <v>25473215.956880845</v>
      </c>
      <c r="N11" s="401">
        <f>+'G-5 Function Rate Base'!$D$22*VLOOKUP($E$11,'G-7 Allocations'!$D$5:$N$106,'G-3 COST OF SERVICE'!N77,FALSE)</f>
        <v>0</v>
      </c>
      <c r="O11" s="401">
        <f>+'G-5 Function Rate Base'!$D$22*VLOOKUP($E$11,'G-7 Allocations'!$D$5:$N$106,'G-3 COST OF SERVICE'!O77,FALSE)</f>
        <v>57093.672935245937</v>
      </c>
      <c r="P11" s="313"/>
      <c r="Q11" s="398">
        <f>F11-'Rate Base'!C21</f>
        <v>0</v>
      </c>
      <c r="R11" s="313"/>
      <c r="S11" s="313">
        <f>SUM(G11,J11,M11)-'G-5 Function Rate Base'!E22</f>
        <v>0</v>
      </c>
      <c r="T11" s="313">
        <f>SUM(H11,K11,N11)-'G-5 Function Rate Base'!F22</f>
        <v>0</v>
      </c>
      <c r="U11" s="313">
        <f>SUM(I11,L11,O11)-'G-5 Function Rate Base'!G22</f>
        <v>0</v>
      </c>
    </row>
    <row r="12" spans="1:21">
      <c r="A12" s="320">
        <f t="shared" si="0"/>
        <v>9</v>
      </c>
      <c r="B12" s="386">
        <v>378</v>
      </c>
      <c r="C12" s="379" t="s">
        <v>84</v>
      </c>
      <c r="D12" s="379" t="str">
        <f>+'G-7 Allocations'!$C$15</f>
        <v>DISTREG</v>
      </c>
      <c r="E12" s="379">
        <f>_xlfn.IFNA(VLOOKUP(D12,'G-7 Allocations'!$C$63:$D$106,2,),VLOOKUP(D12,'G-7 Allocations'!$C$10:$D$15,2,))</f>
        <v>44</v>
      </c>
      <c r="F12" s="405">
        <f t="shared" si="1"/>
        <v>5189851.2999999989</v>
      </c>
      <c r="G12" s="405">
        <f>+'G-5 Function Rate Base'!$D$23*VLOOKUP($E$12,'G-7 Allocations'!$D$5:$N$106,'G-3 COST OF SERVICE'!G77,FALSE)</f>
        <v>2843598.8355152318</v>
      </c>
      <c r="H12" s="405">
        <f>+'G-5 Function Rate Base'!$D$23*VLOOKUP($E$12,'G-7 Allocations'!$D$5:$N$106,'G-3 COST OF SERVICE'!H77,FALSE)</f>
        <v>0</v>
      </c>
      <c r="I12" s="405">
        <f>+'G-5 Function Rate Base'!$D$23*VLOOKUP($E$12,'G-7 Allocations'!$D$5:$N$106,'G-3 COST OF SERVICE'!I77,FALSE)</f>
        <v>0</v>
      </c>
      <c r="J12" s="405">
        <f>+'G-5 Function Rate Base'!$D$23*VLOOKUP($E$12,'G-7 Allocations'!$D$5:$N$106,'G-3 COST OF SERVICE'!J77,FALSE)</f>
        <v>1222703.7338815706</v>
      </c>
      <c r="K12" s="405">
        <f>+'G-5 Function Rate Base'!$D$23*VLOOKUP($E$12,'G-7 Allocations'!$D$5:$N$106,'G-3 COST OF SERVICE'!K77,FALSE)</f>
        <v>0</v>
      </c>
      <c r="L12" s="405">
        <f>+'G-5 Function Rate Base'!$D$23*VLOOKUP($E$12,'G-7 Allocations'!$D$5:$N$106,'G-3 COST OF SERVICE'!L77,FALSE)</f>
        <v>0</v>
      </c>
      <c r="M12" s="405">
        <f>+'G-5 Function Rate Base'!$D$23*VLOOKUP($E$12,'G-7 Allocations'!$D$5:$N$106,'G-3 COST OF SERVICE'!M77,FALSE)</f>
        <v>1123548.7306031969</v>
      </c>
      <c r="N12" s="405">
        <f>+'G-5 Function Rate Base'!$D$23*VLOOKUP($E$12,'G-7 Allocations'!$D$5:$N$106,'G-3 COST OF SERVICE'!N77,FALSE)</f>
        <v>0</v>
      </c>
      <c r="O12" s="405">
        <f>+'G-5 Function Rate Base'!$D$23*VLOOKUP($E$12,'G-7 Allocations'!$D$5:$N$106,'G-3 COST OF SERVICE'!O77,FALSE)</f>
        <v>0</v>
      </c>
      <c r="P12" s="314"/>
      <c r="Q12" s="371">
        <f>F12-'Rate Base'!C22</f>
        <v>0</v>
      </c>
      <c r="R12" s="314"/>
      <c r="S12" s="314">
        <f>SUM(G12,J12,M12)-'G-5 Function Rate Base'!E23</f>
        <v>0</v>
      </c>
      <c r="T12" s="314">
        <f>SUM(H12,K12,N12)-'G-5 Function Rate Base'!F23</f>
        <v>0</v>
      </c>
      <c r="U12" s="314">
        <f>SUM(I12,L12,O12)-'G-5 Function Rate Base'!G23</f>
        <v>0</v>
      </c>
    </row>
    <row r="13" spans="1:21">
      <c r="A13" s="320">
        <f t="shared" si="0"/>
        <v>10</v>
      </c>
      <c r="B13" s="386">
        <v>379</v>
      </c>
      <c r="C13" s="379" t="s">
        <v>85</v>
      </c>
      <c r="D13" s="379" t="str">
        <f>+'G-7 Allocations'!$C$15</f>
        <v>DISTREG</v>
      </c>
      <c r="E13" s="379">
        <f>_xlfn.IFNA(VLOOKUP(D13,'G-7 Allocations'!$C$63:$D$106,2,),VLOOKUP(D13,'G-7 Allocations'!$C$10:$D$15,2,))</f>
        <v>44</v>
      </c>
      <c r="F13" s="405">
        <f t="shared" si="1"/>
        <v>4484164.9085957985</v>
      </c>
      <c r="G13" s="405">
        <f>+'G-5 Function Rate Base'!$D$24*VLOOKUP($E$13,'G-7 Allocations'!$D$5:$N$106,'G-3 COST OF SERVICE'!G77,FALSE)</f>
        <v>2456942.4777818355</v>
      </c>
      <c r="H13" s="405">
        <f>+'G-5 Function Rate Base'!$D$24*VLOOKUP($E$13,'G-7 Allocations'!$D$5:$N$106,'G-3 COST OF SERVICE'!H77,FALSE)</f>
        <v>0</v>
      </c>
      <c r="I13" s="405">
        <f>+'G-5 Function Rate Base'!$D$24*VLOOKUP($E$13,'G-7 Allocations'!$D$5:$N$106,'G-3 COST OF SERVICE'!I77,FALSE)</f>
        <v>0</v>
      </c>
      <c r="J13" s="405">
        <f>+'G-5 Function Rate Base'!$D$24*VLOOKUP($E$13,'G-7 Allocations'!$D$5:$N$106,'G-3 COST OF SERVICE'!J77,FALSE)</f>
        <v>1056447.4510244245</v>
      </c>
      <c r="K13" s="405">
        <f>+'G-5 Function Rate Base'!$D$24*VLOOKUP($E$13,'G-7 Allocations'!$D$5:$N$106,'G-3 COST OF SERVICE'!K77,FALSE)</f>
        <v>0</v>
      </c>
      <c r="L13" s="405">
        <f>+'G-5 Function Rate Base'!$D$24*VLOOKUP($E$13,'G-7 Allocations'!$D$5:$N$106,'G-3 COST OF SERVICE'!L77,FALSE)</f>
        <v>0</v>
      </c>
      <c r="M13" s="405">
        <f>+'G-5 Function Rate Base'!$D$24*VLOOKUP($E$13,'G-7 Allocations'!$D$5:$N$106,'G-3 COST OF SERVICE'!M77,FALSE)</f>
        <v>970774.97978953877</v>
      </c>
      <c r="N13" s="405">
        <f>+'G-5 Function Rate Base'!$D$24*VLOOKUP($E$13,'G-7 Allocations'!$D$5:$N$106,'G-3 COST OF SERVICE'!N77,FALSE)</f>
        <v>0</v>
      </c>
      <c r="O13" s="405">
        <f>+'G-5 Function Rate Base'!$D$24*VLOOKUP($E$13,'G-7 Allocations'!$D$5:$N$106,'G-3 COST OF SERVICE'!O77,FALSE)</f>
        <v>0</v>
      </c>
      <c r="P13" s="314"/>
      <c r="Q13" s="371">
        <f>F13-'Rate Base'!C23</f>
        <v>0</v>
      </c>
      <c r="R13" s="314"/>
      <c r="S13" s="314">
        <f>SUM(G13,J13,M13)-'G-5 Function Rate Base'!E24</f>
        <v>0</v>
      </c>
      <c r="T13" s="314">
        <f>SUM(H13,K13,N13)-'G-5 Function Rate Base'!F24</f>
        <v>0</v>
      </c>
      <c r="U13" s="314">
        <f>SUM(I13,L13,O13)-'G-5 Function Rate Base'!G24</f>
        <v>0</v>
      </c>
    </row>
    <row r="14" spans="1:21">
      <c r="A14" s="320">
        <f t="shared" si="0"/>
        <v>11</v>
      </c>
      <c r="B14" s="386">
        <v>380</v>
      </c>
      <c r="C14" s="379" t="s">
        <v>86</v>
      </c>
      <c r="D14" s="306" t="s">
        <v>87</v>
      </c>
      <c r="E14" s="379">
        <f>_xlfn.IFNA(VLOOKUP(D14,'G-7 Allocations'!$C$63:$D$106,2,),VLOOKUP(D14,'G-7 Allocations'!$C$10:$D$15,2,))</f>
        <v>4</v>
      </c>
      <c r="F14" s="413">
        <f t="shared" si="1"/>
        <v>179843564.31</v>
      </c>
      <c r="G14" s="413">
        <f>+'G-5 Function Rate Base'!$D$25*VLOOKUP($E$14,'G-7 Allocations'!$D$5:$N$106,'G-3 COST OF SERVICE'!G77,FALSE)</f>
        <v>0</v>
      </c>
      <c r="H14" s="413">
        <f>+'G-5 Function Rate Base'!$D$25*VLOOKUP($E$14,'G-7 Allocations'!$D$5:$N$106,'G-3 COST OF SERVICE'!H77,FALSE)</f>
        <v>0</v>
      </c>
      <c r="I14" s="413">
        <f>+'G-5 Function Rate Base'!$D$25*VLOOKUP($E$14,'G-7 Allocations'!$D$5:$N$106,'G-3 COST OF SERVICE'!I77,FALSE)</f>
        <v>165712362.49868086</v>
      </c>
      <c r="J14" s="413">
        <f>+'G-5 Function Rate Base'!$D$25*VLOOKUP($E$14,'G-7 Allocations'!$D$5:$N$106,'G-3 COST OF SERVICE'!J77,FALSE)</f>
        <v>0</v>
      </c>
      <c r="K14" s="413">
        <f>+'G-5 Function Rate Base'!$D$25*VLOOKUP($E$14,'G-7 Allocations'!$D$5:$N$106,'G-3 COST OF SERVICE'!K77,FALSE)</f>
        <v>0</v>
      </c>
      <c r="L14" s="413">
        <f>+'G-5 Function Rate Base'!$D$25*VLOOKUP($E$14,'G-7 Allocations'!$D$5:$N$106,'G-3 COST OF SERVICE'!L77,FALSE)</f>
        <v>13971052.679547733</v>
      </c>
      <c r="M14" s="413">
        <f>+'G-5 Function Rate Base'!$D$25*VLOOKUP($E$14,'G-7 Allocations'!$D$5:$N$106,'G-3 COST OF SERVICE'!M77,FALSE)</f>
        <v>0</v>
      </c>
      <c r="N14" s="413">
        <f>+'G-5 Function Rate Base'!$D$25*VLOOKUP($E$14,'G-7 Allocations'!$D$5:$N$106,'G-3 COST OF SERVICE'!N77,FALSE)</f>
        <v>0</v>
      </c>
      <c r="O14" s="413">
        <f>+'G-5 Function Rate Base'!$D$25*VLOOKUP($E$14,'G-7 Allocations'!$D$5:$N$106,'G-3 COST OF SERVICE'!O77,FALSE)</f>
        <v>160149.13177142557</v>
      </c>
      <c r="P14" s="410"/>
      <c r="Q14" s="371">
        <f>F14-'Rate Base'!C24</f>
        <v>0</v>
      </c>
      <c r="R14" s="410"/>
      <c r="S14" s="314">
        <f>SUM(G14,J14,M14)-'G-5 Function Rate Base'!E25</f>
        <v>0</v>
      </c>
      <c r="T14" s="314">
        <f>SUM(H14,K14,N14)-'G-5 Function Rate Base'!F25</f>
        <v>0</v>
      </c>
      <c r="U14" s="314">
        <f>SUM(I14,L14,O14)-'G-5 Function Rate Base'!G25</f>
        <v>0</v>
      </c>
    </row>
    <row r="15" spans="1:21">
      <c r="A15" s="320">
        <f t="shared" si="0"/>
        <v>12</v>
      </c>
      <c r="B15" s="386">
        <v>381</v>
      </c>
      <c r="C15" s="379" t="s">
        <v>88</v>
      </c>
      <c r="D15" s="306" t="s">
        <v>89</v>
      </c>
      <c r="E15" s="379">
        <f>_xlfn.IFNA(VLOOKUP(D15,'G-7 Allocations'!$C$63:$D$106,2,),VLOOKUP(D15,'G-7 Allocations'!$C$10:$D$15,2,))</f>
        <v>5</v>
      </c>
      <c r="F15" s="413">
        <f t="shared" si="1"/>
        <v>42960829.150000006</v>
      </c>
      <c r="G15" s="413">
        <f>+'G-5 Function Rate Base'!$D$26*VLOOKUP($E$15,'G-7 Allocations'!$D$5:$N$106,'G-3 COST OF SERVICE'!G77,FALSE)</f>
        <v>0</v>
      </c>
      <c r="H15" s="413">
        <f>+'G-5 Function Rate Base'!$D$26*VLOOKUP($E$15,'G-7 Allocations'!$D$5:$N$106,'G-3 COST OF SERVICE'!H77,FALSE)</f>
        <v>0</v>
      </c>
      <c r="I15" s="413">
        <f>+'G-5 Function Rate Base'!$D$26*VLOOKUP($E$15,'G-7 Allocations'!$D$5:$N$106,'G-3 COST OF SERVICE'!I77,FALSE)</f>
        <v>33931664.564968191</v>
      </c>
      <c r="J15" s="413">
        <f>+'G-5 Function Rate Base'!$D$26*VLOOKUP($E$15,'G-7 Allocations'!$D$5:$N$106,'G-3 COST OF SERVICE'!J77,FALSE)</f>
        <v>0</v>
      </c>
      <c r="K15" s="413">
        <f>+'G-5 Function Rate Base'!$D$26*VLOOKUP($E$15,'G-7 Allocations'!$D$5:$N$106,'G-3 COST OF SERVICE'!K77,FALSE)</f>
        <v>0</v>
      </c>
      <c r="L15" s="413">
        <f>+'G-5 Function Rate Base'!$D$26*VLOOKUP($E$15,'G-7 Allocations'!$D$5:$N$106,'G-3 COST OF SERVICE'!L77,FALSE)</f>
        <v>8712718.2407545652</v>
      </c>
      <c r="M15" s="413">
        <f>+'G-5 Function Rate Base'!$D$26*VLOOKUP($E$15,'G-7 Allocations'!$D$5:$N$106,'G-3 COST OF SERVICE'!M77,FALSE)</f>
        <v>0</v>
      </c>
      <c r="N15" s="413">
        <f>+'G-5 Function Rate Base'!$D$26*VLOOKUP($E$15,'G-7 Allocations'!$D$5:$N$106,'G-3 COST OF SERVICE'!N77,FALSE)</f>
        <v>0</v>
      </c>
      <c r="O15" s="413">
        <f>+'G-5 Function Rate Base'!$D$26*VLOOKUP($E$15,'G-7 Allocations'!$D$5:$N$106,'G-3 COST OF SERVICE'!O77,FALSE)</f>
        <v>316446.34427725076</v>
      </c>
      <c r="P15" s="410"/>
      <c r="Q15" s="371">
        <f>F15-'Rate Base'!C25</f>
        <v>0</v>
      </c>
      <c r="R15" s="410"/>
      <c r="S15" s="314">
        <f>SUM(G15,J15,M15)-'G-5 Function Rate Base'!E26</f>
        <v>0</v>
      </c>
      <c r="T15" s="314">
        <f>SUM(H15,K15,N15)-'G-5 Function Rate Base'!F26</f>
        <v>0</v>
      </c>
      <c r="U15" s="314">
        <f>SUM(I15,L15,O15)-'G-5 Function Rate Base'!G26</f>
        <v>0</v>
      </c>
    </row>
    <row r="16" spans="1:21">
      <c r="A16" s="320">
        <f t="shared" si="0"/>
        <v>13</v>
      </c>
      <c r="B16" s="386">
        <v>382</v>
      </c>
      <c r="C16" s="379" t="s">
        <v>90</v>
      </c>
      <c r="D16" s="306" t="s">
        <v>91</v>
      </c>
      <c r="E16" s="379">
        <f>_xlfn.IFNA(VLOOKUP(D16,'G-7 Allocations'!$C$63:$D$106,2,),VLOOKUP(D16,'G-7 Allocations'!$C$10:$D$15,2,))</f>
        <v>6</v>
      </c>
      <c r="F16" s="413">
        <f t="shared" si="1"/>
        <v>15735999.509999998</v>
      </c>
      <c r="G16" s="413">
        <f>+'G-5 Function Rate Base'!$D$27*VLOOKUP($E$16,'G-7 Allocations'!$D$5:$N$106,'G-3 COST OF SERVICE'!G77,FALSE)</f>
        <v>0</v>
      </c>
      <c r="H16" s="413">
        <f>+'G-5 Function Rate Base'!$D$27*VLOOKUP($E$16,'G-7 Allocations'!$D$5:$N$106,'G-3 COST OF SERVICE'!H77,FALSE)</f>
        <v>0</v>
      </c>
      <c r="I16" s="413">
        <f>+'G-5 Function Rate Base'!$D$27*VLOOKUP($E$16,'G-7 Allocations'!$D$5:$N$106,'G-3 COST OF SERVICE'!I77,FALSE)</f>
        <v>14503052.313583698</v>
      </c>
      <c r="J16" s="413">
        <f>+'G-5 Function Rate Base'!$D$27*VLOOKUP($E$16,'G-7 Allocations'!$D$5:$N$106,'G-3 COST OF SERVICE'!J77,FALSE)</f>
        <v>0</v>
      </c>
      <c r="K16" s="413">
        <f>+'G-5 Function Rate Base'!$D$27*VLOOKUP($E$16,'G-7 Allocations'!$D$5:$N$106,'G-3 COST OF SERVICE'!K77,FALSE)</f>
        <v>0</v>
      </c>
      <c r="L16" s="413">
        <f>+'G-5 Function Rate Base'!$D$27*VLOOKUP($E$16,'G-7 Allocations'!$D$5:$N$106,'G-3 COST OF SERVICE'!L77,FALSE)</f>
        <v>1225760.4724425576</v>
      </c>
      <c r="M16" s="413">
        <f>+'G-5 Function Rate Base'!$D$27*VLOOKUP($E$16,'G-7 Allocations'!$D$5:$N$106,'G-3 COST OF SERVICE'!M77,FALSE)</f>
        <v>0</v>
      </c>
      <c r="N16" s="413">
        <f>+'G-5 Function Rate Base'!$D$27*VLOOKUP($E$16,'G-7 Allocations'!$D$5:$N$106,'G-3 COST OF SERVICE'!N77,FALSE)</f>
        <v>0</v>
      </c>
      <c r="O16" s="413">
        <f>+'G-5 Function Rate Base'!$D$27*VLOOKUP($E$16,'G-7 Allocations'!$D$5:$N$106,'G-3 COST OF SERVICE'!O77,FALSE)</f>
        <v>7186.7239737425843</v>
      </c>
      <c r="P16" s="410"/>
      <c r="Q16" s="371">
        <f>F16-'Rate Base'!C26</f>
        <v>0</v>
      </c>
      <c r="R16" s="410"/>
      <c r="S16" s="314">
        <f>SUM(G16,J16,M16)-'G-5 Function Rate Base'!E27</f>
        <v>0</v>
      </c>
      <c r="T16" s="314">
        <f>SUM(H16,K16,N16)-'G-5 Function Rate Base'!F27</f>
        <v>0</v>
      </c>
      <c r="U16" s="314">
        <f>SUM(I16,L16,O16)-'G-5 Function Rate Base'!G27</f>
        <v>0</v>
      </c>
    </row>
    <row r="17" spans="1:21">
      <c r="A17" s="320">
        <f t="shared" si="0"/>
        <v>14</v>
      </c>
      <c r="B17" s="386">
        <v>383</v>
      </c>
      <c r="C17" s="379" t="s">
        <v>92</v>
      </c>
      <c r="D17" s="306" t="s">
        <v>93</v>
      </c>
      <c r="E17" s="379">
        <f>_xlfn.IFNA(VLOOKUP(D17,'G-7 Allocations'!$C$63:$D$106,2,),VLOOKUP(D17,'G-7 Allocations'!$C$10:$D$15,2,))</f>
        <v>7</v>
      </c>
      <c r="F17" s="413">
        <f t="shared" si="1"/>
        <v>5257376.1300000008</v>
      </c>
      <c r="G17" s="413">
        <f>+'G-5 Function Rate Base'!$D$28*VLOOKUP($E$17,'G-7 Allocations'!$D$5:$N$106,'G-3 COST OF SERVICE'!G77,FALSE)</f>
        <v>0</v>
      </c>
      <c r="H17" s="413">
        <f>+'G-5 Function Rate Base'!$D$28*VLOOKUP($E$17,'G-7 Allocations'!$D$5:$N$106,'G-3 COST OF SERVICE'!H77,FALSE)</f>
        <v>0</v>
      </c>
      <c r="I17" s="413">
        <f>+'G-5 Function Rate Base'!$D$28*VLOOKUP($E$17,'G-7 Allocations'!$D$5:$N$106,'G-3 COST OF SERVICE'!I77,FALSE)</f>
        <v>4525526.7873718003</v>
      </c>
      <c r="J17" s="413">
        <f>+'G-5 Function Rate Base'!$D$28*VLOOKUP($E$17,'G-7 Allocations'!$D$5:$N$106,'G-3 COST OF SERVICE'!J77,FALSE)</f>
        <v>0</v>
      </c>
      <c r="K17" s="413">
        <f>+'G-5 Function Rate Base'!$D$28*VLOOKUP($E$17,'G-7 Allocations'!$D$5:$N$106,'G-3 COST OF SERVICE'!K77,FALSE)</f>
        <v>0</v>
      </c>
      <c r="L17" s="413">
        <f>+'G-5 Function Rate Base'!$D$28*VLOOKUP($E$17,'G-7 Allocations'!$D$5:$N$106,'G-3 COST OF SERVICE'!L77,FALSE)</f>
        <v>698672.36567699153</v>
      </c>
      <c r="M17" s="413">
        <f>+'G-5 Function Rate Base'!$D$28*VLOOKUP($E$17,'G-7 Allocations'!$D$5:$N$106,'G-3 COST OF SERVICE'!M77,FALSE)</f>
        <v>0</v>
      </c>
      <c r="N17" s="413">
        <f>+'G-5 Function Rate Base'!$D$28*VLOOKUP($E$17,'G-7 Allocations'!$D$5:$N$106,'G-3 COST OF SERVICE'!N77,FALSE)</f>
        <v>0</v>
      </c>
      <c r="O17" s="413">
        <f>+'G-5 Function Rate Base'!$D$28*VLOOKUP($E$17,'G-7 Allocations'!$D$5:$N$106,'G-3 COST OF SERVICE'!O77,FALSE)</f>
        <v>33176.97695120881</v>
      </c>
      <c r="P17" s="410"/>
      <c r="Q17" s="371">
        <f>F17-'Rate Base'!C27</f>
        <v>0</v>
      </c>
      <c r="R17" s="410"/>
      <c r="S17" s="314">
        <f>SUM(G17,J17,M17)-'G-5 Function Rate Base'!E28</f>
        <v>0</v>
      </c>
      <c r="T17" s="314">
        <f>SUM(H17,K17,N17)-'G-5 Function Rate Base'!F28</f>
        <v>0</v>
      </c>
      <c r="U17" s="314">
        <f>SUM(I17,L17,O17)-'G-5 Function Rate Base'!G28</f>
        <v>0</v>
      </c>
    </row>
    <row r="18" spans="1:21">
      <c r="A18" s="320">
        <f t="shared" si="0"/>
        <v>15</v>
      </c>
      <c r="B18" s="386">
        <v>384</v>
      </c>
      <c r="C18" s="379" t="s">
        <v>94</v>
      </c>
      <c r="D18" s="306" t="s">
        <v>95</v>
      </c>
      <c r="E18" s="379">
        <f>_xlfn.IFNA(VLOOKUP(D18,'G-7 Allocations'!$C$63:$D$106,2,),VLOOKUP(D18,'G-7 Allocations'!$C$10:$D$15,2,))</f>
        <v>8</v>
      </c>
      <c r="F18" s="413">
        <f t="shared" si="1"/>
        <v>4523983.3899999997</v>
      </c>
      <c r="G18" s="413">
        <f>+'G-5 Function Rate Base'!$D$29*VLOOKUP($E$18,'G-7 Allocations'!$D$5:$N$106,'G-3 COST OF SERVICE'!G77,FALSE)</f>
        <v>0</v>
      </c>
      <c r="H18" s="413">
        <f>+'G-5 Function Rate Base'!$D$29*VLOOKUP($E$18,'G-7 Allocations'!$D$5:$N$106,'G-3 COST OF SERVICE'!H77,FALSE)</f>
        <v>0</v>
      </c>
      <c r="I18" s="413">
        <f>+'G-5 Function Rate Base'!$D$29*VLOOKUP($E$18,'G-7 Allocations'!$D$5:$N$106,'G-3 COST OF SERVICE'!I77,FALSE)</f>
        <v>4169520.1966204005</v>
      </c>
      <c r="J18" s="413">
        <f>+'G-5 Function Rate Base'!$D$29*VLOOKUP($E$18,'G-7 Allocations'!$D$5:$N$106,'G-3 COST OF SERVICE'!J77,FALSE)</f>
        <v>0</v>
      </c>
      <c r="K18" s="413">
        <f>+'G-5 Function Rate Base'!$D$29*VLOOKUP($E$18,'G-7 Allocations'!$D$5:$N$106,'G-3 COST OF SERVICE'!K77,FALSE)</f>
        <v>0</v>
      </c>
      <c r="L18" s="413">
        <f>+'G-5 Function Rate Base'!$D$29*VLOOKUP($E$18,'G-7 Allocations'!$D$5:$N$106,'G-3 COST OF SERVICE'!L77,FALSE)</f>
        <v>352397.06342928595</v>
      </c>
      <c r="M18" s="413">
        <f>+'G-5 Function Rate Base'!$D$29*VLOOKUP($E$18,'G-7 Allocations'!$D$5:$N$106,'G-3 COST OF SERVICE'!M77,FALSE)</f>
        <v>0</v>
      </c>
      <c r="N18" s="413">
        <f>+'G-5 Function Rate Base'!$D$29*VLOOKUP($E$18,'G-7 Allocations'!$D$5:$N$106,'G-3 COST OF SERVICE'!N77,FALSE)</f>
        <v>0</v>
      </c>
      <c r="O18" s="413">
        <f>+'G-5 Function Rate Base'!$D$29*VLOOKUP($E$18,'G-7 Allocations'!$D$5:$N$106,'G-3 COST OF SERVICE'!O77,FALSE)</f>
        <v>2066.1299503132896</v>
      </c>
      <c r="P18" s="410"/>
      <c r="Q18" s="371">
        <f>F18-'Rate Base'!C28</f>
        <v>0</v>
      </c>
      <c r="R18" s="410"/>
      <c r="S18" s="314">
        <f>SUM(G18,J18,M18)-'G-5 Function Rate Base'!E29</f>
        <v>0</v>
      </c>
      <c r="T18" s="314">
        <f>SUM(H18,K18,N18)-'G-5 Function Rate Base'!F29</f>
        <v>0</v>
      </c>
      <c r="U18" s="314">
        <f>SUM(I18,L18,O18)-'G-5 Function Rate Base'!G29</f>
        <v>0</v>
      </c>
    </row>
    <row r="19" spans="1:21">
      <c r="A19" s="320">
        <f t="shared" si="0"/>
        <v>16</v>
      </c>
      <c r="B19" s="386">
        <v>385</v>
      </c>
      <c r="C19" s="379" t="s">
        <v>96</v>
      </c>
      <c r="D19" s="306" t="s">
        <v>97</v>
      </c>
      <c r="E19" s="379">
        <f>_xlfn.IFNA(VLOOKUP(D19,'G-7 Allocations'!$C$63:$D$106,2,),VLOOKUP(D19,'G-7 Allocations'!$C$10:$D$15,2,))</f>
        <v>9</v>
      </c>
      <c r="F19" s="413">
        <f t="shared" si="1"/>
        <v>2736981.55</v>
      </c>
      <c r="G19" s="413">
        <f>+'G-5 Function Rate Base'!$D$30*VLOOKUP($E$19,'G-7 Allocations'!$D$5:$N$106,'G-3 COST OF SERVICE'!G77,FALSE)</f>
        <v>0</v>
      </c>
      <c r="H19" s="413">
        <f>+'G-5 Function Rate Base'!$D$30*VLOOKUP($E$19,'G-7 Allocations'!$D$5:$N$106,'G-3 COST OF SERVICE'!H77,FALSE)</f>
        <v>0</v>
      </c>
      <c r="I19" s="413">
        <f>+'G-5 Function Rate Base'!$D$30*VLOOKUP($E$19,'G-7 Allocations'!$D$5:$N$106,'G-3 COST OF SERVICE'!I77,FALSE)</f>
        <v>0</v>
      </c>
      <c r="J19" s="413">
        <f>+'G-5 Function Rate Base'!$D$30*VLOOKUP($E$19,'G-7 Allocations'!$D$5:$N$106,'G-3 COST OF SERVICE'!J77,FALSE)</f>
        <v>0</v>
      </c>
      <c r="K19" s="413">
        <f>+'G-5 Function Rate Base'!$D$30*VLOOKUP($E$19,'G-7 Allocations'!$D$5:$N$106,'G-3 COST OF SERVICE'!K77,FALSE)</f>
        <v>0</v>
      </c>
      <c r="L19" s="413">
        <f>+'G-5 Function Rate Base'!$D$30*VLOOKUP($E$19,'G-7 Allocations'!$D$5:$N$106,'G-3 COST OF SERVICE'!L77,FALSE)</f>
        <v>0</v>
      </c>
      <c r="M19" s="413">
        <f>+'G-5 Function Rate Base'!$D$30*VLOOKUP($E$19,'G-7 Allocations'!$D$5:$N$106,'G-3 COST OF SERVICE'!M77,FALSE)</f>
        <v>0</v>
      </c>
      <c r="N19" s="413">
        <f>+'G-5 Function Rate Base'!$D$30*VLOOKUP($E$19,'G-7 Allocations'!$D$5:$N$106,'G-3 COST OF SERVICE'!N77,FALSE)</f>
        <v>0</v>
      </c>
      <c r="O19" s="413">
        <f>+'G-5 Function Rate Base'!$D$30*VLOOKUP($E$19,'G-7 Allocations'!$D$5:$N$106,'G-3 COST OF SERVICE'!O77,FALSE)</f>
        <v>2736981.55</v>
      </c>
      <c r="P19" s="410"/>
      <c r="Q19" s="371">
        <f>F19-'Rate Base'!C29</f>
        <v>0</v>
      </c>
      <c r="R19" s="410"/>
      <c r="S19" s="314">
        <f>SUM(G19,J19,M19)-'G-5 Function Rate Base'!E30</f>
        <v>0</v>
      </c>
      <c r="T19" s="314">
        <f>SUM(H19,K19,N19)-'G-5 Function Rate Base'!F30</f>
        <v>0</v>
      </c>
      <c r="U19" s="314">
        <f>SUM(I19,L19,O19)-'G-5 Function Rate Base'!G30</f>
        <v>0</v>
      </c>
    </row>
    <row r="20" spans="1:21">
      <c r="A20" s="320">
        <f t="shared" si="0"/>
        <v>17</v>
      </c>
      <c r="B20" s="386">
        <v>387</v>
      </c>
      <c r="C20" s="379" t="s">
        <v>98</v>
      </c>
      <c r="D20" s="304" t="s">
        <v>99</v>
      </c>
      <c r="E20" s="379">
        <f>_xlfn.IFNA(VLOOKUP(D20,'G-7 Allocations'!$C$63:$D$106,2,),VLOOKUP(D20,'G-7 Allocations'!$C$10:$D$15,2,))</f>
        <v>42</v>
      </c>
      <c r="F20" s="412">
        <f t="shared" si="1"/>
        <v>2047314.92</v>
      </c>
      <c r="G20" s="412">
        <f>+'G-5 Function Rate Base'!$D$31*VLOOKUP($E$20,'G-7 Allocations'!$D$5:$N$106,'G-3 COST OF SERVICE'!G77,FALSE)</f>
        <v>1121755.1305265643</v>
      </c>
      <c r="H20" s="412">
        <f>+'G-5 Function Rate Base'!$D$31*VLOOKUP($E$20,'G-7 Allocations'!$D$5:$N$106,'G-3 COST OF SERVICE'!H77,FALSE)</f>
        <v>0</v>
      </c>
      <c r="I20" s="412">
        <f>+'G-5 Function Rate Base'!$D$31*VLOOKUP($E$20,'G-7 Allocations'!$D$5:$N$106,'G-3 COST OF SERVICE'!I77,FALSE)</f>
        <v>0</v>
      </c>
      <c r="J20" s="412">
        <f>+'G-5 Function Rate Base'!$D$31*VLOOKUP($E$20,'G-7 Allocations'!$D$5:$N$106,'G-3 COST OF SERVICE'!J77,FALSE)</f>
        <v>482337.44136666285</v>
      </c>
      <c r="K20" s="412">
        <f>+'G-5 Function Rate Base'!$D$31*VLOOKUP($E$20,'G-7 Allocations'!$D$5:$N$106,'G-3 COST OF SERVICE'!K77,FALSE)</f>
        <v>0</v>
      </c>
      <c r="L20" s="412">
        <f>+'G-5 Function Rate Base'!$D$31*VLOOKUP($E$20,'G-7 Allocations'!$D$5:$N$106,'G-3 COST OF SERVICE'!L77,FALSE)</f>
        <v>0</v>
      </c>
      <c r="M20" s="412">
        <f>+'G-5 Function Rate Base'!$D$31*VLOOKUP($E$20,'G-7 Allocations'!$D$5:$N$106,'G-3 COST OF SERVICE'!M77,FALSE)</f>
        <v>443222.34810677252</v>
      </c>
      <c r="N20" s="412">
        <f>+'G-5 Function Rate Base'!$D$31*VLOOKUP($E$20,'G-7 Allocations'!$D$5:$N$106,'G-3 COST OF SERVICE'!N77,FALSE)</f>
        <v>0</v>
      </c>
      <c r="O20" s="412">
        <f>+'G-5 Function Rate Base'!$D$31*VLOOKUP($E$20,'G-7 Allocations'!$D$5:$N$106,'G-3 COST OF SERVICE'!O77,FALSE)</f>
        <v>0</v>
      </c>
      <c r="P20" s="410"/>
      <c r="Q20" s="371">
        <f>F20-'Rate Base'!C30</f>
        <v>0</v>
      </c>
      <c r="R20" s="410"/>
      <c r="S20" s="314">
        <f>SUM(G20,J20,M20)-'G-5 Function Rate Base'!E31</f>
        <v>0</v>
      </c>
      <c r="T20" s="314">
        <f>SUM(H20,K20,N20)-'G-5 Function Rate Base'!F31</f>
        <v>0</v>
      </c>
      <c r="U20" s="314">
        <f>SUM(I20,L20,O20)-'G-5 Function Rate Base'!G31</f>
        <v>0</v>
      </c>
    </row>
    <row r="21" spans="1:21">
      <c r="A21" s="320">
        <f t="shared" si="0"/>
        <v>18</v>
      </c>
      <c r="B21" s="374"/>
      <c r="C21" s="377" t="s">
        <v>100</v>
      </c>
      <c r="D21" s="377"/>
      <c r="E21" s="379"/>
      <c r="F21" s="375">
        <f>SUM(F9:F20)</f>
        <v>506087314.86545134</v>
      </c>
      <c r="G21" s="375">
        <f>SUM(G9:G20)</f>
        <v>71238126.979117006</v>
      </c>
      <c r="H21" s="375"/>
      <c r="I21" s="375">
        <f>SUM(I9:I20)</f>
        <v>338059091.47353607</v>
      </c>
      <c r="J21" s="375">
        <f>SUM(J9:J20)</f>
        <v>30631298.186023343</v>
      </c>
      <c r="K21" s="375"/>
      <c r="L21" s="375">
        <f>SUM(L9:L20)</f>
        <v>34698440.728640161</v>
      </c>
      <c r="M21" s="375">
        <f>SUM(M9:M20)</f>
        <v>28147256.968275525</v>
      </c>
      <c r="N21" s="375"/>
      <c r="O21" s="375">
        <f>SUM(O9:O20)</f>
        <v>3313100.5298591866</v>
      </c>
      <c r="P21" s="410"/>
      <c r="Q21" s="371">
        <f>F21-'Rate Base'!C31</f>
        <v>0</v>
      </c>
      <c r="R21" s="410"/>
      <c r="S21" s="314">
        <f>SUM(G21,J21,M21)-'G-5 Function Rate Base'!E32</f>
        <v>0</v>
      </c>
      <c r="T21" s="314">
        <f>SUM(H21,K21,N21)-'G-5 Function Rate Base'!F32</f>
        <v>0</v>
      </c>
      <c r="U21" s="314">
        <f>SUM(I21,L21,O21)-'G-5 Function Rate Base'!G32</f>
        <v>0</v>
      </c>
    </row>
    <row r="22" spans="1:21">
      <c r="A22" s="320">
        <f t="shared" si="0"/>
        <v>19</v>
      </c>
      <c r="B22" s="374"/>
      <c r="C22" s="377"/>
      <c r="D22" s="408"/>
      <c r="E22" s="379"/>
      <c r="F22" s="370"/>
      <c r="G22" s="396"/>
      <c r="H22" s="396"/>
      <c r="I22" s="396"/>
      <c r="J22" s="396"/>
      <c r="K22" s="396"/>
      <c r="L22" s="396"/>
      <c r="M22" s="396"/>
      <c r="N22" s="396"/>
      <c r="O22" s="396"/>
      <c r="P22" s="410"/>
      <c r="Q22" s="411"/>
      <c r="R22" s="410"/>
      <c r="S22" s="314"/>
      <c r="T22" s="314"/>
      <c r="U22" s="314"/>
    </row>
    <row r="23" spans="1:21">
      <c r="A23" s="320">
        <f t="shared" si="0"/>
        <v>20</v>
      </c>
      <c r="B23" s="374" t="s">
        <v>101</v>
      </c>
      <c r="C23" s="407" t="s">
        <v>102</v>
      </c>
      <c r="D23" s="304" t="s">
        <v>76</v>
      </c>
      <c r="E23" s="379">
        <f>_xlfn.IFNA(VLOOKUP(D23,'G-7 Allocations'!$C$63:$D$106,2,),VLOOKUP(D23,'G-7 Allocations'!$C$10:$D$15,2,))</f>
        <v>19</v>
      </c>
      <c r="F23" s="375">
        <f>SUM(G23:O23)</f>
        <v>65877287.06000001</v>
      </c>
      <c r="G23" s="375">
        <f>+'G-5 Function Rate Base'!$D$47*VLOOKUP($E$23,'G-7 Allocations'!$D$5:$N$106,'G-3 COST OF SERVICE'!G77,FALSE)</f>
        <v>10233332.104105888</v>
      </c>
      <c r="H23" s="375">
        <f>+'G-5 Function Rate Base'!$D$47*VLOOKUP($E$23,'G-7 Allocations'!$D$5:$N$106,'G-3 COST OF SERVICE'!H77,FALSE)</f>
        <v>0</v>
      </c>
      <c r="I23" s="375">
        <f>+'G-5 Function Rate Base'!$D$47*VLOOKUP($E$23,'G-7 Allocations'!$D$5:$N$106,'G-3 COST OF SERVICE'!I77,FALSE)</f>
        <v>42429626.571933314</v>
      </c>
      <c r="J23" s="375">
        <f>+'G-5 Function Rate Base'!$D$47*VLOOKUP($E$23,'G-7 Allocations'!$D$5:$N$106,'G-3 COST OF SERVICE'!J77,FALSE)</f>
        <v>4400175.3051334703</v>
      </c>
      <c r="K23" s="375">
        <f>+'G-5 Function Rate Base'!$D$47*VLOOKUP($E$23,'G-7 Allocations'!$D$5:$N$106,'G-3 COST OF SERVICE'!K77,FALSE)</f>
        <v>0</v>
      </c>
      <c r="L23" s="375">
        <f>+'G-5 Function Rate Base'!$D$47*VLOOKUP($E$23,'G-7 Allocations'!$D$5:$N$106,'G-3 COST OF SERVICE'!L77,FALSE)</f>
        <v>4354983.8471355345</v>
      </c>
      <c r="M23" s="375">
        <f>+'G-5 Function Rate Base'!$D$47*VLOOKUP($E$23,'G-7 Allocations'!$D$5:$N$106,'G-3 COST OF SERVICE'!M77,FALSE)</f>
        <v>4043343.6502395575</v>
      </c>
      <c r="N23" s="375">
        <f>+'G-5 Function Rate Base'!$D$47*VLOOKUP($E$23,'G-7 Allocations'!$D$5:$N$106,'G-3 COST OF SERVICE'!N77,FALSE)</f>
        <v>0</v>
      </c>
      <c r="O23" s="375">
        <f>+'G-5 Function Rate Base'!$D$47*VLOOKUP($E$23,'G-7 Allocations'!$D$5:$N$106,'G-3 COST OF SERVICE'!O77,FALSE)</f>
        <v>415825.58145224163</v>
      </c>
      <c r="P23" s="314"/>
      <c r="Q23" s="371">
        <f>F23-'Rate Base'!C44</f>
        <v>0</v>
      </c>
      <c r="R23" s="314"/>
      <c r="S23" s="314">
        <f>SUM(G23,J23,M23)-'G-5 Function Rate Base'!E47</f>
        <v>0</v>
      </c>
      <c r="T23" s="314">
        <f>SUM(H23,K23,N23)-'G-5 Function Rate Base'!F47</f>
        <v>0</v>
      </c>
      <c r="U23" s="314">
        <f>SUM(I23,L23,O23)-'G-5 Function Rate Base'!G47</f>
        <v>0</v>
      </c>
    </row>
    <row r="24" spans="1:21">
      <c r="A24" s="320">
        <f t="shared" si="0"/>
        <v>21</v>
      </c>
      <c r="B24" s="374"/>
      <c r="C24" s="407"/>
      <c r="D24" s="304"/>
      <c r="E24" s="379"/>
      <c r="F24" s="375"/>
      <c r="G24" s="375"/>
      <c r="H24" s="375"/>
      <c r="I24" s="375"/>
      <c r="J24" s="375"/>
      <c r="K24" s="375"/>
      <c r="L24" s="375"/>
      <c r="M24" s="375"/>
      <c r="N24" s="375"/>
      <c r="O24" s="375"/>
      <c r="P24" s="314"/>
      <c r="Q24" s="371"/>
      <c r="R24" s="314"/>
      <c r="S24" s="314"/>
      <c r="T24" s="314"/>
      <c r="U24" s="314"/>
    </row>
    <row r="25" spans="1:21">
      <c r="A25" s="320">
        <f t="shared" si="0"/>
        <v>22</v>
      </c>
      <c r="B25" s="390"/>
      <c r="C25" s="377" t="s">
        <v>103</v>
      </c>
      <c r="D25" s="304"/>
      <c r="E25" s="379"/>
      <c r="F25" s="404">
        <f>SUM(G25:O25)</f>
        <v>590756190</v>
      </c>
      <c r="G25" s="404">
        <f t="shared" ref="G25:O25" si="2">G27-G4</f>
        <v>91767657.207287088</v>
      </c>
      <c r="H25" s="404">
        <f t="shared" si="2"/>
        <v>0</v>
      </c>
      <c r="I25" s="404">
        <f t="shared" si="2"/>
        <v>380488718.29462147</v>
      </c>
      <c r="J25" s="404">
        <f t="shared" si="2"/>
        <v>39458679.974515118</v>
      </c>
      <c r="K25" s="404">
        <f t="shared" si="2"/>
        <v>0</v>
      </c>
      <c r="L25" s="404">
        <f t="shared" si="2"/>
        <v>39053424.450793847</v>
      </c>
      <c r="M25" s="404">
        <f t="shared" si="2"/>
        <v>36258783.604554057</v>
      </c>
      <c r="N25" s="404">
        <f t="shared" si="2"/>
        <v>0</v>
      </c>
      <c r="O25" s="404">
        <f t="shared" si="2"/>
        <v>3728926.4682284449</v>
      </c>
      <c r="P25" s="313"/>
      <c r="Q25" s="398"/>
      <c r="R25" s="313"/>
      <c r="S25" s="313"/>
      <c r="T25" s="313"/>
      <c r="U25" s="313"/>
    </row>
    <row r="26" spans="1:21">
      <c r="A26" s="320">
        <f t="shared" si="0"/>
        <v>23</v>
      </c>
      <c r="B26" s="374"/>
      <c r="C26" s="409"/>
      <c r="D26" s="408"/>
      <c r="E26" s="379"/>
      <c r="F26" s="380"/>
      <c r="G26" s="395"/>
      <c r="H26" s="395"/>
      <c r="I26" s="395"/>
      <c r="J26" s="395"/>
      <c r="K26" s="395"/>
      <c r="L26" s="395"/>
      <c r="M26" s="395"/>
      <c r="N26" s="395"/>
      <c r="O26" s="395"/>
      <c r="P26" s="314"/>
      <c r="Q26" s="371"/>
      <c r="R26" s="314"/>
      <c r="S26" s="314"/>
      <c r="T26" s="314"/>
      <c r="U26" s="314"/>
    </row>
    <row r="27" spans="1:21">
      <c r="A27" s="320">
        <f t="shared" si="0"/>
        <v>24</v>
      </c>
      <c r="B27" s="386"/>
      <c r="C27" s="377" t="s">
        <v>104</v>
      </c>
      <c r="D27" s="377"/>
      <c r="E27" s="379"/>
      <c r="F27" s="394">
        <f>SUM(G27:O27)</f>
        <v>592552817</v>
      </c>
      <c r="G27" s="394">
        <f t="shared" ref="G27:O27" si="3">+ROUND(G23+G21+G6+G4,0)</f>
        <v>92046744</v>
      </c>
      <c r="H27" s="394">
        <f t="shared" si="3"/>
        <v>0</v>
      </c>
      <c r="I27" s="394">
        <f t="shared" si="3"/>
        <v>381645873</v>
      </c>
      <c r="J27" s="394">
        <f t="shared" si="3"/>
        <v>39578683</v>
      </c>
      <c r="K27" s="394">
        <f t="shared" si="3"/>
        <v>0</v>
      </c>
      <c r="L27" s="394">
        <f t="shared" si="3"/>
        <v>39172195</v>
      </c>
      <c r="M27" s="394">
        <f t="shared" si="3"/>
        <v>36369055</v>
      </c>
      <c r="N27" s="394">
        <f t="shared" si="3"/>
        <v>0</v>
      </c>
      <c r="O27" s="394">
        <f t="shared" si="3"/>
        <v>3740267</v>
      </c>
      <c r="P27" s="314"/>
      <c r="Q27" s="371">
        <f>F27-'Rate Base'!C51</f>
        <v>1.3945486545562744</v>
      </c>
      <c r="R27" s="314"/>
      <c r="S27" s="314">
        <f>SUM(G27,J27,M27)-'G-5 Function Rate Base'!E54</f>
        <v>0.55710521340370178</v>
      </c>
      <c r="T27" s="314">
        <f>SUM(H27,K27,N27)-'G-5 Function Rate Base'!F54</f>
        <v>0</v>
      </c>
      <c r="U27" s="314">
        <f>SUM(I27,L27,O27)-'G-5 Function Rate Base'!G54</f>
        <v>0.26744347810745239</v>
      </c>
    </row>
    <row r="28" spans="1:21">
      <c r="A28" s="320">
        <f t="shared" si="0"/>
        <v>25</v>
      </c>
      <c r="B28" s="374"/>
      <c r="C28" s="304"/>
      <c r="D28" s="377"/>
      <c r="E28" s="379"/>
      <c r="F28" s="376"/>
      <c r="G28" s="369"/>
      <c r="H28" s="369"/>
      <c r="I28" s="369"/>
      <c r="J28" s="369"/>
      <c r="K28" s="369"/>
      <c r="L28" s="369"/>
      <c r="M28" s="369"/>
      <c r="N28" s="369"/>
      <c r="O28" s="369"/>
      <c r="P28" s="314"/>
      <c r="Q28" s="371"/>
      <c r="R28" s="314"/>
      <c r="S28" s="314"/>
      <c r="T28" s="314"/>
      <c r="U28" s="314"/>
    </row>
    <row r="29" spans="1:21">
      <c r="A29" s="320">
        <f t="shared" si="0"/>
        <v>26</v>
      </c>
      <c r="B29" s="382"/>
      <c r="C29" s="407"/>
      <c r="D29" s="407"/>
      <c r="E29" s="379"/>
      <c r="F29" s="376"/>
      <c r="G29" s="369"/>
      <c r="H29" s="369"/>
      <c r="I29" s="369"/>
      <c r="J29" s="369"/>
      <c r="K29" s="369"/>
      <c r="L29" s="369"/>
      <c r="M29" s="369"/>
      <c r="N29" s="369"/>
      <c r="O29" s="369"/>
      <c r="P29" s="314"/>
      <c r="Q29" s="371"/>
      <c r="R29" s="314"/>
      <c r="S29" s="314"/>
      <c r="T29" s="314"/>
      <c r="U29" s="314"/>
    </row>
    <row r="30" spans="1:21">
      <c r="A30" s="320">
        <f t="shared" si="0"/>
        <v>27</v>
      </c>
      <c r="B30" s="382"/>
      <c r="C30" s="406" t="s">
        <v>105</v>
      </c>
      <c r="D30" s="406"/>
      <c r="E30" s="379"/>
      <c r="F30" s="376"/>
      <c r="G30" s="369"/>
      <c r="H30" s="369"/>
      <c r="I30" s="369"/>
      <c r="J30" s="369"/>
      <c r="K30" s="369"/>
      <c r="L30" s="369"/>
      <c r="M30" s="369"/>
      <c r="N30" s="369"/>
      <c r="O30" s="369"/>
      <c r="P30" s="314"/>
      <c r="Q30" s="371"/>
      <c r="R30" s="314"/>
      <c r="S30" s="314"/>
      <c r="T30" s="314"/>
      <c r="U30" s="314"/>
    </row>
    <row r="31" spans="1:21">
      <c r="A31" s="320">
        <f t="shared" si="0"/>
        <v>28</v>
      </c>
      <c r="B31" s="374" t="s">
        <v>74</v>
      </c>
      <c r="C31" s="377" t="s">
        <v>106</v>
      </c>
      <c r="D31" s="379" t="str">
        <f>D4</f>
        <v>PISXIG</v>
      </c>
      <c r="E31" s="379">
        <f>_xlfn.IFNA(VLOOKUP(D31,'G-7 Allocations'!$C$63:$D$106,2,),VLOOKUP(D31,'G-7 Allocations'!$C$10:$D$15,2,))</f>
        <v>19</v>
      </c>
      <c r="F31" s="375">
        <f>SUM(G31:O31)</f>
        <v>378521.83672492427</v>
      </c>
      <c r="G31" s="375">
        <f>+'G-5 Function Rate Base'!$D$60*VLOOKUP($E$31,'G-7 Allocations'!$D$5:$N$106,'G-3 COST OF SERVICE'!G77,FALSE)</f>
        <v>58799.319715979414</v>
      </c>
      <c r="H31" s="375">
        <f>+'G-5 Function Rate Base'!$D$60*VLOOKUP($E$31,'G-7 Allocations'!$D$5:$N$106,'G-3 COST OF SERVICE'!H77,FALSE)</f>
        <v>0</v>
      </c>
      <c r="I31" s="375">
        <f>+'G-5 Function Rate Base'!$D$60*VLOOKUP($E$31,'G-7 Allocations'!$D$5:$N$106,'G-3 COST OF SERVICE'!I77,FALSE)</f>
        <v>243794.80240182261</v>
      </c>
      <c r="J31" s="375">
        <f>+'G-5 Function Rate Base'!$D$60*VLOOKUP($E$31,'G-7 Allocations'!$D$5:$N$106,'G-3 COST OF SERVICE'!J77,FALSE)</f>
        <v>25282.802506633383</v>
      </c>
      <c r="K31" s="375">
        <f>+'G-5 Function Rate Base'!$D$60*VLOOKUP($E$31,'G-7 Allocations'!$D$5:$N$106,'G-3 COST OF SERVICE'!K77,FALSE)</f>
        <v>0</v>
      </c>
      <c r="L31" s="375">
        <f>+'G-5 Function Rate Base'!$D$60*VLOOKUP($E$31,'G-7 Allocations'!$D$5:$N$106,'G-3 COST OF SERVICE'!L77,FALSE)</f>
        <v>25023.138600466817</v>
      </c>
      <c r="M31" s="375">
        <f>+'G-5 Function Rate Base'!$D$60*VLOOKUP($E$31,'G-7 Allocations'!$D$5:$N$106,'G-3 COST OF SERVICE'!M77,FALSE)</f>
        <v>23232.496863521214</v>
      </c>
      <c r="N31" s="375">
        <f>+'G-5 Function Rate Base'!$D$60*VLOOKUP($E$31,'G-7 Allocations'!$D$5:$N$106,'G-3 COST OF SERVICE'!N77,FALSE)</f>
        <v>0</v>
      </c>
      <c r="O31" s="375">
        <f>+'G-5 Function Rate Base'!$D$60*VLOOKUP($E$31,'G-7 Allocations'!$D$5:$N$106,'G-3 COST OF SERVICE'!O77,FALSE)</f>
        <v>2389.2766365007637</v>
      </c>
      <c r="P31" s="314"/>
      <c r="Q31" s="371">
        <f>F31-'Rate Base'!C58</f>
        <v>0</v>
      </c>
      <c r="R31" s="314"/>
      <c r="S31" s="314">
        <f>SUM(G31,J31,M31)-'G-5 Function Rate Base'!E60</f>
        <v>0</v>
      </c>
      <c r="T31" s="314">
        <f>SUM(H31,K31,N31)-'G-5 Function Rate Base'!F60</f>
        <v>0</v>
      </c>
      <c r="U31" s="314">
        <f>SUM(I31,L31,O31)-'G-5 Function Rate Base'!G60</f>
        <v>0</v>
      </c>
    </row>
    <row r="32" spans="1:21">
      <c r="A32" s="320">
        <f t="shared" si="0"/>
        <v>29</v>
      </c>
      <c r="B32" s="386"/>
      <c r="C32" s="377"/>
      <c r="D32" s="377"/>
      <c r="E32" s="379"/>
      <c r="F32" s="376"/>
      <c r="G32" s="369"/>
      <c r="H32" s="369"/>
      <c r="I32" s="369"/>
      <c r="J32" s="369"/>
      <c r="K32" s="369"/>
      <c r="L32" s="369"/>
      <c r="M32" s="369"/>
      <c r="N32" s="369"/>
      <c r="O32" s="369"/>
      <c r="P32" s="314"/>
      <c r="Q32" s="371"/>
      <c r="R32" s="314"/>
      <c r="S32" s="314"/>
      <c r="T32" s="314"/>
      <c r="U32" s="314"/>
    </row>
    <row r="33" spans="1:21">
      <c r="A33" s="320">
        <f t="shared" si="0"/>
        <v>30</v>
      </c>
      <c r="B33" s="374" t="s">
        <v>77</v>
      </c>
      <c r="C33" s="377" t="s">
        <v>107</v>
      </c>
      <c r="D33" s="379" t="str">
        <f>D6</f>
        <v>TRANS</v>
      </c>
      <c r="E33" s="379">
        <f>_xlfn.IFNA(VLOOKUP(D33,'G-7 Allocations'!$C$63:$D$106,2,),VLOOKUP(D33,'G-7 Allocations'!$C$10:$D$15,2,))</f>
        <v>41</v>
      </c>
      <c r="F33" s="375">
        <f>SUM(G33:O33)</f>
        <v>9689748.0537699852</v>
      </c>
      <c r="G33" s="375">
        <f>+'G-5 Function Rate Base'!$D$68*VLOOKUP($E$33,'G-7 Allocations'!$D$5:$N$106,'G-3 COST OF SERVICE'!G77,FALSE)</f>
        <v>5309161.0316727804</v>
      </c>
      <c r="H33" s="375">
        <f>+'G-5 Function Rate Base'!$D$68*VLOOKUP($E$33,'G-7 Allocations'!$D$5:$N$106,'G-3 COST OF SERVICE'!H77,FALSE)</f>
        <v>0</v>
      </c>
      <c r="I33" s="375">
        <f>+'G-5 Function Rate Base'!$D$68*VLOOKUP($E$33,'G-7 Allocations'!$D$5:$N$106,'G-3 COST OF SERVICE'!I77,FALSE)</f>
        <v>0</v>
      </c>
      <c r="J33" s="375">
        <f>+'G-5 Function Rate Base'!$D$68*VLOOKUP($E$33,'G-7 Allocations'!$D$5:$N$106,'G-3 COST OF SERVICE'!J77,FALSE)</f>
        <v>2282857.5311427987</v>
      </c>
      <c r="K33" s="375">
        <f>+'G-5 Function Rate Base'!$D$68*VLOOKUP($E$33,'G-7 Allocations'!$D$5:$N$106,'G-3 COST OF SERVICE'!K77,FALSE)</f>
        <v>0</v>
      </c>
      <c r="L33" s="375">
        <f>+'G-5 Function Rate Base'!$D$68*VLOOKUP($E$33,'G-7 Allocations'!$D$5:$N$106,'G-3 COST OF SERVICE'!L77,FALSE)</f>
        <v>0</v>
      </c>
      <c r="M33" s="375">
        <f>+'G-5 Function Rate Base'!$D$68*VLOOKUP($E$33,'G-7 Allocations'!$D$5:$N$106,'G-3 COST OF SERVICE'!M77,FALSE)</f>
        <v>2097729.490954407</v>
      </c>
      <c r="N33" s="375">
        <f>+'G-5 Function Rate Base'!$D$68*VLOOKUP($E$33,'G-7 Allocations'!$D$5:$N$106,'G-3 COST OF SERVICE'!N77,FALSE)</f>
        <v>0</v>
      </c>
      <c r="O33" s="375">
        <f>+'G-5 Function Rate Base'!$D$68*VLOOKUP($E$33,'G-7 Allocations'!$D$5:$N$106,'G-3 COST OF SERVICE'!O77,FALSE)</f>
        <v>0</v>
      </c>
      <c r="P33" s="314"/>
      <c r="Q33" s="371">
        <f>F33-'Rate Base'!C66</f>
        <v>0</v>
      </c>
      <c r="R33" s="314"/>
      <c r="S33" s="314">
        <f>SUM(G33,J33,M33)-'G-5 Function Rate Base'!E68</f>
        <v>0</v>
      </c>
      <c r="T33" s="314">
        <f>SUM(H33,K33,N33)-'G-5 Function Rate Base'!F68</f>
        <v>0</v>
      </c>
      <c r="U33" s="314">
        <f>SUM(I33,L33,O33)-'G-5 Function Rate Base'!G68</f>
        <v>0</v>
      </c>
    </row>
    <row r="34" spans="1:21">
      <c r="A34" s="320">
        <f t="shared" si="0"/>
        <v>31</v>
      </c>
      <c r="B34" s="374"/>
      <c r="C34" s="377"/>
      <c r="D34" s="377"/>
      <c r="E34" s="379"/>
      <c r="F34" s="376"/>
      <c r="G34" s="405"/>
      <c r="H34" s="405"/>
      <c r="I34" s="405"/>
      <c r="J34" s="405"/>
      <c r="K34" s="405"/>
      <c r="L34" s="405"/>
      <c r="M34" s="405"/>
      <c r="N34" s="405"/>
      <c r="O34" s="405"/>
      <c r="P34" s="314"/>
      <c r="Q34" s="371"/>
      <c r="R34" s="314"/>
      <c r="S34" s="314"/>
      <c r="T34" s="314"/>
      <c r="U34" s="314"/>
    </row>
    <row r="35" spans="1:21">
      <c r="A35" s="320">
        <f t="shared" si="0"/>
        <v>32</v>
      </c>
      <c r="B35" s="374"/>
      <c r="C35" s="377" t="s">
        <v>108</v>
      </c>
      <c r="D35" s="377"/>
      <c r="E35" s="379"/>
      <c r="F35" s="370"/>
      <c r="G35" s="369"/>
      <c r="H35" s="369"/>
      <c r="I35" s="369"/>
      <c r="J35" s="369"/>
      <c r="K35" s="369"/>
      <c r="L35" s="369"/>
      <c r="M35" s="369"/>
      <c r="N35" s="369"/>
      <c r="O35" s="369"/>
      <c r="P35" s="314"/>
      <c r="Q35" s="371"/>
      <c r="R35" s="314"/>
      <c r="S35" s="314"/>
      <c r="T35" s="314"/>
      <c r="U35" s="314"/>
    </row>
    <row r="36" spans="1:21">
      <c r="A36" s="320">
        <f t="shared" si="0"/>
        <v>33</v>
      </c>
      <c r="B36" s="385">
        <v>374.1</v>
      </c>
      <c r="C36" s="379" t="s">
        <v>81</v>
      </c>
      <c r="D36" s="379" t="str">
        <f>+'G-7 Allocations'!$C$13</f>
        <v>DISTR</v>
      </c>
      <c r="E36" s="379">
        <f>_xlfn.IFNA(VLOOKUP(D36,'G-7 Allocations'!$C$63:$D$106,2,),VLOOKUP(D36,'G-7 Allocations'!$C$10:$D$15,2,))</f>
        <v>42</v>
      </c>
      <c r="F36" s="404">
        <f t="shared" ref="F36:F47" si="4">SUM(G36:O36)</f>
        <v>-92336.965428911208</v>
      </c>
      <c r="G36" s="404">
        <f>+'G-5 Function Rate Base'!$D$71*VLOOKUP($E$36,'G-7 Allocations'!$D$5:$N$106,'G-3 COST OF SERVICE'!G77,FALSE)</f>
        <v>-50592.834397521583</v>
      </c>
      <c r="H36" s="404">
        <f>+'G-5 Function Rate Base'!$D$71*VLOOKUP($E$36,'G-7 Allocations'!$D$5:$N$106,'G-3 COST OF SERVICE'!H77,FALSE)</f>
        <v>0</v>
      </c>
      <c r="I36" s="404">
        <f>+'G-5 Function Rate Base'!$D$71*VLOOKUP($E$36,'G-7 Allocations'!$D$5:$N$106,'G-3 COST OF SERVICE'!I77,FALSE)</f>
        <v>0</v>
      </c>
      <c r="J36" s="404">
        <f>+'G-5 Function Rate Base'!$D$71*VLOOKUP($E$36,'G-7 Allocations'!$D$5:$N$106,'G-3 COST OF SERVICE'!J77,FALSE)</f>
        <v>-21754.140124443111</v>
      </c>
      <c r="K36" s="404">
        <f>+'G-5 Function Rate Base'!$D$71*VLOOKUP($E$36,'G-7 Allocations'!$D$5:$N$106,'G-3 COST OF SERVICE'!K77,FALSE)</f>
        <v>0</v>
      </c>
      <c r="L36" s="404">
        <f>+'G-5 Function Rate Base'!$D$71*VLOOKUP($E$36,'G-7 Allocations'!$D$5:$N$106,'G-3 COST OF SERVICE'!L77,FALSE)</f>
        <v>0</v>
      </c>
      <c r="M36" s="404">
        <f>+'G-5 Function Rate Base'!$D$71*VLOOKUP($E$36,'G-7 Allocations'!$D$5:$N$106,'G-3 COST OF SERVICE'!M77,FALSE)</f>
        <v>-19989.990906946499</v>
      </c>
      <c r="N36" s="404">
        <f>+'G-5 Function Rate Base'!$D$71*VLOOKUP($E$36,'G-7 Allocations'!$D$5:$N$106,'G-3 COST OF SERVICE'!N77,FALSE)</f>
        <v>0</v>
      </c>
      <c r="O36" s="404">
        <f>+'G-5 Function Rate Base'!$D$71*VLOOKUP($E$36,'G-7 Allocations'!$D$5:$N$106,'G-3 COST OF SERVICE'!O77,FALSE)</f>
        <v>0</v>
      </c>
      <c r="P36" s="313"/>
      <c r="Q36" s="398">
        <f>F36-'Rate Base'!C69</f>
        <v>0</v>
      </c>
      <c r="R36" s="313"/>
      <c r="S36" s="313">
        <f>SUM(G36,J36,M36)-'G-5 Function Rate Base'!E71</f>
        <v>0</v>
      </c>
      <c r="T36" s="313">
        <f>SUM(H36,K36,N36)-'G-5 Function Rate Base'!F71</f>
        <v>0</v>
      </c>
      <c r="U36" s="313">
        <f>SUM(I36,L36,O36)-'G-5 Function Rate Base'!G71</f>
        <v>0</v>
      </c>
    </row>
    <row r="37" spans="1:21">
      <c r="A37" s="320">
        <f t="shared" ref="A37:A54" si="5">+A36+1</f>
        <v>34</v>
      </c>
      <c r="B37" s="385">
        <f>+B36+1</f>
        <v>375.1</v>
      </c>
      <c r="C37" s="379" t="s">
        <v>82</v>
      </c>
      <c r="D37" s="379" t="str">
        <f>+'G-7 Allocations'!$C$13</f>
        <v>DISTR</v>
      </c>
      <c r="E37" s="379">
        <f>_xlfn.IFNA(VLOOKUP(D37,'G-7 Allocations'!$C$63:$D$106,2,),VLOOKUP(D37,'G-7 Allocations'!$C$10:$D$15,2,))</f>
        <v>42</v>
      </c>
      <c r="F37" s="401">
        <f t="shared" si="4"/>
        <v>22598.333404365079</v>
      </c>
      <c r="G37" s="401">
        <f>+'G-5 Function Rate Base'!$D$72*VLOOKUP($E$37,'G-7 Allocations'!$D$5:$N$106,'G-3 COST OF SERVICE'!G77,FALSE)</f>
        <v>12381.972206648294</v>
      </c>
      <c r="H37" s="401">
        <f>+'G-5 Function Rate Base'!$D$72*VLOOKUP($E$37,'G-7 Allocations'!$D$5:$N$106,'G-3 COST OF SERVICE'!H77,FALSE)</f>
        <v>0</v>
      </c>
      <c r="I37" s="401">
        <f>+'G-5 Function Rate Base'!$D$72*VLOOKUP($E$37,'G-7 Allocations'!$D$5:$N$106,'G-3 COST OF SERVICE'!I77,FALSE)</f>
        <v>0</v>
      </c>
      <c r="J37" s="401">
        <f>+'G-5 Function Rate Base'!$D$72*VLOOKUP($E$37,'G-7 Allocations'!$D$5:$N$106,'G-3 COST OF SERVICE'!J77,FALSE)</f>
        <v>5324.0574798391262</v>
      </c>
      <c r="K37" s="401">
        <f>+'G-5 Function Rate Base'!$D$72*VLOOKUP($E$37,'G-7 Allocations'!$D$5:$N$106,'G-3 COST OF SERVICE'!K77,FALSE)</f>
        <v>0</v>
      </c>
      <c r="L37" s="401">
        <f>+'G-5 Function Rate Base'!$D$72*VLOOKUP($E$37,'G-7 Allocations'!$D$5:$N$106,'G-3 COST OF SERVICE'!L77,FALSE)</f>
        <v>0</v>
      </c>
      <c r="M37" s="401">
        <f>+'G-5 Function Rate Base'!$D$72*VLOOKUP($E$37,'G-7 Allocations'!$D$5:$N$106,'G-3 COST OF SERVICE'!M77,FALSE)</f>
        <v>4892.3037178776613</v>
      </c>
      <c r="N37" s="401">
        <f>+'G-5 Function Rate Base'!$D$72*VLOOKUP($E$37,'G-7 Allocations'!$D$5:$N$106,'G-3 COST OF SERVICE'!N77,FALSE)</f>
        <v>0</v>
      </c>
      <c r="O37" s="401">
        <f>+'G-5 Function Rate Base'!$D$72*VLOOKUP($E$37,'G-7 Allocations'!$D$5:$N$106,'G-3 COST OF SERVICE'!O77,FALSE)</f>
        <v>0</v>
      </c>
      <c r="P37" s="313"/>
      <c r="Q37" s="398">
        <f>F37-'Rate Base'!C70</f>
        <v>0</v>
      </c>
      <c r="R37" s="313"/>
      <c r="S37" s="313">
        <f>SUM(G37,J37,M37)-'G-5 Function Rate Base'!E72</f>
        <v>0</v>
      </c>
      <c r="T37" s="313">
        <f>SUM(H37,K37,N37)-'G-5 Function Rate Base'!F72</f>
        <v>0</v>
      </c>
      <c r="U37" s="313">
        <f>SUM(I37,L37,O37)-'G-5 Function Rate Base'!G72</f>
        <v>0</v>
      </c>
    </row>
    <row r="38" spans="1:21">
      <c r="A38" s="320">
        <f t="shared" si="5"/>
        <v>35</v>
      </c>
      <c r="B38" s="385">
        <f>+B37+1</f>
        <v>376.1</v>
      </c>
      <c r="C38" s="379" t="s">
        <v>83</v>
      </c>
      <c r="D38" s="379" t="str">
        <f>+'G-7 Allocations'!$C$14</f>
        <v>DISTMAIN</v>
      </c>
      <c r="E38" s="379">
        <f>_xlfn.IFNA(VLOOKUP(D38,'G-7 Allocations'!$C$63:$D$106,2,),VLOOKUP(D38,'G-7 Allocations'!$C$10:$D$15,2,))</f>
        <v>43</v>
      </c>
      <c r="F38" s="401">
        <f t="shared" si="4"/>
        <v>101785637.01979342</v>
      </c>
      <c r="G38" s="401">
        <f>+'G-5 Function Rate Base'!$D$73*VLOOKUP($E$38,'G-7 Allocations'!$D$5:$N$106,'G-3 COST OF SERVICE'!G77,FALSE)</f>
        <v>27040735.924457602</v>
      </c>
      <c r="H38" s="401">
        <f>+'G-5 Function Rate Base'!$D$73*VLOOKUP($E$38,'G-7 Allocations'!$D$5:$N$106,'G-3 COST OF SERVICE'!H77,FALSE)</f>
        <v>0</v>
      </c>
      <c r="I38" s="401">
        <f>+'G-5 Function Rate Base'!$D$73*VLOOKUP($E$38,'G-7 Allocations'!$D$5:$N$106,'G-3 COST OF SERVICE'!I77,FALSE)</f>
        <v>48325320.898921713</v>
      </c>
      <c r="J38" s="401">
        <f>+'G-5 Function Rate Base'!$D$73*VLOOKUP($E$38,'G-7 Allocations'!$D$5:$N$106,'G-3 COST OF SERVICE'!J77,FALSE)</f>
        <v>11627100.267731395</v>
      </c>
      <c r="K38" s="401">
        <f>+'G-5 Function Rate Base'!$D$73*VLOOKUP($E$38,'G-7 Allocations'!$D$5:$N$106,'G-3 COST OF SERVICE'!K77,FALSE)</f>
        <v>0</v>
      </c>
      <c r="L38" s="401">
        <f>+'G-5 Function Rate Base'!$D$73*VLOOKUP($E$38,'G-7 Allocations'!$D$5:$N$106,'G-3 COST OF SERVICE'!L77,FALSE)</f>
        <v>4084331.1390747828</v>
      </c>
      <c r="M38" s="401">
        <f>+'G-5 Function Rate Base'!$D$73*VLOOKUP($E$38,'G-7 Allocations'!$D$5:$N$106,'G-3 COST OF SERVICE'!M77,FALSE)</f>
        <v>10684202.055173427</v>
      </c>
      <c r="N38" s="401">
        <f>+'G-5 Function Rate Base'!$D$73*VLOOKUP($E$38,'G-7 Allocations'!$D$5:$N$106,'G-3 COST OF SERVICE'!N77,FALSE)</f>
        <v>0</v>
      </c>
      <c r="O38" s="401">
        <f>+'G-5 Function Rate Base'!$D$73*VLOOKUP($E$38,'G-7 Allocations'!$D$5:$N$106,'G-3 COST OF SERVICE'!O77,FALSE)</f>
        <v>23946.734434502385</v>
      </c>
      <c r="P38" s="313"/>
      <c r="Q38" s="398">
        <f>F38-'Rate Base'!C71</f>
        <v>0</v>
      </c>
      <c r="R38" s="313"/>
      <c r="S38" s="313">
        <f>SUM(G38,J38,M38)-'G-5 Function Rate Base'!E73</f>
        <v>0</v>
      </c>
      <c r="T38" s="313">
        <f>SUM(H38,K38,N38)-'G-5 Function Rate Base'!F73</f>
        <v>0</v>
      </c>
      <c r="U38" s="313">
        <f>SUM(I38,L38,O38)-'G-5 Function Rate Base'!G73</f>
        <v>0</v>
      </c>
    </row>
    <row r="39" spans="1:21">
      <c r="A39" s="320">
        <f t="shared" si="5"/>
        <v>36</v>
      </c>
      <c r="B39" s="385">
        <v>378</v>
      </c>
      <c r="C39" s="379" t="s">
        <v>84</v>
      </c>
      <c r="D39" s="379" t="str">
        <f>+'G-7 Allocations'!$C$15</f>
        <v>DISTREG</v>
      </c>
      <c r="E39" s="379">
        <f>_xlfn.IFNA(VLOOKUP(D39,'G-7 Allocations'!$C$63:$D$106,2,),VLOOKUP(D39,'G-7 Allocations'!$C$10:$D$15,2,))</f>
        <v>44</v>
      </c>
      <c r="F39" s="401">
        <f t="shared" si="4"/>
        <v>2284171.1606795238</v>
      </c>
      <c r="G39" s="401">
        <f>+'G-5 Function Rate Base'!$D$74*VLOOKUP($E$39,'G-7 Allocations'!$D$5:$N$106,'G-3 COST OF SERVICE'!G77,FALSE)</f>
        <v>1251532.2842921857</v>
      </c>
      <c r="H39" s="401">
        <f>+'G-5 Function Rate Base'!$D$74*VLOOKUP($E$39,'G-7 Allocations'!$D$5:$N$106,'G-3 COST OF SERVICE'!H77,FALSE)</f>
        <v>0</v>
      </c>
      <c r="I39" s="401">
        <f>+'G-5 Function Rate Base'!$D$74*VLOOKUP($E$39,'G-7 Allocations'!$D$5:$N$106,'G-3 COST OF SERVICE'!I77,FALSE)</f>
        <v>0</v>
      </c>
      <c r="J39" s="401">
        <f>+'G-5 Function Rate Base'!$D$74*VLOOKUP($E$39,'G-7 Allocations'!$D$5:$N$106,'G-3 COST OF SERVICE'!J77,FALSE)</f>
        <v>538139.62010577356</v>
      </c>
      <c r="K39" s="401">
        <f>+'G-5 Function Rate Base'!$D$74*VLOOKUP($E$39,'G-7 Allocations'!$D$5:$N$106,'G-3 COST OF SERVICE'!K77,FALSE)</f>
        <v>0</v>
      </c>
      <c r="L39" s="401">
        <f>+'G-5 Function Rate Base'!$D$74*VLOOKUP($E$39,'G-7 Allocations'!$D$5:$N$106,'G-3 COST OF SERVICE'!L77,FALSE)</f>
        <v>0</v>
      </c>
      <c r="M39" s="401">
        <f>+'G-5 Function Rate Base'!$D$74*VLOOKUP($E$39,'G-7 Allocations'!$D$5:$N$106,'G-3 COST OF SERVICE'!M77,FALSE)</f>
        <v>494499.25628156442</v>
      </c>
      <c r="N39" s="401">
        <f>+'G-5 Function Rate Base'!$D$74*VLOOKUP($E$39,'G-7 Allocations'!$D$5:$N$106,'G-3 COST OF SERVICE'!N77,FALSE)</f>
        <v>0</v>
      </c>
      <c r="O39" s="401">
        <f>+'G-5 Function Rate Base'!$D$74*VLOOKUP($E$39,'G-7 Allocations'!$D$5:$N$106,'G-3 COST OF SERVICE'!O77,FALSE)</f>
        <v>0</v>
      </c>
      <c r="P39" s="313"/>
      <c r="Q39" s="398">
        <f>F39-'Rate Base'!C72</f>
        <v>0</v>
      </c>
      <c r="R39" s="313"/>
      <c r="S39" s="313">
        <f>SUM(G39,J39,M39)-'G-5 Function Rate Base'!E74</f>
        <v>0</v>
      </c>
      <c r="T39" s="313">
        <f>SUM(H39,K39,N39)-'G-5 Function Rate Base'!F74</f>
        <v>0</v>
      </c>
      <c r="U39" s="313">
        <f>SUM(I39,L39,O39)-'G-5 Function Rate Base'!G74</f>
        <v>0</v>
      </c>
    </row>
    <row r="40" spans="1:21">
      <c r="A40" s="320">
        <f t="shared" si="5"/>
        <v>37</v>
      </c>
      <c r="B40" s="385">
        <f t="shared" ref="B40:B45" si="6">+B39+1</f>
        <v>379</v>
      </c>
      <c r="C40" s="379" t="s">
        <v>85</v>
      </c>
      <c r="D40" s="379" t="str">
        <f>+'G-7 Allocations'!$C$15</f>
        <v>DISTREG</v>
      </c>
      <c r="E40" s="379">
        <f>_xlfn.IFNA(VLOOKUP(D40,'G-7 Allocations'!$C$63:$D$106,2,),VLOOKUP(D40,'G-7 Allocations'!$C$10:$D$15,2,))</f>
        <v>44</v>
      </c>
      <c r="F40" s="401">
        <f t="shared" si="4"/>
        <v>1501138.175736967</v>
      </c>
      <c r="G40" s="401">
        <f>+'G-5 Function Rate Base'!$D$75*VLOOKUP($E$40,'G-7 Allocations'!$D$5:$N$106,'G-3 COST OF SERVICE'!G77,FALSE)</f>
        <v>822496.54599412112</v>
      </c>
      <c r="H40" s="401">
        <f>+'G-5 Function Rate Base'!$D$75*VLOOKUP($E$40,'G-7 Allocations'!$D$5:$N$106,'G-3 COST OF SERVICE'!H77,FALSE)</f>
        <v>0</v>
      </c>
      <c r="I40" s="401">
        <f>+'G-5 Function Rate Base'!$D$75*VLOOKUP($E$40,'G-7 Allocations'!$D$5:$N$106,'G-3 COST OF SERVICE'!I77,FALSE)</f>
        <v>0</v>
      </c>
      <c r="J40" s="401">
        <f>+'G-5 Function Rate Base'!$D$75*VLOOKUP($E$40,'G-7 Allocations'!$D$5:$N$106,'G-3 COST OF SERVICE'!J77,FALSE)</f>
        <v>353660.85586031323</v>
      </c>
      <c r="K40" s="401">
        <f>+'G-5 Function Rate Base'!$D$75*VLOOKUP($E$40,'G-7 Allocations'!$D$5:$N$106,'G-3 COST OF SERVICE'!K77,FALSE)</f>
        <v>0</v>
      </c>
      <c r="L40" s="401">
        <f>+'G-5 Function Rate Base'!$D$75*VLOOKUP($E$40,'G-7 Allocations'!$D$5:$N$106,'G-3 COST OF SERVICE'!L77,FALSE)</f>
        <v>0</v>
      </c>
      <c r="M40" s="401">
        <f>+'G-5 Function Rate Base'!$D$75*VLOOKUP($E$40,'G-7 Allocations'!$D$5:$N$106,'G-3 COST OF SERVICE'!M77,FALSE)</f>
        <v>324980.77388253273</v>
      </c>
      <c r="N40" s="401">
        <f>+'G-5 Function Rate Base'!$D$75*VLOOKUP($E$40,'G-7 Allocations'!$D$5:$N$106,'G-3 COST OF SERVICE'!N77,FALSE)</f>
        <v>0</v>
      </c>
      <c r="O40" s="401">
        <f>+'G-5 Function Rate Base'!$D$75*VLOOKUP($E$40,'G-7 Allocations'!$D$5:$N$106,'G-3 COST OF SERVICE'!O77,FALSE)</f>
        <v>0</v>
      </c>
      <c r="P40" s="313"/>
      <c r="Q40" s="398">
        <f>F40-'Rate Base'!C73</f>
        <v>0</v>
      </c>
      <c r="R40" s="313"/>
      <c r="S40" s="313">
        <f>SUM(G40,J40,M40)-'G-5 Function Rate Base'!E75</f>
        <v>0</v>
      </c>
      <c r="T40" s="313">
        <f>SUM(H40,K40,N40)-'G-5 Function Rate Base'!F75</f>
        <v>0</v>
      </c>
      <c r="U40" s="313">
        <f>SUM(I40,L40,O40)-'G-5 Function Rate Base'!G75</f>
        <v>0</v>
      </c>
    </row>
    <row r="41" spans="1:21">
      <c r="A41" s="320">
        <f t="shared" si="5"/>
        <v>38</v>
      </c>
      <c r="B41" s="385">
        <f t="shared" si="6"/>
        <v>380</v>
      </c>
      <c r="C41" s="379" t="s">
        <v>86</v>
      </c>
      <c r="D41" s="306" t="s">
        <v>87</v>
      </c>
      <c r="E41" s="379">
        <f>_xlfn.IFNA(VLOOKUP(D41,'G-7 Allocations'!$C$63:$D$106,2,),VLOOKUP(D41,'G-7 Allocations'!$C$10:$D$15,2,))</f>
        <v>4</v>
      </c>
      <c r="F41" s="403">
        <f t="shared" si="4"/>
        <v>74196129.296303704</v>
      </c>
      <c r="G41" s="403">
        <f>+'G-5 Function Rate Base'!$D$76*VLOOKUP($E$41,'G-7 Allocations'!$D$5:$N$106,'G-3 COST OF SERVICE'!G77,FALSE)</f>
        <v>0</v>
      </c>
      <c r="H41" s="403">
        <f>+'G-5 Function Rate Base'!$D$76*VLOOKUP($E$41,'G-7 Allocations'!$D$5:$N$106,'G-3 COST OF SERVICE'!H77,FALSE)</f>
        <v>0</v>
      </c>
      <c r="I41" s="403">
        <f>+'G-5 Function Rate Base'!$D$76*VLOOKUP($E$41,'G-7 Allocations'!$D$5:$N$106,'G-3 COST OF SERVICE'!I77,FALSE)</f>
        <v>68366171.017132208</v>
      </c>
      <c r="J41" s="403">
        <f>+'G-5 Function Rate Base'!$D$76*VLOOKUP($E$41,'G-7 Allocations'!$D$5:$N$106,'G-3 COST OF SERVICE'!J77,FALSE)</f>
        <v>0</v>
      </c>
      <c r="K41" s="403">
        <f>+'G-5 Function Rate Base'!$D$76*VLOOKUP($E$41,'G-7 Allocations'!$D$5:$N$106,'G-3 COST OF SERVICE'!K77,FALSE)</f>
        <v>0</v>
      </c>
      <c r="L41" s="403">
        <f>+'G-5 Function Rate Base'!$D$76*VLOOKUP($E$41,'G-7 Allocations'!$D$5:$N$106,'G-3 COST OF SERVICE'!L77,FALSE)</f>
        <v>5763887.2705524722</v>
      </c>
      <c r="M41" s="403">
        <f>+'G-5 Function Rate Base'!$D$76*VLOOKUP($E$41,'G-7 Allocations'!$D$5:$N$106,'G-3 COST OF SERVICE'!M77,FALSE)</f>
        <v>0</v>
      </c>
      <c r="N41" s="403">
        <f>+'G-5 Function Rate Base'!$D$76*VLOOKUP($E$41,'G-7 Allocations'!$D$5:$N$106,'G-3 COST OF SERVICE'!N77,FALSE)</f>
        <v>0</v>
      </c>
      <c r="O41" s="403">
        <f>+'G-5 Function Rate Base'!$D$76*VLOOKUP($E$41,'G-7 Allocations'!$D$5:$N$106,'G-3 COST OF SERVICE'!O77,FALSE)</f>
        <v>66071.008619032145</v>
      </c>
      <c r="P41" s="313"/>
      <c r="Q41" s="398">
        <f>F41-'Rate Base'!C74</f>
        <v>0</v>
      </c>
      <c r="R41" s="313"/>
      <c r="S41" s="313">
        <f>SUM(G41,J41,M41)-'G-5 Function Rate Base'!E76</f>
        <v>0</v>
      </c>
      <c r="T41" s="313">
        <f>SUM(H41,K41,N41)-'G-5 Function Rate Base'!F76</f>
        <v>0</v>
      </c>
      <c r="U41" s="313">
        <f>SUM(I41,L41,O41)-'G-5 Function Rate Base'!G76</f>
        <v>0</v>
      </c>
    </row>
    <row r="42" spans="1:21">
      <c r="A42" s="320">
        <f t="shared" si="5"/>
        <v>39</v>
      </c>
      <c r="B42" s="385">
        <f t="shared" si="6"/>
        <v>381</v>
      </c>
      <c r="C42" s="379" t="s">
        <v>88</v>
      </c>
      <c r="D42" s="306" t="s">
        <v>89</v>
      </c>
      <c r="E42" s="379">
        <f>_xlfn.IFNA(VLOOKUP(D42,'G-7 Allocations'!$C$63:$D$106,2,),VLOOKUP(D42,'G-7 Allocations'!$C$10:$D$15,2,))</f>
        <v>5</v>
      </c>
      <c r="F42" s="403">
        <f t="shared" si="4"/>
        <v>7955789.7595603252</v>
      </c>
      <c r="G42" s="403">
        <f>+'G-5 Function Rate Base'!$D$77*VLOOKUP($E$42,'G-7 Allocations'!$D$5:$N$106,'G-3 COST OF SERVICE'!G77,FALSE)</f>
        <v>0</v>
      </c>
      <c r="H42" s="403">
        <f>+'G-5 Function Rate Base'!$D$77*VLOOKUP($E$42,'G-7 Allocations'!$D$5:$N$106,'G-3 COST OF SERVICE'!H77,FALSE)</f>
        <v>0</v>
      </c>
      <c r="I42" s="403">
        <f>+'G-5 Function Rate Base'!$D$77*VLOOKUP($E$42,'G-7 Allocations'!$D$5:$N$106,'G-3 COST OF SERVICE'!I77,FALSE)</f>
        <v>6283705.2918195333</v>
      </c>
      <c r="J42" s="403">
        <f>+'G-5 Function Rate Base'!$D$77*VLOOKUP($E$42,'G-7 Allocations'!$D$5:$N$106,'G-3 COST OF SERVICE'!J77,FALSE)</f>
        <v>0</v>
      </c>
      <c r="K42" s="403">
        <f>+'G-5 Function Rate Base'!$D$77*VLOOKUP($E$42,'G-7 Allocations'!$D$5:$N$106,'G-3 COST OF SERVICE'!K77,FALSE)</f>
        <v>0</v>
      </c>
      <c r="L42" s="403">
        <f>+'G-5 Function Rate Base'!$D$77*VLOOKUP($E$42,'G-7 Allocations'!$D$5:$N$106,'G-3 COST OF SERVICE'!L77,FALSE)</f>
        <v>1613482.698755818</v>
      </c>
      <c r="M42" s="403">
        <f>+'G-5 Function Rate Base'!$D$77*VLOOKUP($E$42,'G-7 Allocations'!$D$5:$N$106,'G-3 COST OF SERVICE'!M77,FALSE)</f>
        <v>0</v>
      </c>
      <c r="N42" s="403">
        <f>+'G-5 Function Rate Base'!$D$77*VLOOKUP($E$42,'G-7 Allocations'!$D$5:$N$106,'G-3 COST OF SERVICE'!N77,FALSE)</f>
        <v>0</v>
      </c>
      <c r="O42" s="403">
        <f>+'G-5 Function Rate Base'!$D$77*VLOOKUP($E$42,'G-7 Allocations'!$D$5:$N$106,'G-3 COST OF SERVICE'!O77,FALSE)</f>
        <v>58601.768984974362</v>
      </c>
      <c r="P42" s="313"/>
      <c r="Q42" s="398">
        <f>F42-'Rate Base'!C75</f>
        <v>0</v>
      </c>
      <c r="R42" s="313"/>
      <c r="S42" s="313">
        <f>SUM(G42,J42,M42)-'G-5 Function Rate Base'!E77</f>
        <v>0</v>
      </c>
      <c r="T42" s="313">
        <f>SUM(H42,K42,N42)-'G-5 Function Rate Base'!F77</f>
        <v>0</v>
      </c>
      <c r="U42" s="313">
        <f>SUM(I42,L42,O42)-'G-5 Function Rate Base'!G77</f>
        <v>0</v>
      </c>
    </row>
    <row r="43" spans="1:21">
      <c r="A43" s="320">
        <f t="shared" si="5"/>
        <v>40</v>
      </c>
      <c r="B43" s="385">
        <f t="shared" si="6"/>
        <v>382</v>
      </c>
      <c r="C43" s="379" t="s">
        <v>90</v>
      </c>
      <c r="D43" s="306" t="s">
        <v>91</v>
      </c>
      <c r="E43" s="379">
        <f>_xlfn.IFNA(VLOOKUP(D43,'G-7 Allocations'!$C$63:$D$106,2,),VLOOKUP(D43,'G-7 Allocations'!$C$10:$D$15,2,))</f>
        <v>6</v>
      </c>
      <c r="F43" s="403">
        <f t="shared" si="4"/>
        <v>2202668.2624319443</v>
      </c>
      <c r="G43" s="403">
        <f>+'G-5 Function Rate Base'!$D$78*VLOOKUP($E$43,'G-7 Allocations'!$D$5:$N$106,'G-3 COST OF SERVICE'!G77,FALSE)</f>
        <v>0</v>
      </c>
      <c r="H43" s="403">
        <f>+'G-5 Function Rate Base'!$D$78*VLOOKUP($E$43,'G-7 Allocations'!$D$5:$N$106,'G-3 COST OF SERVICE'!H77,FALSE)</f>
        <v>0</v>
      </c>
      <c r="I43" s="403">
        <f>+'G-5 Function Rate Base'!$D$78*VLOOKUP($E$43,'G-7 Allocations'!$D$5:$N$106,'G-3 COST OF SERVICE'!I77,FALSE)</f>
        <v>2030084.7759444925</v>
      </c>
      <c r="J43" s="403">
        <f>+'G-5 Function Rate Base'!$D$78*VLOOKUP($E$43,'G-7 Allocations'!$D$5:$N$106,'G-3 COST OF SERVICE'!J77,FALSE)</f>
        <v>0</v>
      </c>
      <c r="K43" s="403">
        <f>+'G-5 Function Rate Base'!$D$78*VLOOKUP($E$43,'G-7 Allocations'!$D$5:$N$106,'G-3 COST OF SERVICE'!K77,FALSE)</f>
        <v>0</v>
      </c>
      <c r="L43" s="403">
        <f>+'G-5 Function Rate Base'!$D$78*VLOOKUP($E$43,'G-7 Allocations'!$D$5:$N$106,'G-3 COST OF SERVICE'!L77,FALSE)</f>
        <v>171577.51487454178</v>
      </c>
      <c r="M43" s="403">
        <f>+'G-5 Function Rate Base'!$D$78*VLOOKUP($E$43,'G-7 Allocations'!$D$5:$N$106,'G-3 COST OF SERVICE'!M77,FALSE)</f>
        <v>0</v>
      </c>
      <c r="N43" s="403">
        <f>+'G-5 Function Rate Base'!$D$78*VLOOKUP($E$43,'G-7 Allocations'!$D$5:$N$106,'G-3 COST OF SERVICE'!N77,FALSE)</f>
        <v>0</v>
      </c>
      <c r="O43" s="403">
        <f>+'G-5 Function Rate Base'!$D$78*VLOOKUP($E$43,'G-7 Allocations'!$D$5:$N$106,'G-3 COST OF SERVICE'!O77,FALSE)</f>
        <v>1005.9716129097399</v>
      </c>
      <c r="P43" s="313"/>
      <c r="Q43" s="398">
        <f>F43-'Rate Base'!C76</f>
        <v>0</v>
      </c>
      <c r="R43" s="313"/>
      <c r="S43" s="313">
        <f>SUM(G43,J43,M43)-'G-5 Function Rate Base'!E78</f>
        <v>0</v>
      </c>
      <c r="T43" s="313">
        <f>SUM(H43,K43,N43)-'G-5 Function Rate Base'!F78</f>
        <v>0</v>
      </c>
      <c r="U43" s="313">
        <f>SUM(I43,L43,O43)-'G-5 Function Rate Base'!G78</f>
        <v>0</v>
      </c>
    </row>
    <row r="44" spans="1:21">
      <c r="A44" s="320">
        <f t="shared" si="5"/>
        <v>41</v>
      </c>
      <c r="B44" s="385">
        <f t="shared" si="6"/>
        <v>383</v>
      </c>
      <c r="C44" s="379" t="s">
        <v>92</v>
      </c>
      <c r="D44" s="306" t="s">
        <v>93</v>
      </c>
      <c r="E44" s="379">
        <f>_xlfn.IFNA(VLOOKUP(D44,'G-7 Allocations'!$C$63:$D$106,2,),VLOOKUP(D44,'G-7 Allocations'!$C$10:$D$15,2,))</f>
        <v>7</v>
      </c>
      <c r="F44" s="403">
        <f t="shared" si="4"/>
        <v>2760214.2537483545</v>
      </c>
      <c r="G44" s="403">
        <f>+'G-5 Function Rate Base'!$D$79*VLOOKUP($E$44,'G-7 Allocations'!$D$5:$N$106,'G-3 COST OF SERVICE'!G77,FALSE)</f>
        <v>0</v>
      </c>
      <c r="H44" s="403">
        <f>+'G-5 Function Rate Base'!$D$79*VLOOKUP($E$44,'G-7 Allocations'!$D$5:$N$106,'G-3 COST OF SERVICE'!H77,FALSE)</f>
        <v>0</v>
      </c>
      <c r="I44" s="403">
        <f>+'G-5 Function Rate Base'!$D$79*VLOOKUP($E$44,'G-7 Allocations'!$D$5:$N$106,'G-3 COST OF SERVICE'!I77,FALSE)</f>
        <v>2375980.5719328742</v>
      </c>
      <c r="J44" s="403">
        <f>+'G-5 Function Rate Base'!$D$79*VLOOKUP($E$44,'G-7 Allocations'!$D$5:$N$106,'G-3 COST OF SERVICE'!J77,FALSE)</f>
        <v>0</v>
      </c>
      <c r="K44" s="403">
        <f>+'G-5 Function Rate Base'!$D$79*VLOOKUP($E$44,'G-7 Allocations'!$D$5:$N$106,'G-3 COST OF SERVICE'!K77,FALSE)</f>
        <v>0</v>
      </c>
      <c r="L44" s="403">
        <f>+'G-5 Function Rate Base'!$D$79*VLOOKUP($E$44,'G-7 Allocations'!$D$5:$N$106,'G-3 COST OF SERVICE'!L77,FALSE)</f>
        <v>366815.1896983856</v>
      </c>
      <c r="M44" s="403">
        <f>+'G-5 Function Rate Base'!$D$79*VLOOKUP($E$44,'G-7 Allocations'!$D$5:$N$106,'G-3 COST OF SERVICE'!M77,FALSE)</f>
        <v>0</v>
      </c>
      <c r="N44" s="403">
        <f>+'G-5 Function Rate Base'!$D$79*VLOOKUP($E$44,'G-7 Allocations'!$D$5:$N$106,'G-3 COST OF SERVICE'!N77,FALSE)</f>
        <v>0</v>
      </c>
      <c r="O44" s="403">
        <f>+'G-5 Function Rate Base'!$D$79*VLOOKUP($E$44,'G-7 Allocations'!$D$5:$N$106,'G-3 COST OF SERVICE'!O77,FALSE)</f>
        <v>17418.492117094764</v>
      </c>
      <c r="P44" s="313"/>
      <c r="Q44" s="398">
        <f>F44-'Rate Base'!C77</f>
        <v>0</v>
      </c>
      <c r="R44" s="313"/>
      <c r="S44" s="313">
        <f>SUM(G44,J44,M44)-'G-5 Function Rate Base'!E79</f>
        <v>0</v>
      </c>
      <c r="T44" s="313">
        <f>SUM(H44,K44,N44)-'G-5 Function Rate Base'!F79</f>
        <v>0</v>
      </c>
      <c r="U44" s="313">
        <f>SUM(I44,L44,O44)-'G-5 Function Rate Base'!G79</f>
        <v>0</v>
      </c>
    </row>
    <row r="45" spans="1:21">
      <c r="A45" s="320">
        <f t="shared" si="5"/>
        <v>42</v>
      </c>
      <c r="B45" s="385">
        <f t="shared" si="6"/>
        <v>384</v>
      </c>
      <c r="C45" s="379" t="s">
        <v>109</v>
      </c>
      <c r="D45" s="306" t="s">
        <v>95</v>
      </c>
      <c r="E45" s="379">
        <f>_xlfn.IFNA(VLOOKUP(D45,'G-7 Allocations'!$C$63:$D$106,2,),VLOOKUP(D45,'G-7 Allocations'!$C$10:$D$15,2,))</f>
        <v>8</v>
      </c>
      <c r="F45" s="403">
        <f t="shared" si="4"/>
        <v>1602310.7255132014</v>
      </c>
      <c r="G45" s="403">
        <f>+'G-5 Function Rate Base'!$D$80*VLOOKUP($E$45,'G-7 Allocations'!$D$5:$N$106,'G-3 COST OF SERVICE'!G77,FALSE)</f>
        <v>0</v>
      </c>
      <c r="H45" s="403">
        <f>+'G-5 Function Rate Base'!$D$80*VLOOKUP($E$45,'G-7 Allocations'!$D$5:$N$106,'G-3 COST OF SERVICE'!H77,FALSE)</f>
        <v>0</v>
      </c>
      <c r="I45" s="403">
        <f>+'G-5 Function Rate Base'!$D$80*VLOOKUP($E$45,'G-7 Allocations'!$D$5:$N$106,'G-3 COST OF SERVICE'!I77,FALSE)</f>
        <v>1476766.4589698638</v>
      </c>
      <c r="J45" s="403">
        <f>+'G-5 Function Rate Base'!$D$80*VLOOKUP($E$45,'G-7 Allocations'!$D$5:$N$106,'G-3 COST OF SERVICE'!J77,FALSE)</f>
        <v>0</v>
      </c>
      <c r="K45" s="403">
        <f>+'G-5 Function Rate Base'!$D$80*VLOOKUP($E$45,'G-7 Allocations'!$D$5:$N$106,'G-3 COST OF SERVICE'!K77,FALSE)</f>
        <v>0</v>
      </c>
      <c r="L45" s="403">
        <f>+'G-5 Function Rate Base'!$D$80*VLOOKUP($E$45,'G-7 Allocations'!$D$5:$N$106,'G-3 COST OF SERVICE'!L77,FALSE)</f>
        <v>124812.48176556654</v>
      </c>
      <c r="M45" s="403">
        <f>+'G-5 Function Rate Base'!$D$80*VLOOKUP($E$45,'G-7 Allocations'!$D$5:$N$106,'G-3 COST OF SERVICE'!M77,FALSE)</f>
        <v>0</v>
      </c>
      <c r="N45" s="403">
        <f>+'G-5 Function Rate Base'!$D$80*VLOOKUP($E$45,'G-7 Allocations'!$D$5:$N$106,'G-3 COST OF SERVICE'!N77,FALSE)</f>
        <v>0</v>
      </c>
      <c r="O45" s="403">
        <f>+'G-5 Function Rate Base'!$D$80*VLOOKUP($E$45,'G-7 Allocations'!$D$5:$N$106,'G-3 COST OF SERVICE'!O77,FALSE)</f>
        <v>731.78477777104354</v>
      </c>
      <c r="P45" s="313"/>
      <c r="Q45" s="398">
        <f>F45-'Rate Base'!C78</f>
        <v>0</v>
      </c>
      <c r="R45" s="313"/>
      <c r="S45" s="313">
        <f>SUM(G45,J45,M45)-'G-5 Function Rate Base'!E80</f>
        <v>0</v>
      </c>
      <c r="T45" s="313">
        <f>SUM(H45,K45,N45)-'G-5 Function Rate Base'!F80</f>
        <v>0</v>
      </c>
      <c r="U45" s="313">
        <f>SUM(I45,L45,O45)-'G-5 Function Rate Base'!G80</f>
        <v>0</v>
      </c>
    </row>
    <row r="46" spans="1:21">
      <c r="A46" s="320">
        <f t="shared" si="5"/>
        <v>43</v>
      </c>
      <c r="B46" s="385">
        <v>385</v>
      </c>
      <c r="C46" s="379" t="s">
        <v>96</v>
      </c>
      <c r="D46" s="306" t="s">
        <v>97</v>
      </c>
      <c r="E46" s="379">
        <f>_xlfn.IFNA(VLOOKUP(D46,'G-7 Allocations'!$C$63:$D$106,2,),VLOOKUP(D46,'G-7 Allocations'!$C$10:$D$15,2,))</f>
        <v>9</v>
      </c>
      <c r="F46" s="403">
        <f t="shared" si="4"/>
        <v>1086037.8183738508</v>
      </c>
      <c r="G46" s="403">
        <f>+'G-5 Function Rate Base'!$D$81*VLOOKUP($E$46,'G-7 Allocations'!$D$5:$N$106,'G-3 COST OF SERVICE'!G77,FALSE)</f>
        <v>0</v>
      </c>
      <c r="H46" s="403">
        <f>+'G-5 Function Rate Base'!$D$81*VLOOKUP($E$46,'G-7 Allocations'!$D$5:$N$106,'G-3 COST OF SERVICE'!H77,FALSE)</f>
        <v>0</v>
      </c>
      <c r="I46" s="403">
        <f>+'G-5 Function Rate Base'!$D$81*VLOOKUP($E$46,'G-7 Allocations'!$D$5:$N$106,'G-3 COST OF SERVICE'!I77,FALSE)</f>
        <v>0</v>
      </c>
      <c r="J46" s="403">
        <f>+'G-5 Function Rate Base'!$D$81*VLOOKUP($E$46,'G-7 Allocations'!$D$5:$N$106,'G-3 COST OF SERVICE'!J77,FALSE)</f>
        <v>0</v>
      </c>
      <c r="K46" s="403">
        <f>+'G-5 Function Rate Base'!$D$81*VLOOKUP($E$46,'G-7 Allocations'!$D$5:$N$106,'G-3 COST OF SERVICE'!K77,FALSE)</f>
        <v>0</v>
      </c>
      <c r="L46" s="403">
        <f>+'G-5 Function Rate Base'!$D$81*VLOOKUP($E$46,'G-7 Allocations'!$D$5:$N$106,'G-3 COST OF SERVICE'!L77,FALSE)</f>
        <v>0</v>
      </c>
      <c r="M46" s="403">
        <f>+'G-5 Function Rate Base'!$D$81*VLOOKUP($E$46,'G-7 Allocations'!$D$5:$N$106,'G-3 COST OF SERVICE'!M77,FALSE)</f>
        <v>0</v>
      </c>
      <c r="N46" s="403">
        <f>+'G-5 Function Rate Base'!$D$81*VLOOKUP($E$46,'G-7 Allocations'!$D$5:$N$106,'G-3 COST OF SERVICE'!N77,FALSE)</f>
        <v>0</v>
      </c>
      <c r="O46" s="403">
        <f>+'G-5 Function Rate Base'!$D$81*VLOOKUP($E$46,'G-7 Allocations'!$D$5:$N$106,'G-3 COST OF SERVICE'!O77,FALSE)</f>
        <v>1086037.8183738508</v>
      </c>
      <c r="P46" s="313"/>
      <c r="Q46" s="398">
        <f>F46-'Rate Base'!C79</f>
        <v>0</v>
      </c>
      <c r="R46" s="313"/>
      <c r="S46" s="313">
        <f>SUM(G46,J46,M46)-'G-5 Function Rate Base'!E81</f>
        <v>0</v>
      </c>
      <c r="T46" s="313">
        <f>SUM(H46,K46,N46)-'G-5 Function Rate Base'!F81</f>
        <v>0</v>
      </c>
      <c r="U46" s="313">
        <f>SUM(I46,L46,O46)-'G-5 Function Rate Base'!G81</f>
        <v>0</v>
      </c>
    </row>
    <row r="47" spans="1:21">
      <c r="A47" s="320">
        <f t="shared" si="5"/>
        <v>44</v>
      </c>
      <c r="B47" s="385">
        <v>387</v>
      </c>
      <c r="C47" s="379" t="s">
        <v>98</v>
      </c>
      <c r="D47" s="379" t="str">
        <f>+'G-7 Allocations'!$C$13</f>
        <v>DISTR</v>
      </c>
      <c r="E47" s="379">
        <f>_xlfn.IFNA(VLOOKUP(D47,'G-7 Allocations'!$C$63:$D$106,2,),VLOOKUP(D47,'G-7 Allocations'!$C$10:$D$15,2,))</f>
        <v>42</v>
      </c>
      <c r="F47" s="402">
        <f t="shared" si="4"/>
        <v>1443407.579643711</v>
      </c>
      <c r="G47" s="401">
        <f>+'G-5 Function Rate Base'!$D$82*VLOOKUP($E$47,'G-7 Allocations'!$D$5:$N$106,'G-3 COST OF SERVICE'!G77,FALSE)</f>
        <v>790865.0701897213</v>
      </c>
      <c r="H47" s="401">
        <f>+'G-5 Function Rate Base'!$D$82*VLOOKUP($E$47,'G-7 Allocations'!$D$5:$N$106,'G-3 COST OF SERVICE'!H77,FALSE)</f>
        <v>0</v>
      </c>
      <c r="I47" s="401">
        <f>+'G-5 Function Rate Base'!$D$82*VLOOKUP($E$47,'G-7 Allocations'!$D$5:$N$106,'G-3 COST OF SERVICE'!I77,FALSE)</f>
        <v>0</v>
      </c>
      <c r="J47" s="401">
        <f>+'G-5 Function Rate Base'!$D$82*VLOOKUP($E$47,'G-7 Allocations'!$D$5:$N$106,'G-3 COST OF SERVICE'!J77,FALSE)</f>
        <v>340059.80809957429</v>
      </c>
      <c r="K47" s="401">
        <f>+'G-5 Function Rate Base'!$D$82*VLOOKUP($E$47,'G-7 Allocations'!$D$5:$N$106,'G-3 COST OF SERVICE'!K77,FALSE)</f>
        <v>0</v>
      </c>
      <c r="L47" s="401">
        <f>+'G-5 Function Rate Base'!$D$82*VLOOKUP($E$47,'G-7 Allocations'!$D$5:$N$106,'G-3 COST OF SERVICE'!L77,FALSE)</f>
        <v>0</v>
      </c>
      <c r="M47" s="401">
        <f>+'G-5 Function Rate Base'!$D$82*VLOOKUP($E$47,'G-7 Allocations'!$D$5:$N$106,'G-3 COST OF SERVICE'!M77,FALSE)</f>
        <v>312482.70135441545</v>
      </c>
      <c r="N47" s="401">
        <f>+'G-5 Function Rate Base'!$D$82*VLOOKUP($E$47,'G-7 Allocations'!$D$5:$N$106,'G-3 COST OF SERVICE'!N77,FALSE)</f>
        <v>0</v>
      </c>
      <c r="O47" s="401">
        <f>+'G-5 Function Rate Base'!$D$82*VLOOKUP($E$47,'G-7 Allocations'!$D$5:$N$106,'G-3 COST OF SERVICE'!O77,FALSE)</f>
        <v>0</v>
      </c>
      <c r="P47" s="313"/>
      <c r="Q47" s="398">
        <f>F47-'Rate Base'!C80</f>
        <v>0</v>
      </c>
      <c r="R47" s="313"/>
      <c r="S47" s="313">
        <f>SUM(G47,J47,M47)-'G-5 Function Rate Base'!E82</f>
        <v>0</v>
      </c>
      <c r="T47" s="313">
        <f>SUM(H47,K47,N47)-'G-5 Function Rate Base'!F82</f>
        <v>0</v>
      </c>
      <c r="U47" s="313">
        <f>SUM(I47,L47,O47)-'G-5 Function Rate Base'!G82</f>
        <v>0</v>
      </c>
    </row>
    <row r="48" spans="1:21">
      <c r="A48" s="320">
        <f t="shared" si="5"/>
        <v>45</v>
      </c>
      <c r="B48" s="400"/>
      <c r="C48" s="377" t="s">
        <v>110</v>
      </c>
      <c r="D48" s="377"/>
      <c r="E48" s="379"/>
      <c r="F48" s="394">
        <f t="shared" ref="F48:O48" si="7">SUM(F36:F47)</f>
        <v>196747765.41976044</v>
      </c>
      <c r="G48" s="399">
        <f t="shared" si="7"/>
        <v>29867418.962742757</v>
      </c>
      <c r="H48" s="399">
        <f t="shared" si="7"/>
        <v>0</v>
      </c>
      <c r="I48" s="394">
        <f t="shared" si="7"/>
        <v>128858029.01472066</v>
      </c>
      <c r="J48" s="394">
        <f t="shared" si="7"/>
        <v>12842530.469152451</v>
      </c>
      <c r="K48" s="394">
        <f t="shared" si="7"/>
        <v>0</v>
      </c>
      <c r="L48" s="394">
        <f t="shared" si="7"/>
        <v>12124906.294721566</v>
      </c>
      <c r="M48" s="394">
        <f t="shared" si="7"/>
        <v>11801067.099502871</v>
      </c>
      <c r="N48" s="394">
        <f t="shared" si="7"/>
        <v>0</v>
      </c>
      <c r="O48" s="394">
        <f t="shared" si="7"/>
        <v>1253813.5789201353</v>
      </c>
      <c r="P48" s="397"/>
      <c r="Q48" s="398">
        <f>F48-'Rate Base'!C82</f>
        <v>0</v>
      </c>
      <c r="R48" s="397"/>
      <c r="S48" s="313">
        <f>SUM(G48,J48,M48)-'G-5 Function Rate Base'!E83</f>
        <v>0</v>
      </c>
      <c r="T48" s="313">
        <f>SUM(H48,K48,N48)-'G-5 Function Rate Base'!F83</f>
        <v>0</v>
      </c>
      <c r="U48" s="313">
        <f>SUM(I48,L48,O48)-'G-5 Function Rate Base'!G83</f>
        <v>0</v>
      </c>
    </row>
    <row r="49" spans="1:21">
      <c r="A49" s="320">
        <f t="shared" si="5"/>
        <v>46</v>
      </c>
      <c r="B49" s="374"/>
      <c r="C49" s="377"/>
      <c r="D49" s="377"/>
      <c r="E49" s="379"/>
      <c r="F49" s="370"/>
      <c r="G49" s="396"/>
      <c r="H49" s="396"/>
      <c r="I49" s="396"/>
      <c r="J49" s="396"/>
      <c r="K49" s="396"/>
      <c r="L49" s="396"/>
      <c r="M49" s="396"/>
      <c r="N49" s="396"/>
      <c r="O49" s="396"/>
      <c r="P49" s="314"/>
      <c r="Q49" s="371"/>
      <c r="R49" s="314"/>
      <c r="S49" s="314"/>
      <c r="T49" s="314"/>
      <c r="U49" s="314"/>
    </row>
    <row r="50" spans="1:21">
      <c r="A50" s="320">
        <f t="shared" si="5"/>
        <v>47</v>
      </c>
      <c r="B50" s="374" t="s">
        <v>101</v>
      </c>
      <c r="C50" s="377" t="s">
        <v>111</v>
      </c>
      <c r="D50" s="379" t="s">
        <v>76</v>
      </c>
      <c r="E50" s="379">
        <f>_xlfn.IFNA(VLOOKUP(D50,'G-7 Allocations'!$C$63:$D$106,2,),VLOOKUP(D50,'G-7 Allocations'!$C$10:$D$15,2,))</f>
        <v>19</v>
      </c>
      <c r="F50" s="394">
        <f>SUM(G50:O50)</f>
        <v>23696110.293223858</v>
      </c>
      <c r="G50" s="375">
        <f>+'G-5 Function Rate Base'!$D$96*VLOOKUP($E$50,'G-7 Allocations'!$D$5:$N$106,'G-3 COST OF SERVICE'!G77,FALSE)</f>
        <v>3680937.346208951</v>
      </c>
      <c r="H50" s="375">
        <f>+'G-5 Function Rate Base'!$D$96*VLOOKUP($E$50,'G-7 Allocations'!$D$5:$N$106,'G-3 COST OF SERVICE'!H77,FALSE)</f>
        <v>0</v>
      </c>
      <c r="I50" s="375">
        <f>+'G-5 Function Rate Base'!$D$96*VLOOKUP($E$50,'G-7 Allocations'!$D$5:$N$106,'G-3 COST OF SERVICE'!I77,FALSE)</f>
        <v>15261968.970171999</v>
      </c>
      <c r="J50" s="375">
        <f>+'G-5 Function Rate Base'!$D$96*VLOOKUP($E$50,'G-7 Allocations'!$D$5:$N$106,'G-3 COST OF SERVICE'!J77,FALSE)</f>
        <v>1582746.4061323272</v>
      </c>
      <c r="K50" s="375">
        <f>+'G-5 Function Rate Base'!$D$96*VLOOKUP($E$50,'G-7 Allocations'!$D$5:$N$106,'G-3 COST OF SERVICE'!K77,FALSE)</f>
        <v>0</v>
      </c>
      <c r="L50" s="375">
        <f>+'G-5 Function Rate Base'!$D$96*VLOOKUP($E$50,'G-7 Allocations'!$D$5:$N$106,'G-3 COST OF SERVICE'!L77,FALSE)</f>
        <v>1566491.0042962534</v>
      </c>
      <c r="M50" s="375">
        <f>+'G-5 Function Rate Base'!$D$96*VLOOKUP($E$50,'G-7 Allocations'!$D$5:$N$106,'G-3 COST OF SERVICE'!M77,FALSE)</f>
        <v>1454393.7882903295</v>
      </c>
      <c r="N50" s="375">
        <f>+'G-5 Function Rate Base'!$D$96*VLOOKUP($E$50,'G-7 Allocations'!$D$5:$N$106,'G-3 COST OF SERVICE'!N77,FALSE)</f>
        <v>0</v>
      </c>
      <c r="O50" s="375">
        <f>+'G-5 Function Rate Base'!$D$96*VLOOKUP($E$50,'G-7 Allocations'!$D$5:$N$106,'G-3 COST OF SERVICE'!O77,FALSE)</f>
        <v>149572.7781239973</v>
      </c>
      <c r="P50" s="314"/>
      <c r="Q50" s="371">
        <f>F50-'Rate Base'!C96</f>
        <v>0</v>
      </c>
      <c r="R50" s="314"/>
      <c r="S50" s="314">
        <f>SUM(G50,J50,M50)-'G-5 Function Rate Base'!E96</f>
        <v>0</v>
      </c>
      <c r="T50" s="314">
        <f>SUM(H50,K50,N50)-'G-5 Function Rate Base'!F96</f>
        <v>0</v>
      </c>
      <c r="U50" s="314">
        <f>SUM(I50,L50,O50)-'G-5 Function Rate Base'!G96</f>
        <v>0</v>
      </c>
    </row>
    <row r="51" spans="1:21">
      <c r="A51" s="320">
        <f t="shared" si="5"/>
        <v>48</v>
      </c>
      <c r="B51" s="381"/>
      <c r="C51" s="381"/>
      <c r="D51" s="379"/>
      <c r="E51" s="379"/>
      <c r="F51" s="380"/>
      <c r="G51" s="395"/>
      <c r="H51" s="395"/>
      <c r="I51" s="395"/>
      <c r="J51" s="395"/>
      <c r="K51" s="395"/>
      <c r="L51" s="395"/>
      <c r="M51" s="395"/>
      <c r="N51" s="395"/>
      <c r="O51" s="395"/>
      <c r="P51" s="314"/>
      <c r="Q51" s="371"/>
      <c r="R51" s="314"/>
      <c r="S51" s="314"/>
      <c r="T51" s="314"/>
      <c r="U51" s="314"/>
    </row>
    <row r="52" spans="1:21">
      <c r="A52" s="320">
        <f t="shared" si="5"/>
        <v>49</v>
      </c>
      <c r="B52" s="381"/>
      <c r="C52" s="387" t="s">
        <v>112</v>
      </c>
      <c r="D52" s="379"/>
      <c r="E52" s="379"/>
      <c r="F52" s="394">
        <f t="shared" ref="F52:O52" si="8">+F50+F48+F33+F31</f>
        <v>230512145.60347921</v>
      </c>
      <c r="G52" s="394">
        <f t="shared" si="8"/>
        <v>38916316.660340466</v>
      </c>
      <c r="H52" s="394">
        <f t="shared" si="8"/>
        <v>0</v>
      </c>
      <c r="I52" s="394">
        <f t="shared" si="8"/>
        <v>144363792.78729448</v>
      </c>
      <c r="J52" s="394">
        <f t="shared" si="8"/>
        <v>16733417.20893421</v>
      </c>
      <c r="K52" s="394">
        <f t="shared" si="8"/>
        <v>0</v>
      </c>
      <c r="L52" s="394">
        <f t="shared" si="8"/>
        <v>13716420.437618287</v>
      </c>
      <c r="M52" s="394">
        <f t="shared" si="8"/>
        <v>15376422.875611128</v>
      </c>
      <c r="N52" s="394">
        <f t="shared" si="8"/>
        <v>0</v>
      </c>
      <c r="O52" s="394">
        <f t="shared" si="8"/>
        <v>1405775.6336806335</v>
      </c>
      <c r="P52" s="314"/>
      <c r="Q52" s="371">
        <f>F52-'Rate Base'!C103</f>
        <v>0</v>
      </c>
      <c r="R52" s="314"/>
      <c r="S52" s="314">
        <f>SUM(G52,J52,M52)-'G-5 Function Rate Base'!E103</f>
        <v>0</v>
      </c>
      <c r="T52" s="314">
        <f>SUM(H52,K52,N52)-'G-5 Function Rate Base'!F103</f>
        <v>0</v>
      </c>
      <c r="U52" s="314">
        <f>SUM(I52,L52,O52)-'G-5 Function Rate Base'!G103</f>
        <v>0</v>
      </c>
    </row>
    <row r="53" spans="1:21">
      <c r="A53" s="320">
        <f t="shared" si="5"/>
        <v>50</v>
      </c>
      <c r="B53" s="381"/>
      <c r="C53" s="381"/>
      <c r="D53" s="379"/>
      <c r="E53" s="379"/>
      <c r="F53" s="376"/>
      <c r="G53" s="369"/>
      <c r="H53" s="369"/>
      <c r="I53" s="369"/>
      <c r="J53" s="369"/>
      <c r="K53" s="369"/>
      <c r="L53" s="369"/>
      <c r="M53" s="369"/>
      <c r="N53" s="369"/>
      <c r="O53" s="369"/>
      <c r="P53" s="314"/>
      <c r="Q53" s="371"/>
      <c r="R53" s="314"/>
      <c r="S53" s="314"/>
      <c r="T53" s="314"/>
      <c r="U53" s="314"/>
    </row>
    <row r="54" spans="1:21">
      <c r="A54" s="320">
        <f t="shared" si="5"/>
        <v>51</v>
      </c>
      <c r="B54" s="381"/>
      <c r="C54" s="377" t="s">
        <v>113</v>
      </c>
      <c r="D54" s="377"/>
      <c r="E54" s="379"/>
      <c r="F54" s="394">
        <f>+F27-F52</f>
        <v>362040671.39652079</v>
      </c>
      <c r="G54" s="394">
        <f t="shared" ref="G54:O54" si="9">+G27-SUM(G31,G33,G48,G50)</f>
        <v>53130427.339659534</v>
      </c>
      <c r="H54" s="394">
        <f t="shared" si="9"/>
        <v>0</v>
      </c>
      <c r="I54" s="394">
        <f t="shared" si="9"/>
        <v>237282080.21270552</v>
      </c>
      <c r="J54" s="394">
        <f t="shared" si="9"/>
        <v>22845265.79106579</v>
      </c>
      <c r="K54" s="394">
        <f t="shared" si="9"/>
        <v>0</v>
      </c>
      <c r="L54" s="394">
        <f t="shared" si="9"/>
        <v>25455774.562381715</v>
      </c>
      <c r="M54" s="394">
        <f t="shared" si="9"/>
        <v>20992632.124388874</v>
      </c>
      <c r="N54" s="394">
        <f t="shared" si="9"/>
        <v>0</v>
      </c>
      <c r="O54" s="394">
        <f t="shared" si="9"/>
        <v>2334491.3663193667</v>
      </c>
      <c r="P54" s="314"/>
      <c r="Q54" s="371">
        <f>F54-'Rate Base'!C110</f>
        <v>1.3945487141609192</v>
      </c>
      <c r="R54" s="314"/>
      <c r="S54" s="314">
        <f>SUM(G54,J54,M54)-'G-5 Function Rate Base'!E106</f>
        <v>0.55710521340370178</v>
      </c>
      <c r="T54" s="314">
        <f>SUM(H54,K54,N54)-'G-5 Function Rate Base'!F106</f>
        <v>0</v>
      </c>
      <c r="U54" s="314">
        <f>SUM(I54,L54,O54)-'G-5 Function Rate Base'!G106</f>
        <v>0.26744347810745239</v>
      </c>
    </row>
    <row r="55" spans="1:21">
      <c r="A55" s="320"/>
      <c r="B55" s="381"/>
      <c r="C55" s="381"/>
      <c r="D55" s="379"/>
      <c r="E55" s="379"/>
      <c r="F55" s="376"/>
      <c r="G55" s="393"/>
      <c r="H55" s="369"/>
      <c r="I55" s="369"/>
      <c r="J55" s="369"/>
      <c r="K55" s="369"/>
      <c r="L55" s="369"/>
      <c r="M55" s="369"/>
      <c r="N55" s="369"/>
      <c r="O55" s="369"/>
      <c r="P55" s="314"/>
      <c r="Q55" s="371"/>
      <c r="R55" s="314"/>
      <c r="S55" s="314"/>
      <c r="T55" s="314"/>
      <c r="U55" s="314"/>
    </row>
    <row r="56" spans="1:21">
      <c r="A56" s="320"/>
      <c r="B56" s="392"/>
      <c r="C56" s="377" t="s">
        <v>114</v>
      </c>
      <c r="D56" s="377"/>
      <c r="E56" s="379"/>
      <c r="F56" s="391"/>
      <c r="G56" s="391"/>
      <c r="H56" s="369"/>
      <c r="I56" s="369"/>
      <c r="J56" s="369"/>
      <c r="K56" s="369"/>
      <c r="L56" s="369"/>
      <c r="M56" s="369"/>
      <c r="N56" s="369"/>
      <c r="O56" s="369"/>
      <c r="P56" s="314"/>
      <c r="Q56" s="371"/>
      <c r="R56" s="314"/>
      <c r="S56" s="314"/>
      <c r="T56" s="314"/>
      <c r="U56" s="314"/>
    </row>
    <row r="57" spans="1:21">
      <c r="A57" s="320">
        <v>1</v>
      </c>
      <c r="B57" s="390" t="s">
        <v>115</v>
      </c>
      <c r="C57" s="379" t="s">
        <v>16</v>
      </c>
      <c r="D57" s="304" t="s">
        <v>76</v>
      </c>
      <c r="E57" s="379">
        <f>_xlfn.IFNA(VLOOKUP(D57,'G-7 Allocations'!$C$63:$D$106,2,),VLOOKUP(D57,'G-7 Allocations'!$C$10:$D$15,2,))</f>
        <v>19</v>
      </c>
      <c r="F57" s="375">
        <f>SUM(G57:O57)</f>
        <v>-5304562.0382017512</v>
      </c>
      <c r="G57" s="375">
        <f>+VLOOKUP($E$57,'G-7 Allocations'!$D$5:$N$106,'G-3 COST OF SERVICE'!G77,FALSE)*'G-5 Function Rate Base'!$D$109</f>
        <v>-824006.98975825962</v>
      </c>
      <c r="H57" s="375">
        <f>+VLOOKUP($E$57,'G-7 Allocations'!$D$5:$N$106,'G-3 COST OF SERVICE'!H77,FALSE)*'G-5 Function Rate Base'!$D$109</f>
        <v>0</v>
      </c>
      <c r="I57" s="375">
        <f>+VLOOKUP($E$57,'G-7 Allocations'!$D$5:$N$106,'G-3 COST OF SERVICE'!I77,FALSE)*'G-5 Function Rate Base'!$D$109</f>
        <v>-3416512.6776329298</v>
      </c>
      <c r="J57" s="375">
        <f>+VLOOKUP($E$57,'G-7 Allocations'!$D$5:$N$106,'G-3 COST OF SERVICE'!J77,FALSE)*'G-5 Function Rate Base'!$D$109</f>
        <v>-354310.32343188627</v>
      </c>
      <c r="K57" s="375">
        <f>+VLOOKUP($E$57,'G-7 Allocations'!$D$5:$N$106,'G-3 COST OF SERVICE'!K77,FALSE)*'G-5 Function Rate Base'!$D$109</f>
        <v>0</v>
      </c>
      <c r="L57" s="375">
        <f>+VLOOKUP($E$57,'G-7 Allocations'!$D$5:$N$106,'G-3 COST OF SERVICE'!L77,FALSE)*'G-5 Function Rate Base'!$D$109</f>
        <v>-350671.4229360522</v>
      </c>
      <c r="M57" s="375">
        <f>+VLOOKUP($E$57,'G-7 Allocations'!$D$5:$N$106,'G-3 COST OF SERVICE'!M77,FALSE)*'G-5 Function Rate Base'!$D$109</f>
        <v>-325577.57296426315</v>
      </c>
      <c r="N57" s="375">
        <f>+VLOOKUP($E$57,'G-7 Allocations'!$D$5:$N$106,'G-3 COST OF SERVICE'!N77,FALSE)*'G-5 Function Rate Base'!$D$109</f>
        <v>0</v>
      </c>
      <c r="O57" s="375">
        <f>+VLOOKUP($E$57,'G-7 Allocations'!$D$5:$N$106,'G-3 COST OF SERVICE'!O77,FALSE)*'G-5 Function Rate Base'!$D$109</f>
        <v>-33483.051478360794</v>
      </c>
      <c r="P57" s="314"/>
      <c r="Q57" s="371">
        <f>F57-'Rate Base'!C113</f>
        <v>0</v>
      </c>
      <c r="R57" s="314"/>
      <c r="S57" s="314">
        <f>SUM(G57,J57,M57)-'G-5 Function Rate Base'!E109</f>
        <v>0</v>
      </c>
      <c r="T57" s="314">
        <f>SUM(H57,K57,N57)-'G-5 Function Rate Base'!F109</f>
        <v>0</v>
      </c>
      <c r="U57" s="314">
        <f>SUM(I57,L57,O57)-'G-5 Function Rate Base'!G109</f>
        <v>0</v>
      </c>
    </row>
    <row r="58" spans="1:21">
      <c r="A58" s="320">
        <f t="shared" ref="A58:A67" si="10">+A57+1</f>
        <v>2</v>
      </c>
      <c r="B58" s="390" t="s">
        <v>116</v>
      </c>
      <c r="C58" s="379" t="s">
        <v>17</v>
      </c>
      <c r="D58" s="304" t="s">
        <v>76</v>
      </c>
      <c r="E58" s="379">
        <f>_xlfn.IFNA(VLOOKUP(D58,'G-7 Allocations'!$C$63:$D$106,2,),VLOOKUP(D58,'G-7 Allocations'!$C$10:$D$15,2,))</f>
        <v>19</v>
      </c>
      <c r="F58" s="376">
        <f>SUM(G58:O58)</f>
        <v>2592782.7800000003</v>
      </c>
      <c r="G58" s="389">
        <f>+VLOOKUP($E$58,'G-7 Allocations'!$D$5:$N$106,'G-3 COST OF SERVICE'!G77,FALSE)*'G-5 Function Rate Base'!$D$110</f>
        <v>402761.07966287754</v>
      </c>
      <c r="H58" s="389">
        <f>+VLOOKUP($E$58,'G-7 Allocations'!$D$5:$N$106,'G-3 COST OF SERVICE'!H77,FALSE)*'G-5 Function Rate Base'!$D$110</f>
        <v>0</v>
      </c>
      <c r="I58" s="389">
        <f>+VLOOKUP($E$58,'G-7 Allocations'!$D$5:$N$106,'G-3 COST OF SERVICE'!I77,FALSE)*'G-5 Function Rate Base'!$D$110</f>
        <v>1669935.2697591053</v>
      </c>
      <c r="J58" s="389">
        <f>+VLOOKUP($E$58,'G-7 Allocations'!$D$5:$N$106,'G-3 COST OF SERVICE'!J77,FALSE)*'G-5 Function Rate Base'!$D$110</f>
        <v>173181.06542153814</v>
      </c>
      <c r="K58" s="389">
        <f>+VLOOKUP($E$58,'G-7 Allocations'!$D$5:$N$106,'G-3 COST OF SERVICE'!K77,FALSE)*'G-5 Function Rate Base'!$D$110</f>
        <v>0</v>
      </c>
      <c r="L58" s="389">
        <f>+VLOOKUP($E$58,'G-7 Allocations'!$D$5:$N$106,'G-3 COST OF SERVICE'!L77,FALSE)*'G-5 Function Rate Base'!$D$110</f>
        <v>171402.43063966828</v>
      </c>
      <c r="M58" s="389">
        <f>+VLOOKUP($E$58,'G-7 Allocations'!$D$5:$N$106,'G-3 COST OF SERVICE'!M77,FALSE)*'G-5 Function Rate Base'!$D$110</f>
        <v>159136.96901961445</v>
      </c>
      <c r="N58" s="389">
        <f>+VLOOKUP($E$58,'G-7 Allocations'!$D$5:$N$106,'G-3 COST OF SERVICE'!N77,FALSE)*'G-5 Function Rate Base'!$D$110</f>
        <v>0</v>
      </c>
      <c r="O58" s="389">
        <f>+VLOOKUP($E$58,'G-7 Allocations'!$D$5:$N$106,'G-3 COST OF SERVICE'!O77,FALSE)*'G-5 Function Rate Base'!$D$110</f>
        <v>16365.96549719635</v>
      </c>
      <c r="P58" s="314"/>
      <c r="Q58" s="371">
        <f>F58-'Rate Base'!C114</f>
        <v>0</v>
      </c>
      <c r="R58" s="314"/>
      <c r="S58" s="314">
        <f>SUM(G58,J58,M58)-'G-5 Function Rate Base'!E110</f>
        <v>0</v>
      </c>
      <c r="T58" s="314">
        <f>SUM(H58,K58,N58)-'G-5 Function Rate Base'!F110</f>
        <v>0</v>
      </c>
      <c r="U58" s="314">
        <f>SUM(I58,L58,O58)-'G-5 Function Rate Base'!G110</f>
        <v>0</v>
      </c>
    </row>
    <row r="59" spans="1:21">
      <c r="A59" s="320">
        <f t="shared" si="10"/>
        <v>3</v>
      </c>
      <c r="B59" s="385">
        <v>165</v>
      </c>
      <c r="C59" s="381" t="s">
        <v>18</v>
      </c>
      <c r="D59" s="304" t="s">
        <v>76</v>
      </c>
      <c r="E59" s="379">
        <f>_xlfn.IFNA(VLOOKUP(D59,'G-7 Allocations'!$C$63:$D$106,2,),VLOOKUP(D59,'G-7 Allocations'!$C$10:$D$15,2,))</f>
        <v>19</v>
      </c>
      <c r="F59" s="380">
        <f>SUM(G59:O59)</f>
        <v>485024.13000000006</v>
      </c>
      <c r="G59" s="388">
        <f>VLOOKUP($E$59,'G-7 Allocations'!$D$5:$N$106,'G-3 COST OF SERVICE'!G77,FALSE)*'G-5 Function Rate Base'!$D$111</f>
        <v>75343.31212325774</v>
      </c>
      <c r="H59" s="388">
        <f>VLOOKUP($E$59,'G-7 Allocations'!$D$5:$N$106,'G-3 COST OF SERVICE'!H77,FALSE)*'G-5 Function Rate Base'!$D$111</f>
        <v>0</v>
      </c>
      <c r="I59" s="388">
        <f>VLOOKUP($E$59,'G-7 Allocations'!$D$5:$N$106,'G-3 COST OF SERVICE'!I77,FALSE)*'G-5 Function Rate Base'!$D$111</f>
        <v>312389.80280917534</v>
      </c>
      <c r="J59" s="388">
        <f>VLOOKUP($E$59,'G-7 Allocations'!$D$5:$N$106,'G-3 COST OF SERVICE'!J77,FALSE)*'G-5 Function Rate Base'!$D$111</f>
        <v>32396.464615734076</v>
      </c>
      <c r="K59" s="388">
        <f>VLOOKUP($E$59,'G-7 Allocations'!$D$5:$N$106,'G-3 COST OF SERVICE'!K77,FALSE)*'G-5 Function Rate Base'!$D$111</f>
        <v>0</v>
      </c>
      <c r="L59" s="388">
        <f>VLOOKUP($E$59,'G-7 Allocations'!$D$5:$N$106,'G-3 COST OF SERVICE'!L77,FALSE)*'G-5 Function Rate Base'!$D$111</f>
        <v>32063.740719880305</v>
      </c>
      <c r="M59" s="388">
        <f>VLOOKUP($E$59,'G-7 Allocations'!$D$5:$N$106,'G-3 COST OF SERVICE'!M77,FALSE)*'G-5 Function Rate Base'!$D$111</f>
        <v>29769.277451609523</v>
      </c>
      <c r="N59" s="388">
        <f>VLOOKUP($E$59,'G-7 Allocations'!$D$5:$N$106,'G-3 COST OF SERVICE'!N77,FALSE)*'G-5 Function Rate Base'!$D$111</f>
        <v>0</v>
      </c>
      <c r="O59" s="388">
        <f>VLOOKUP($E$59,'G-7 Allocations'!$D$5:$N$106,'G-3 COST OF SERVICE'!O77,FALSE)*'G-5 Function Rate Base'!$D$111</f>
        <v>3061.5322803430827</v>
      </c>
      <c r="P59" s="314"/>
      <c r="Q59" s="371">
        <f>F59-'Rate Base'!C115</f>
        <v>0</v>
      </c>
      <c r="R59" s="314"/>
      <c r="S59" s="314">
        <f>SUM(G59,J59,M59)-'G-5 Function Rate Base'!E111</f>
        <v>0</v>
      </c>
      <c r="T59" s="314">
        <f>SUM(H59,K59,N59)-'G-5 Function Rate Base'!F111</f>
        <v>0</v>
      </c>
      <c r="U59" s="314">
        <f>SUM(I59,L59,O59)-'G-5 Function Rate Base'!G111</f>
        <v>0</v>
      </c>
    </row>
    <row r="60" spans="1:21">
      <c r="A60" s="320">
        <f t="shared" si="10"/>
        <v>4</v>
      </c>
      <c r="B60" s="374"/>
      <c r="C60" s="387" t="s">
        <v>117</v>
      </c>
      <c r="D60" s="377"/>
      <c r="E60" s="379"/>
      <c r="F60" s="378">
        <f t="shared" ref="F60:O60" si="11">SUM(F57:F59)</f>
        <v>-2226755.128201751</v>
      </c>
      <c r="G60" s="378">
        <f t="shared" si="11"/>
        <v>-345902.59797212435</v>
      </c>
      <c r="H60" s="378">
        <f t="shared" si="11"/>
        <v>0</v>
      </c>
      <c r="I60" s="378">
        <f t="shared" si="11"/>
        <v>-1434187.6050646491</v>
      </c>
      <c r="J60" s="378">
        <f t="shared" si="11"/>
        <v>-148732.79339461407</v>
      </c>
      <c r="K60" s="378">
        <f t="shared" si="11"/>
        <v>0</v>
      </c>
      <c r="L60" s="378">
        <f t="shared" si="11"/>
        <v>-147205.25157650362</v>
      </c>
      <c r="M60" s="378">
        <f t="shared" si="11"/>
        <v>-136671.32649303917</v>
      </c>
      <c r="N60" s="378">
        <f t="shared" si="11"/>
        <v>0</v>
      </c>
      <c r="O60" s="378">
        <f t="shared" si="11"/>
        <v>-14055.553700821361</v>
      </c>
      <c r="P60" s="314"/>
      <c r="Q60" s="371">
        <f>F60-'Rate Base'!C116</f>
        <v>0</v>
      </c>
      <c r="R60" s="314"/>
      <c r="S60" s="314">
        <f>SUM(G60,J60,M60)-'G-5 Function Rate Base'!E112</f>
        <v>0</v>
      </c>
      <c r="T60" s="314">
        <f>SUM(H60,K60,N60)-'G-5 Function Rate Base'!F112</f>
        <v>0</v>
      </c>
      <c r="U60" s="314">
        <f>SUM(I60,L60,O60)-'G-5 Function Rate Base'!G112</f>
        <v>0</v>
      </c>
    </row>
    <row r="61" spans="1:21">
      <c r="A61" s="320">
        <f t="shared" si="10"/>
        <v>5</v>
      </c>
      <c r="B61" s="374"/>
      <c r="C61" s="387"/>
      <c r="D61" s="377"/>
      <c r="E61" s="379"/>
      <c r="F61" s="376"/>
      <c r="G61" s="369"/>
      <c r="H61" s="369"/>
      <c r="I61" s="369"/>
      <c r="J61" s="369"/>
      <c r="K61" s="369"/>
      <c r="L61" s="369"/>
      <c r="M61" s="369"/>
      <c r="N61" s="369"/>
      <c r="O61" s="369"/>
      <c r="P61" s="314"/>
      <c r="Q61" s="371"/>
      <c r="R61" s="314"/>
      <c r="S61" s="314"/>
      <c r="T61" s="314"/>
      <c r="U61" s="314"/>
    </row>
    <row r="62" spans="1:21">
      <c r="A62" s="320">
        <f t="shared" si="10"/>
        <v>6</v>
      </c>
      <c r="B62" s="386"/>
      <c r="C62" s="377" t="s">
        <v>118</v>
      </c>
      <c r="D62" s="377"/>
      <c r="E62" s="379"/>
      <c r="F62" s="376"/>
      <c r="G62" s="369"/>
      <c r="H62" s="369"/>
      <c r="I62" s="369"/>
      <c r="J62" s="369"/>
      <c r="K62" s="369"/>
      <c r="L62" s="369"/>
      <c r="M62" s="369"/>
      <c r="N62" s="369"/>
      <c r="O62" s="369"/>
      <c r="P62" s="314"/>
      <c r="Q62" s="371"/>
      <c r="R62" s="314"/>
      <c r="S62" s="314"/>
      <c r="T62" s="314"/>
      <c r="U62" s="314"/>
    </row>
    <row r="63" spans="1:21">
      <c r="A63" s="320">
        <f t="shared" si="10"/>
        <v>7</v>
      </c>
      <c r="B63" s="385">
        <v>252</v>
      </c>
      <c r="C63" s="381" t="s">
        <v>119</v>
      </c>
      <c r="D63" s="304" t="s">
        <v>120</v>
      </c>
      <c r="E63" s="379">
        <f>_xlfn.IFNA(VLOOKUP(D63,'G-7 Allocations'!$C$63:$D$106,2,),VLOOKUP(D63,'G-7 Allocations'!$C$10:$D$15,2,))</f>
        <v>3</v>
      </c>
      <c r="F63" s="375">
        <f>SUM(G63:O63)</f>
        <v>-5445150</v>
      </c>
      <c r="G63" s="375">
        <f>+VLOOKUP($E$63,'G-7 Allocations'!$D$5:$N$106,'G-3 COST OF SERVICE'!G77,FALSE)*'G-5 Function Rate Base'!$D$115</f>
        <v>0</v>
      </c>
      <c r="H63" s="375">
        <f>+VLOOKUP($E$63,'G-7 Allocations'!$D$5:$N$106,'G-3 COST OF SERVICE'!H77,FALSE)*'G-5 Function Rate Base'!$D$115</f>
        <v>0</v>
      </c>
      <c r="I63" s="375">
        <f>+VLOOKUP($E$63,'G-7 Allocations'!$D$5:$N$106,'G-3 COST OF SERVICE'!I77,FALSE)*'G-5 Function Rate Base'!$D$115</f>
        <v>-5018511.550863049</v>
      </c>
      <c r="J63" s="375">
        <f>+VLOOKUP($E$63,'G-7 Allocations'!$D$5:$N$106,'G-3 COST OF SERVICE'!J77,FALSE)*'G-5 Function Rate Base'!$D$115</f>
        <v>0</v>
      </c>
      <c r="K63" s="375">
        <f>+VLOOKUP($E$63,'G-7 Allocations'!$D$5:$N$106,'G-3 COST OF SERVICE'!K77,FALSE)*'G-5 Function Rate Base'!$D$115</f>
        <v>0</v>
      </c>
      <c r="L63" s="375">
        <f>+VLOOKUP($E$63,'G-7 Allocations'!$D$5:$N$106,'G-3 COST OF SERVICE'!L77,FALSE)*'G-5 Function Rate Base'!$D$115</f>
        <v>-424151.61695188645</v>
      </c>
      <c r="M63" s="375">
        <f>+VLOOKUP($E$63,'G-7 Allocations'!$D$5:$N$106,'G-3 COST OF SERVICE'!M77,FALSE)*'G-5 Function Rate Base'!$D$115</f>
        <v>0</v>
      </c>
      <c r="N63" s="375">
        <f>+VLOOKUP($E$63,'G-7 Allocations'!$D$5:$N$106,'G-3 COST OF SERVICE'!N77,FALSE)*'G-5 Function Rate Base'!$D$115</f>
        <v>0</v>
      </c>
      <c r="O63" s="375">
        <f>+VLOOKUP($E$63,'G-7 Allocations'!$D$5:$N$106,'G-3 COST OF SERVICE'!O77,FALSE)*'G-5 Function Rate Base'!$D$115</f>
        <v>-2486.8321850643242</v>
      </c>
      <c r="P63" s="314"/>
      <c r="Q63" s="371">
        <f>F63-'Rate Base'!C119</f>
        <v>0</v>
      </c>
      <c r="R63" s="314"/>
      <c r="S63" s="314">
        <f>SUM(G63,J63,M63)-'G-5 Function Rate Base'!E115</f>
        <v>0</v>
      </c>
      <c r="T63" s="314">
        <f>SUM(H63,K63,N63)-'G-5 Function Rate Base'!F115</f>
        <v>0</v>
      </c>
      <c r="U63" s="314">
        <f>SUM(I63,L63,O63)-'G-5 Function Rate Base'!G115</f>
        <v>0</v>
      </c>
    </row>
    <row r="64" spans="1:21">
      <c r="A64" s="320">
        <f t="shared" si="10"/>
        <v>8</v>
      </c>
      <c r="B64" s="385">
        <v>235</v>
      </c>
      <c r="C64" s="381" t="s">
        <v>20</v>
      </c>
      <c r="D64" s="304" t="s">
        <v>120</v>
      </c>
      <c r="E64" s="379">
        <f>_xlfn.IFNA(VLOOKUP(D64,'G-7 Allocations'!$C$63:$D$106,2,),VLOOKUP(D64,'G-7 Allocations'!$C$10:$D$15,2,))</f>
        <v>3</v>
      </c>
      <c r="F64" s="380">
        <f>SUM(G64:O64)</f>
        <v>-1598822.74</v>
      </c>
      <c r="G64" s="380">
        <f>+VLOOKUP($E$64,'G-7 Allocations'!$D$5:$N$106,'G-3 COST OF SERVICE'!G77,FALSE)*'G-5 Function Rate Base'!$D$116</f>
        <v>0</v>
      </c>
      <c r="H64" s="380">
        <f>+VLOOKUP($E$64,'G-7 Allocations'!$D$5:$N$106,'G-3 COST OF SERVICE'!H77,FALSE)*'G-5 Function Rate Base'!$D$116</f>
        <v>0</v>
      </c>
      <c r="I64" s="380">
        <f>+VLOOKUP($E$64,'G-7 Allocations'!$D$5:$N$106,'G-3 COST OF SERVICE'!I77,FALSE)*'G-5 Function Rate Base'!$D$116</f>
        <v>-1473551.7641336804</v>
      </c>
      <c r="J64" s="380">
        <f>+VLOOKUP($E$64,'G-7 Allocations'!$D$5:$N$106,'G-3 COST OF SERVICE'!J77,FALSE)*'G-5 Function Rate Base'!$D$116</f>
        <v>0</v>
      </c>
      <c r="K64" s="380">
        <f>+VLOOKUP($E$64,'G-7 Allocations'!$D$5:$N$106,'G-3 COST OF SERVICE'!K77,FALSE)*'G-5 Function Rate Base'!$D$116</f>
        <v>0</v>
      </c>
      <c r="L64" s="380">
        <f>+VLOOKUP($E$64,'G-7 Allocations'!$D$5:$N$106,'G-3 COST OF SERVICE'!L77,FALSE)*'G-5 Function Rate Base'!$D$116</f>
        <v>-124540.78407214595</v>
      </c>
      <c r="M64" s="380">
        <f>+VLOOKUP($E$64,'G-7 Allocations'!$D$5:$N$106,'G-3 COST OF SERVICE'!M77,FALSE)*'G-5 Function Rate Base'!$D$116</f>
        <v>0</v>
      </c>
      <c r="N64" s="380">
        <f>+VLOOKUP($E$64,'G-7 Allocations'!$D$5:$N$106,'G-3 COST OF SERVICE'!N77,FALSE)*'G-5 Function Rate Base'!$D$116</f>
        <v>0</v>
      </c>
      <c r="O64" s="380">
        <f>+VLOOKUP($E$64,'G-7 Allocations'!$D$5:$N$106,'G-3 COST OF SERVICE'!O77,FALSE)*'G-5 Function Rate Base'!$D$116</f>
        <v>-730.19179417366468</v>
      </c>
      <c r="P64" s="314"/>
      <c r="Q64" s="371">
        <f>F64-'Rate Base'!C120</f>
        <v>0</v>
      </c>
      <c r="R64" s="314"/>
      <c r="S64" s="314">
        <f>SUM(G64,J64,M64)-'G-5 Function Rate Base'!E116</f>
        <v>0</v>
      </c>
      <c r="T64" s="314">
        <f>SUM(H64,K64,N64)-'G-5 Function Rate Base'!F116</f>
        <v>0</v>
      </c>
      <c r="U64" s="314">
        <f>SUM(I64,L64,O64)-'G-5 Function Rate Base'!G116</f>
        <v>0</v>
      </c>
    </row>
    <row r="65" spans="1:21">
      <c r="A65" s="320">
        <f t="shared" si="10"/>
        <v>9</v>
      </c>
      <c r="B65" s="374"/>
      <c r="C65" s="377" t="s">
        <v>121</v>
      </c>
      <c r="D65" s="377"/>
      <c r="E65" s="379"/>
      <c r="F65" s="378">
        <f t="shared" ref="F65:O65" si="12">SUM(F63:F64)</f>
        <v>-7043972.7400000002</v>
      </c>
      <c r="G65" s="378">
        <f t="shared" si="12"/>
        <v>0</v>
      </c>
      <c r="H65" s="378">
        <f t="shared" si="12"/>
        <v>0</v>
      </c>
      <c r="I65" s="378">
        <f t="shared" si="12"/>
        <v>-6492063.3149967296</v>
      </c>
      <c r="J65" s="378">
        <f t="shared" si="12"/>
        <v>0</v>
      </c>
      <c r="K65" s="378">
        <f t="shared" si="12"/>
        <v>0</v>
      </c>
      <c r="L65" s="378">
        <f t="shared" si="12"/>
        <v>-548692.40102403238</v>
      </c>
      <c r="M65" s="378">
        <f t="shared" si="12"/>
        <v>0</v>
      </c>
      <c r="N65" s="378">
        <f t="shared" si="12"/>
        <v>0</v>
      </c>
      <c r="O65" s="378">
        <f t="shared" si="12"/>
        <v>-3217.0239792379889</v>
      </c>
      <c r="P65" s="314"/>
      <c r="Q65" s="371">
        <f>F65-'Rate Base'!C121</f>
        <v>0</v>
      </c>
      <c r="R65" s="314"/>
      <c r="S65" s="314">
        <f>SUM(G65,J65,M65)-'G-5 Function Rate Base'!E117</f>
        <v>0</v>
      </c>
      <c r="T65" s="314">
        <f>SUM(H65,K65,N65)-'G-5 Function Rate Base'!F117</f>
        <v>0</v>
      </c>
      <c r="U65" s="314">
        <f>SUM(I65,L65,O65)-'G-5 Function Rate Base'!G117</f>
        <v>0</v>
      </c>
    </row>
    <row r="66" spans="1:21">
      <c r="A66" s="320">
        <f t="shared" si="10"/>
        <v>10</v>
      </c>
      <c r="B66" s="374"/>
      <c r="C66" s="377"/>
      <c r="D66" s="377"/>
      <c r="E66" s="379"/>
      <c r="F66" s="376"/>
      <c r="G66" s="376"/>
      <c r="H66" s="376"/>
      <c r="I66" s="376"/>
      <c r="J66" s="376"/>
      <c r="K66" s="376"/>
      <c r="L66" s="376"/>
      <c r="M66" s="376"/>
      <c r="N66" s="376"/>
      <c r="O66" s="376"/>
      <c r="P66" s="314"/>
      <c r="Q66" s="371"/>
      <c r="R66" s="314"/>
      <c r="S66" s="314"/>
      <c r="T66" s="314"/>
      <c r="U66" s="314"/>
    </row>
    <row r="67" spans="1:21">
      <c r="A67" s="320">
        <f t="shared" si="10"/>
        <v>11</v>
      </c>
      <c r="B67" s="374"/>
      <c r="C67" s="377" t="s">
        <v>122</v>
      </c>
      <c r="D67" s="377"/>
      <c r="E67" s="379"/>
      <c r="F67" s="376"/>
      <c r="G67" s="376"/>
      <c r="H67" s="376"/>
      <c r="I67" s="376"/>
      <c r="J67" s="376"/>
      <c r="K67" s="376"/>
      <c r="L67" s="376"/>
      <c r="M67" s="376"/>
      <c r="N67" s="376"/>
      <c r="O67" s="376"/>
      <c r="P67" s="314"/>
      <c r="Q67" s="371"/>
      <c r="R67" s="314"/>
      <c r="S67" s="314"/>
      <c r="T67" s="314"/>
      <c r="U67" s="314"/>
    </row>
    <row r="68" spans="1:21">
      <c r="A68" s="320"/>
      <c r="B68" s="383"/>
      <c r="C68" s="381" t="s">
        <v>123</v>
      </c>
      <c r="D68" s="379" t="s">
        <v>124</v>
      </c>
      <c r="E68" s="379">
        <f>_xlfn.IFNA(VLOOKUP(D68,'G-7 Allocations'!$C$63:$D$106,2,),VLOOKUP(D68,'G-7 Allocations'!$C$10:$D$15,2,))</f>
        <v>33</v>
      </c>
      <c r="F68" s="375">
        <f>SUM(G68:O68)</f>
        <v>0</v>
      </c>
      <c r="G68" s="384">
        <f>+VLOOKUP($E$68,'G-7 Allocations'!$D$5:$N$106,'G-3 COST OF SERVICE'!G77,FALSE)*'G-5 Function Rate Base'!$D$122</f>
        <v>0</v>
      </c>
      <c r="H68" s="375">
        <f>+VLOOKUP($E$68,'G-7 Allocations'!$D$5:$N$106,'G-3 COST OF SERVICE'!H77,FALSE)*'G-5 Function Rate Base'!$D$122</f>
        <v>0</v>
      </c>
      <c r="I68" s="384">
        <f>+VLOOKUP($E$68,'G-7 Allocations'!$D$5:$N$106,'G-3 COST OF SERVICE'!I77,FALSE)*'G-5 Function Rate Base'!$D$122</f>
        <v>0</v>
      </c>
      <c r="J68" s="384">
        <f>+VLOOKUP($E$68,'G-7 Allocations'!$D$5:$N$106,'G-3 COST OF SERVICE'!J77,FALSE)*'G-5 Function Rate Base'!$D$122</f>
        <v>0</v>
      </c>
      <c r="K68" s="375">
        <f>+VLOOKUP($E$68,'G-7 Allocations'!$D$5:$N$106,'G-3 COST OF SERVICE'!K77,FALSE)*'G-5 Function Rate Base'!$D$122</f>
        <v>0</v>
      </c>
      <c r="L68" s="384">
        <f>+VLOOKUP($E$68,'G-7 Allocations'!$D$5:$N$106,'G-3 COST OF SERVICE'!L77,FALSE)*'G-5 Function Rate Base'!$D$122</f>
        <v>0</v>
      </c>
      <c r="M68" s="384">
        <f>+VLOOKUP($E$68,'G-7 Allocations'!$D$5:$N$106,'G-3 COST OF SERVICE'!M77,FALSE)*'G-5 Function Rate Base'!$D$122</f>
        <v>0</v>
      </c>
      <c r="N68" s="384">
        <f>+VLOOKUP($E$68,'G-7 Allocations'!$D$5:$N$106,'G-3 COST OF SERVICE'!N77,FALSE)*'G-5 Function Rate Base'!$D$122</f>
        <v>0</v>
      </c>
      <c r="O68" s="384">
        <f>+VLOOKUP($E$68,'G-7 Allocations'!$D$5:$N$106,'G-3 COST OF SERVICE'!O77,FALSE)*'G-5 Function Rate Base'!$D$122</f>
        <v>0</v>
      </c>
      <c r="P68" s="314"/>
      <c r="Q68" s="371">
        <f>F68-'Rate Base'!C126</f>
        <v>0</v>
      </c>
      <c r="R68" s="314"/>
      <c r="S68" s="314">
        <f>SUM(G68,J68,M68)-'G-5 Function Rate Base'!E122</f>
        <v>0</v>
      </c>
      <c r="T68" s="314">
        <f>SUM(H68,K68,N68)-'G-5 Function Rate Base'!F122</f>
        <v>0</v>
      </c>
      <c r="U68" s="314">
        <f>SUM(I68,L68,O68)-'G-5 Function Rate Base'!G122</f>
        <v>0</v>
      </c>
    </row>
    <row r="69" spans="1:21">
      <c r="A69" s="320">
        <f>+A67+1</f>
        <v>12</v>
      </c>
      <c r="B69" s="383">
        <v>182.3</v>
      </c>
      <c r="C69" s="381" t="s">
        <v>125</v>
      </c>
      <c r="D69" s="379" t="s">
        <v>124</v>
      </c>
      <c r="E69" s="379">
        <f>_xlfn.IFNA(VLOOKUP(D69,'G-7 Allocations'!$C$63:$D$106,2,),VLOOKUP(D69,'G-7 Allocations'!$C$10:$D$15,2,))</f>
        <v>33</v>
      </c>
      <c r="F69" s="375">
        <f>SUM(G69:O69)</f>
        <v>1094518.5599999998</v>
      </c>
      <c r="G69" s="375">
        <f>+VLOOKUP($E$69,'G-7 Allocations'!$D$5:$N$106,'G-3 COST OF SERVICE'!G77,FALSE)*'G-5 Function Rate Base'!$D$123</f>
        <v>112643.22064926007</v>
      </c>
      <c r="H69" s="375">
        <f>+VLOOKUP($E$69,'G-7 Allocations'!$D$5:$N$106,'G-3 COST OF SERVICE'!H77,FALSE)*'G-5 Function Rate Base'!$D$123</f>
        <v>1750.3535433472123</v>
      </c>
      <c r="I69" s="375">
        <f>+VLOOKUP($E$69,'G-7 Allocations'!$D$5:$N$106,'G-3 COST OF SERVICE'!I77,FALSE)*'G-5 Function Rate Base'!$D$123</f>
        <v>816154.19053773081</v>
      </c>
      <c r="J69" s="375">
        <f>+VLOOKUP($E$69,'G-7 Allocations'!$D$5:$N$106,'G-3 COST OF SERVICE'!J77,FALSE)*'G-5 Function Rate Base'!$D$123</f>
        <v>48434.851204790553</v>
      </c>
      <c r="K69" s="375">
        <f>+VLOOKUP($E$69,'G-7 Allocations'!$D$5:$N$106,'G-3 COST OF SERVICE'!K77,FALSE)*'G-5 Function Rate Base'!$D$123</f>
        <v>756.16377353144787</v>
      </c>
      <c r="L69" s="375">
        <f>+VLOOKUP($E$69,'G-7 Allocations'!$D$5:$N$106,'G-3 COST OF SERVICE'!L77,FALSE)*'G-5 Function Rate Base'!$D$123</f>
        <v>68979.241372694261</v>
      </c>
      <c r="M69" s="375">
        <f>+VLOOKUP($E$69,'G-7 Allocations'!$D$5:$N$106,'G-3 COST OF SERVICE'!M77,FALSE)*'G-5 Function Rate Base'!$D$123</f>
        <v>44507.033126773858</v>
      </c>
      <c r="N69" s="375">
        <f>+VLOOKUP($E$69,'G-7 Allocations'!$D$5:$N$106,'G-3 COST OF SERVICE'!N77,FALSE)*'G-5 Function Rate Base'!$D$123</f>
        <v>889.07541676251367</v>
      </c>
      <c r="O69" s="375">
        <f>+VLOOKUP($E$69,'G-7 Allocations'!$D$5:$N$106,'G-3 COST OF SERVICE'!O77,FALSE)*'G-5 Function Rate Base'!$D$123</f>
        <v>404.43037510899154</v>
      </c>
      <c r="P69" s="314"/>
      <c r="Q69" s="371">
        <f>F69-'Rate Base'!C127</f>
        <v>0</v>
      </c>
      <c r="R69" s="314"/>
      <c r="S69" s="314">
        <f>SUM(G69,J69,M69)-'G-5 Function Rate Base'!E123</f>
        <v>0</v>
      </c>
      <c r="T69" s="314">
        <f>SUM(H69,K69,N69)-'G-5 Function Rate Base'!F123</f>
        <v>0</v>
      </c>
      <c r="U69" s="314">
        <f>SUM(I69,L69,O69)-'G-5 Function Rate Base'!G123</f>
        <v>0</v>
      </c>
    </row>
    <row r="70" spans="1:21">
      <c r="A70" s="320">
        <f t="shared" ref="A70:A75" si="13">+A69+1</f>
        <v>13</v>
      </c>
      <c r="B70" s="382">
        <v>254</v>
      </c>
      <c r="C70" s="381" t="s">
        <v>126</v>
      </c>
      <c r="D70" s="306" t="s">
        <v>127</v>
      </c>
      <c r="E70" s="379">
        <f>_xlfn.IFNA(VLOOKUP(D70,'G-7 Allocations'!$C$63:$D$106,2,),VLOOKUP(D70,'G-7 Allocations'!$C$10:$D$15,2,))</f>
        <v>17</v>
      </c>
      <c r="F70" s="380">
        <f>SUM(G70:O70)</f>
        <v>-24923934.369999997</v>
      </c>
      <c r="G70" s="380">
        <f>+VLOOKUP($E$70,'G-7 Allocations'!$D$5:$N$106,'G-3 COST OF SERVICE'!G77,FALSE)*'G-5 Function Rate Base'!$D$124</f>
        <v>-3871666.6946976827</v>
      </c>
      <c r="H70" s="380">
        <f>+VLOOKUP($E$70,'G-7 Allocations'!$D$5:$N$106,'G-3 COST OF SERVICE'!H77,FALSE)*'G-5 Function Rate Base'!$D$124</f>
        <v>0</v>
      </c>
      <c r="I70" s="380">
        <f>+VLOOKUP($E$70,'G-7 Allocations'!$D$5:$N$106,'G-3 COST OF SERVICE'!I77,FALSE)*'G-5 Function Rate Base'!$D$124</f>
        <v>-16052774.399743261</v>
      </c>
      <c r="J70" s="380">
        <f>+VLOOKUP($E$70,'G-7 Allocations'!$D$5:$N$106,'G-3 COST OF SERVICE'!J77,FALSE)*'G-5 Function Rate Base'!$D$124</f>
        <v>-1664757.0802840933</v>
      </c>
      <c r="K70" s="380">
        <f>+VLOOKUP($E$70,'G-7 Allocations'!$D$5:$N$106,'G-3 COST OF SERVICE'!K77,FALSE)*'G-5 Function Rate Base'!$D$124</f>
        <v>0</v>
      </c>
      <c r="L70" s="380">
        <f>+VLOOKUP($E$70,'G-7 Allocations'!$D$5:$N$106,'G-3 COST OF SERVICE'!L77,FALSE)*'G-5 Function Rate Base'!$D$124</f>
        <v>-1647659.3972699686</v>
      </c>
      <c r="M70" s="380">
        <f>+VLOOKUP($E$70,'G-7 Allocations'!$D$5:$N$106,'G-3 COST OF SERVICE'!M77,FALSE)*'G-5 Function Rate Base'!$D$124</f>
        <v>-1529753.827697895</v>
      </c>
      <c r="N70" s="380">
        <f>+VLOOKUP($E$70,'G-7 Allocations'!$D$5:$N$106,'G-3 COST OF SERVICE'!N77,FALSE)*'G-5 Function Rate Base'!$D$124</f>
        <v>0</v>
      </c>
      <c r="O70" s="380">
        <f>+VLOOKUP($E$70,'G-7 Allocations'!$D$5:$N$106,'G-3 COST OF SERVICE'!O77,FALSE)*'G-5 Function Rate Base'!$D$124</f>
        <v>-157322.97030709547</v>
      </c>
      <c r="P70" s="314"/>
      <c r="Q70" s="371">
        <f>F70-'Rate Base'!C128</f>
        <v>0</v>
      </c>
      <c r="R70" s="314"/>
      <c r="S70" s="314">
        <f>SUM(G70,J70,M70)-'G-5 Function Rate Base'!E124</f>
        <v>-4.6139415353536606E-3</v>
      </c>
      <c r="T70" s="314">
        <f>SUM(H70,K70,N70)-'G-5 Function Rate Base'!F124</f>
        <v>0</v>
      </c>
      <c r="U70" s="314">
        <f>SUM(I70,L70,O70)-'G-5 Function Rate Base'!G124</f>
        <v>4.6139396727085114E-3</v>
      </c>
    </row>
    <row r="71" spans="1:21">
      <c r="A71" s="320">
        <f t="shared" si="13"/>
        <v>14</v>
      </c>
      <c r="B71" s="374"/>
      <c r="C71" s="377" t="s">
        <v>21</v>
      </c>
      <c r="D71" s="377"/>
      <c r="E71" s="379"/>
      <c r="F71" s="378">
        <f t="shared" ref="F71:O71" si="14">SUM(F68:F70)</f>
        <v>-23829415.809999999</v>
      </c>
      <c r="G71" s="378">
        <f t="shared" si="14"/>
        <v>-3759023.4740484226</v>
      </c>
      <c r="H71" s="378">
        <f t="shared" si="14"/>
        <v>1750.3535433472123</v>
      </c>
      <c r="I71" s="378">
        <f t="shared" si="14"/>
        <v>-15236620.209205531</v>
      </c>
      <c r="J71" s="378">
        <f t="shared" si="14"/>
        <v>-1616322.2290793026</v>
      </c>
      <c r="K71" s="378">
        <f t="shared" si="14"/>
        <v>756.16377353144787</v>
      </c>
      <c r="L71" s="378">
        <f t="shared" si="14"/>
        <v>-1578680.1558972744</v>
      </c>
      <c r="M71" s="378">
        <f t="shared" si="14"/>
        <v>-1485246.7945711212</v>
      </c>
      <c r="N71" s="378">
        <f t="shared" si="14"/>
        <v>889.07541676251367</v>
      </c>
      <c r="O71" s="378">
        <f t="shared" si="14"/>
        <v>-156918.53993198648</v>
      </c>
      <c r="P71" s="314"/>
      <c r="Q71" s="371">
        <f>F71-'Rate Base'!C129</f>
        <v>0</v>
      </c>
      <c r="R71" s="314"/>
      <c r="S71" s="314">
        <f>SUM(G71,J71,M71)-'G-5 Function Rate Base'!E125</f>
        <v>-4.613940604031086E-3</v>
      </c>
      <c r="T71" s="314">
        <f>SUM(H71,K71,N71)-'G-5 Function Rate Base'!F125</f>
        <v>0</v>
      </c>
      <c r="U71" s="314">
        <f>SUM(I71,L71,O71)-'G-5 Function Rate Base'!G125</f>
        <v>4.6139396727085114E-3</v>
      </c>
    </row>
    <row r="72" spans="1:21">
      <c r="A72" s="320">
        <f t="shared" si="13"/>
        <v>15</v>
      </c>
      <c r="B72" s="374"/>
      <c r="C72" s="377"/>
      <c r="D72" s="377"/>
      <c r="E72" s="379"/>
      <c r="F72" s="376"/>
      <c r="G72" s="376"/>
      <c r="H72" s="376"/>
      <c r="I72" s="376"/>
      <c r="J72" s="376"/>
      <c r="K72" s="376"/>
      <c r="L72" s="376"/>
      <c r="M72" s="376"/>
      <c r="N72" s="376"/>
      <c r="O72" s="376"/>
      <c r="P72" s="314"/>
      <c r="Q72" s="371"/>
      <c r="R72" s="314"/>
      <c r="S72" s="314"/>
      <c r="T72" s="314"/>
      <c r="U72" s="314"/>
    </row>
    <row r="73" spans="1:21">
      <c r="A73" s="320">
        <f t="shared" si="13"/>
        <v>16</v>
      </c>
      <c r="B73" s="374"/>
      <c r="C73" s="377" t="s">
        <v>128</v>
      </c>
      <c r="D73" s="379" t="s">
        <v>127</v>
      </c>
      <c r="E73" s="379">
        <f>_xlfn.IFNA(VLOOKUP(D73,'G-7 Allocations'!$C$63:$D$106,2,),VLOOKUP(D73,'G-7 Allocations'!$C$10:$D$15,2,))</f>
        <v>17</v>
      </c>
      <c r="F73" s="378">
        <f>SUM(G73:O73)</f>
        <v>-37645144.641083837</v>
      </c>
      <c r="G73" s="378">
        <f>+VLOOKUP($E$73,'G-7 Allocations'!$D$5:$N$106,'G-3 COST OF SERVICE'!G77,FALSE)*'G-5 Function Rate Base'!$D$131</f>
        <v>-5847770.6834035954</v>
      </c>
      <c r="H73" s="378">
        <f>+VLOOKUP($E$73,'G-7 Allocations'!$D$5:$N$106,'G-3 COST OF SERVICE'!H77,FALSE)*'G-5 Function Rate Base'!$D$131</f>
        <v>0</v>
      </c>
      <c r="I73" s="378">
        <f>+VLOOKUP($E$73,'G-7 Allocations'!$D$5:$N$106,'G-3 COST OF SERVICE'!I77,FALSE)*'G-5 Function Rate Base'!$D$131</f>
        <v>-24246132.460387427</v>
      </c>
      <c r="J73" s="378">
        <f>+VLOOKUP($E$73,'G-7 Allocations'!$D$5:$N$106,'G-3 COST OF SERVICE'!J77,FALSE)*'G-5 Function Rate Base'!$D$131</f>
        <v>-2514451.3763042428</v>
      </c>
      <c r="K73" s="378">
        <f>+VLOOKUP($E$73,'G-7 Allocations'!$D$5:$N$106,'G-3 COST OF SERVICE'!K77,FALSE)*'G-5 Function Rate Base'!$D$131</f>
        <v>0</v>
      </c>
      <c r="L73" s="378">
        <f>+VLOOKUP($E$73,'G-7 Allocations'!$D$5:$N$106,'G-3 COST OF SERVICE'!L77,FALSE)*'G-5 Function Rate Base'!$D$131</f>
        <v>-2488627.0124402107</v>
      </c>
      <c r="M73" s="378">
        <f>+VLOOKUP($E$73,'G-7 Allocations'!$D$5:$N$106,'G-3 COST OF SERVICE'!M77,FALSE)*'G-5 Function Rate Base'!$D$131</f>
        <v>-2310542.278519846</v>
      </c>
      <c r="N73" s="378">
        <f>+VLOOKUP($E$73,'G-7 Allocations'!$D$5:$N$106,'G-3 COST OF SERVICE'!N77,FALSE)*'G-5 Function Rate Base'!$D$131</f>
        <v>0</v>
      </c>
      <c r="O73" s="378">
        <f>+VLOOKUP($E$73,'G-7 Allocations'!$D$5:$N$106,'G-3 COST OF SERVICE'!O77,FALSE)*'G-5 Function Rate Base'!$D$131</f>
        <v>-237620.83002851155</v>
      </c>
      <c r="P73" s="314"/>
      <c r="Q73" s="371">
        <f>F73-'Rate Base'!C135</f>
        <v>0</v>
      </c>
      <c r="R73" s="314"/>
      <c r="S73" s="314">
        <f>SUM(G73,J73,M73)-'G-5 Function Rate Base'!E131</f>
        <v>-6.9689024239778519E-3</v>
      </c>
      <c r="T73" s="314">
        <f>SUM(H73,K73,N73)-'G-5 Function Rate Base'!F131</f>
        <v>0</v>
      </c>
      <c r="U73" s="314">
        <f>SUM(I73,L73,O73)-'G-5 Function Rate Base'!G131</f>
        <v>6.9688968360424042E-3</v>
      </c>
    </row>
    <row r="74" spans="1:21">
      <c r="A74" s="320">
        <f t="shared" si="13"/>
        <v>17</v>
      </c>
      <c r="B74" s="374"/>
      <c r="C74" s="377"/>
      <c r="D74" s="377"/>
      <c r="E74" s="377"/>
      <c r="F74" s="376"/>
      <c r="G74" s="375"/>
      <c r="H74" s="369"/>
      <c r="I74" s="369"/>
      <c r="J74" s="369"/>
      <c r="K74" s="369"/>
      <c r="L74" s="369"/>
      <c r="M74" s="369"/>
      <c r="N74" s="369"/>
      <c r="O74" s="369"/>
      <c r="P74" s="314"/>
      <c r="Q74" s="371"/>
      <c r="R74" s="314"/>
      <c r="S74" s="314"/>
      <c r="T74" s="314"/>
      <c r="U74" s="314"/>
    </row>
    <row r="75" spans="1:21" ht="15.75" thickBot="1">
      <c r="A75" s="320">
        <f t="shared" si="13"/>
        <v>18</v>
      </c>
      <c r="B75" s="374"/>
      <c r="C75" s="373" t="s">
        <v>24</v>
      </c>
      <c r="D75" s="373"/>
      <c r="E75" s="373"/>
      <c r="F75" s="372">
        <f t="shared" ref="F75:O75" si="15">+F73+F71+F65+F60+F54</f>
        <v>291295383.07723522</v>
      </c>
      <c r="G75" s="372">
        <f t="shared" si="15"/>
        <v>43177730.584235393</v>
      </c>
      <c r="H75" s="372">
        <f t="shared" si="15"/>
        <v>1750.3535433472123</v>
      </c>
      <c r="I75" s="372">
        <f t="shared" si="15"/>
        <v>189873076.62305117</v>
      </c>
      <c r="J75" s="372">
        <f t="shared" si="15"/>
        <v>18565759.392287631</v>
      </c>
      <c r="K75" s="372">
        <f t="shared" si="15"/>
        <v>756.16377353144787</v>
      </c>
      <c r="L75" s="372">
        <f t="shared" si="15"/>
        <v>20692569.741443694</v>
      </c>
      <c r="M75" s="372">
        <f t="shared" si="15"/>
        <v>17060171.724804867</v>
      </c>
      <c r="N75" s="372">
        <f t="shared" si="15"/>
        <v>889.07541676251367</v>
      </c>
      <c r="O75" s="372">
        <f t="shared" si="15"/>
        <v>1922679.4186788094</v>
      </c>
      <c r="P75" s="314"/>
      <c r="Q75" s="371">
        <f>F75-'Rate Base'!C137</f>
        <v>1.3945487141609192</v>
      </c>
      <c r="R75" s="314"/>
      <c r="S75" s="314">
        <f>SUM(G75,J75,M75)-'G-5 Function Rate Base'!E133</f>
        <v>0.54552236199378967</v>
      </c>
      <c r="T75" s="314">
        <f>SUM(H75,K75,N75)-'G-5 Function Rate Base'!F133</f>
        <v>0</v>
      </c>
      <c r="U75" s="314">
        <f>SUM(I75,L75,O75)-'G-5 Function Rate Base'!G133</f>
        <v>0.2790263295173645</v>
      </c>
    </row>
    <row r="76" spans="1:21" ht="15.75" thickTop="1">
      <c r="A76" s="320"/>
      <c r="B76" s="304"/>
      <c r="C76" s="305"/>
      <c r="D76" s="306"/>
      <c r="E76" s="306"/>
      <c r="F76" s="370"/>
      <c r="G76" s="369"/>
      <c r="H76" s="369"/>
      <c r="I76" s="369"/>
      <c r="J76" s="369"/>
      <c r="K76" s="369"/>
      <c r="L76" s="369"/>
      <c r="M76" s="369"/>
      <c r="N76" s="369"/>
      <c r="O76" s="369"/>
      <c r="P76" s="304"/>
      <c r="Q76" s="307"/>
      <c r="R76" s="304"/>
      <c r="S76" s="304"/>
      <c r="T76" s="304"/>
      <c r="U76" s="304"/>
    </row>
    <row r="77" spans="1:21">
      <c r="A77" s="320"/>
      <c r="B77" s="307"/>
      <c r="C77" s="320" t="s">
        <v>129</v>
      </c>
      <c r="D77" s="327"/>
      <c r="E77" s="327"/>
      <c r="F77" s="368"/>
      <c r="G77" s="367">
        <v>3</v>
      </c>
      <c r="H77" s="367">
        <v>4</v>
      </c>
      <c r="I77" s="367">
        <v>5</v>
      </c>
      <c r="J77" s="367">
        <v>6</v>
      </c>
      <c r="K77" s="367">
        <v>7</v>
      </c>
      <c r="L77" s="367">
        <v>8</v>
      </c>
      <c r="M77" s="367">
        <v>9</v>
      </c>
      <c r="N77" s="367">
        <v>10</v>
      </c>
      <c r="O77" s="367">
        <v>11</v>
      </c>
      <c r="P77" s="307"/>
      <c r="Q77" s="307"/>
      <c r="R77" s="307"/>
      <c r="S77" s="307"/>
      <c r="T77" s="307"/>
      <c r="U77" s="307"/>
    </row>
  </sheetData>
  <mergeCells count="3">
    <mergeCell ref="G1:I1"/>
    <mergeCell ref="J1:L1"/>
    <mergeCell ref="M1:O1"/>
  </mergeCells>
  <pageMargins left="0.7" right="0.7" top="1" bottom="0.75" header="0.55000000000000004" footer="0.3"/>
  <pageSetup scale="61" pageOrder="overThenDown" orientation="landscape" r:id="rId1"/>
  <headerFooter>
    <oddHeader>&amp;C&amp;"Arial,Bold"&amp;10UNS GAS, INC.
CLASSIFICATION OF RATE BASE TO CLASS OF SERVICE
FOR THE TEST PERIOD ENDING JUNE 30, 2024&amp;R&amp;"Arial,Bold"&amp;10SCHEDULE G-3
SHEET &amp;P OF &amp;N</oddHeader>
  </headerFooter>
  <colBreaks count="1" manualBreakCount="1">
    <brk id="1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3D60C-2ACD-422A-BB4C-E8EE3DB01ED2}">
  <sheetPr codeName="Sheet36">
    <tabColor theme="8" tint="0.59999389629810485"/>
  </sheetPr>
  <dimension ref="A1:U109"/>
  <sheetViews>
    <sheetView topLeftCell="F1" zoomScale="90" zoomScaleNormal="90" zoomScaleSheetLayoutView="93" workbookViewId="0">
      <selection sqref="A1:A3"/>
    </sheetView>
  </sheetViews>
  <sheetFormatPr defaultColWidth="9.140625" defaultRowHeight="11.25" customHeight="1"/>
  <cols>
    <col min="1" max="1" width="3.85546875" style="320" bestFit="1" customWidth="1"/>
    <col min="2" max="2" width="12.5703125" style="304" bestFit="1" customWidth="1"/>
    <col min="3" max="3" width="41.42578125" style="305" bestFit="1" customWidth="1"/>
    <col min="4" max="4" width="8.7109375" style="306" bestFit="1" customWidth="1"/>
    <col min="5" max="5" width="8.7109375" style="306" customWidth="1"/>
    <col min="6" max="6" width="13.5703125" style="370" bestFit="1" customWidth="1"/>
    <col min="7" max="7" width="13.5703125" style="429" bestFit="1" customWidth="1"/>
    <col min="8" max="8" width="12.5703125" style="429" customWidth="1"/>
    <col min="9" max="9" width="13.5703125" style="429" bestFit="1" customWidth="1"/>
    <col min="10" max="10" width="11.5703125" style="429" bestFit="1" customWidth="1"/>
    <col min="11" max="11" width="10.140625" style="429" bestFit="1" customWidth="1"/>
    <col min="12" max="12" width="11.5703125" style="429" bestFit="1" customWidth="1"/>
    <col min="13" max="13" width="12.5703125" style="429" bestFit="1" customWidth="1"/>
    <col min="14" max="14" width="10.140625" style="369" bestFit="1" customWidth="1"/>
    <col min="15" max="15" width="12.5703125" style="369" bestFit="1" customWidth="1"/>
    <col min="16" max="16" width="9.140625" style="304"/>
    <col min="17" max="17" width="9.5703125" style="304" bestFit="1" customWidth="1"/>
    <col min="18" max="18" width="9.140625" style="304"/>
    <col min="19" max="19" width="10.42578125" style="304" bestFit="1" customWidth="1"/>
    <col min="20" max="20" width="12.7109375" style="304" bestFit="1" customWidth="1"/>
    <col min="21" max="21" width="11.5703125" style="304" bestFit="1" customWidth="1"/>
    <col min="22" max="16384" width="9.140625" style="304"/>
  </cols>
  <sheetData>
    <row r="1" spans="1:21" ht="11.25" customHeight="1">
      <c r="A1" s="428" t="s">
        <v>130</v>
      </c>
      <c r="B1" s="427" t="s">
        <v>60</v>
      </c>
      <c r="C1" s="426"/>
      <c r="D1" s="425"/>
      <c r="E1" s="425"/>
      <c r="F1" s="424" t="s">
        <v>61</v>
      </c>
      <c r="G1" s="769" t="s">
        <v>3</v>
      </c>
      <c r="H1" s="770"/>
      <c r="I1" s="771"/>
      <c r="J1" s="766" t="s">
        <v>4</v>
      </c>
      <c r="K1" s="767"/>
      <c r="L1" s="768"/>
      <c r="M1" s="766" t="s">
        <v>5</v>
      </c>
      <c r="N1" s="767"/>
      <c r="O1" s="768"/>
    </row>
    <row r="2" spans="1:21" ht="11.25" customHeight="1" thickBot="1">
      <c r="A2" s="423" t="s">
        <v>62</v>
      </c>
      <c r="B2" s="422" t="s">
        <v>63</v>
      </c>
      <c r="C2" s="422" t="s">
        <v>1</v>
      </c>
      <c r="D2" s="421" t="s">
        <v>64</v>
      </c>
      <c r="E2" s="421" t="s">
        <v>65</v>
      </c>
      <c r="F2" s="420" t="s">
        <v>66</v>
      </c>
      <c r="G2" s="419" t="s">
        <v>67</v>
      </c>
      <c r="H2" s="418" t="s">
        <v>68</v>
      </c>
      <c r="I2" s="417" t="s">
        <v>69</v>
      </c>
      <c r="J2" s="419" t="s">
        <v>67</v>
      </c>
      <c r="K2" s="418" t="s">
        <v>68</v>
      </c>
      <c r="L2" s="417" t="s">
        <v>69</v>
      </c>
      <c r="M2" s="419" t="s">
        <v>67</v>
      </c>
      <c r="N2" s="418" t="s">
        <v>68</v>
      </c>
      <c r="O2" s="417" t="s">
        <v>69</v>
      </c>
      <c r="Q2" s="304" t="s">
        <v>48</v>
      </c>
      <c r="S2" s="78" t="s">
        <v>70</v>
      </c>
      <c r="T2" s="78" t="s">
        <v>71</v>
      </c>
      <c r="U2" s="78" t="s">
        <v>72</v>
      </c>
    </row>
    <row r="4" spans="1:21" ht="11.25" customHeight="1">
      <c r="B4" s="386"/>
      <c r="C4" s="377" t="s">
        <v>131</v>
      </c>
      <c r="D4" s="305"/>
      <c r="E4" s="305"/>
    </row>
    <row r="5" spans="1:21" ht="11.25" customHeight="1">
      <c r="A5" s="320">
        <v>1</v>
      </c>
      <c r="B5" s="386"/>
      <c r="C5" s="379" t="s">
        <v>132</v>
      </c>
      <c r="D5" s="305" t="s">
        <v>133</v>
      </c>
      <c r="E5" s="305">
        <f>_xlfn.IFNA(VLOOKUP(D5,'G-7 Allocations'!$C$63:$D$106,2,),VLOOKUP(D5,'G-7 Allocations'!$C$10:$D$15,2,))</f>
        <v>1</v>
      </c>
      <c r="F5" s="375">
        <f>SUM(G5:O5)</f>
        <v>0</v>
      </c>
      <c r="G5" s="404">
        <f>+VLOOKUP($E$5,'G-7 Allocations'!$D$5:$N$106,G109,FALSE)*'G-6 Function Expense'!$D$6</f>
        <v>0</v>
      </c>
      <c r="H5" s="404">
        <f>+VLOOKUP($E$5,'G-7 Allocations'!$D$5:$N$106,H109,FALSE)*'G-6 Function Expense'!$D$6</f>
        <v>0</v>
      </c>
      <c r="I5" s="404">
        <f>+VLOOKUP($E$5,'G-7 Allocations'!$D$5:$N$106,I109,FALSE)*'G-6 Function Expense'!$D$6</f>
        <v>0</v>
      </c>
      <c r="J5" s="404">
        <f>+VLOOKUP($E$5,'G-7 Allocations'!$D$5:$N$106,J109,FALSE)*'G-6 Function Expense'!$D$6</f>
        <v>0</v>
      </c>
      <c r="K5" s="404">
        <f>+VLOOKUP($E$5,'G-7 Allocations'!$D$5:$N$106,K109,FALSE)*'G-6 Function Expense'!$D$6</f>
        <v>0</v>
      </c>
      <c r="L5" s="404">
        <f>+VLOOKUP($E$5,'G-7 Allocations'!$D$5:$N$106,L109,FALSE)*'G-6 Function Expense'!$D$6</f>
        <v>0</v>
      </c>
      <c r="M5" s="404">
        <f>+VLOOKUP($E$5,'G-7 Allocations'!$D$5:$N$106,M109,FALSE)*'G-6 Function Expense'!$D$6</f>
        <v>0</v>
      </c>
      <c r="N5" s="404">
        <f>+VLOOKUP($E$5,'G-7 Allocations'!$D$5:$N$106,N109,FALSE)*'G-6 Function Expense'!$D$6</f>
        <v>0</v>
      </c>
      <c r="O5" s="404">
        <f>+VLOOKUP($E$5,'G-7 Allocations'!$D$5:$N$106,O109,FALSE)*'G-6 Function Expense'!$D$6</f>
        <v>0</v>
      </c>
      <c r="Q5" s="434">
        <f>F5-'Rev&amp;Expense'!D21</f>
        <v>0</v>
      </c>
      <c r="S5" s="434">
        <f>SUM(G5,J5,M5)-'G-6 Function Expense'!E6</f>
        <v>0</v>
      </c>
      <c r="T5" s="434">
        <f>SUM(H5,K5,N5)-'G-6 Function Expense'!F6</f>
        <v>0</v>
      </c>
      <c r="U5" s="434">
        <f>SUM(I5,L5,O5)-'G-6 Function Expense'!G6</f>
        <v>0</v>
      </c>
    </row>
    <row r="6" spans="1:21" ht="11.1" customHeight="1">
      <c r="A6" s="320">
        <f t="shared" ref="A6:A49" si="0">+A5+1</f>
        <v>2</v>
      </c>
      <c r="B6" s="385">
        <v>805</v>
      </c>
      <c r="C6" s="379" t="s">
        <v>131</v>
      </c>
      <c r="D6" s="305" t="s">
        <v>133</v>
      </c>
      <c r="E6" s="305">
        <f>_xlfn.IFNA(VLOOKUP(D6,'G-7 Allocations'!$C$63:$D$106,2,),VLOOKUP(D6,'G-7 Allocations'!$C$10:$D$15,2,))</f>
        <v>1</v>
      </c>
      <c r="F6" s="375">
        <f>SUM(G6:O6)</f>
        <v>-5.9999965131282806E-2</v>
      </c>
      <c r="G6" s="404">
        <f>+VLOOKUP($E$6,'G-7 Allocations'!$D$5:$N$106,G109,FALSE)*'G-6 Function Expense'!$D$7</f>
        <v>0</v>
      </c>
      <c r="H6" s="404">
        <f>+VLOOKUP($E$6,'G-7 Allocations'!$D$5:$N$106,H109,FALSE)*'G-6 Function Expense'!$D$7</f>
        <v>-3.092866542202586E-2</v>
      </c>
      <c r="I6" s="404">
        <f>+VLOOKUP($E$6,'G-7 Allocations'!$D$5:$N$106,I109,FALSE)*'G-6 Function Expense'!$D$7</f>
        <v>0</v>
      </c>
      <c r="J6" s="404">
        <f>+VLOOKUP($E$6,'G-7 Allocations'!$D$5:$N$106,J109,FALSE)*'G-6 Function Expense'!$D$7</f>
        <v>0</v>
      </c>
      <c r="K6" s="404">
        <f>+VLOOKUP($E$6,'G-7 Allocations'!$D$5:$N$106,K109,FALSE)*'G-6 Function Expense'!$D$7</f>
        <v>-1.3361378588172145E-2</v>
      </c>
      <c r="L6" s="404">
        <f>+VLOOKUP($E$6,'G-7 Allocations'!$D$5:$N$106,L109,FALSE)*'G-6 Function Expense'!$D$7</f>
        <v>0</v>
      </c>
      <c r="M6" s="404">
        <f>+VLOOKUP($E$6,'G-7 Allocations'!$D$5:$N$106,M109,FALSE)*'G-6 Function Expense'!$D$7</f>
        <v>0</v>
      </c>
      <c r="N6" s="404">
        <f>+VLOOKUP($E$6,'G-7 Allocations'!$D$5:$N$106,N109,FALSE)*'G-6 Function Expense'!$D$7</f>
        <v>-1.57099211210848E-2</v>
      </c>
      <c r="O6" s="404">
        <f>+VLOOKUP($E$6,'G-7 Allocations'!$D$5:$N$106,O109,FALSE)*'G-6 Function Expense'!$D$7</f>
        <v>0</v>
      </c>
      <c r="Q6" s="434">
        <f>F6-'Rev&amp;Expense'!D22</f>
        <v>0</v>
      </c>
      <c r="S6" s="434">
        <f>SUM(G6,J6,M6)-'G-6 Function Expense'!E7</f>
        <v>5.9999965131282806E-2</v>
      </c>
      <c r="T6" s="434">
        <f>SUM(H6,K6,N6)-'G-6 Function Expense'!F7</f>
        <v>-5.9999965131282806E-2</v>
      </c>
      <c r="U6" s="434">
        <f>SUM(I6,L6,O6)-'G-6 Function Expense'!G7</f>
        <v>0</v>
      </c>
    </row>
    <row r="7" spans="1:21" ht="11.25" customHeight="1">
      <c r="A7" s="320">
        <f t="shared" si="0"/>
        <v>3</v>
      </c>
      <c r="B7" s="385">
        <v>807</v>
      </c>
      <c r="C7" s="379" t="s">
        <v>134</v>
      </c>
      <c r="D7" s="305" t="s">
        <v>133</v>
      </c>
      <c r="E7" s="305">
        <f>_xlfn.IFNA(VLOOKUP(D7,'G-7 Allocations'!$C$63:$D$106,2,),VLOOKUP(D7,'G-7 Allocations'!$C$10:$D$15,2,))</f>
        <v>1</v>
      </c>
      <c r="F7" s="441">
        <f>SUM(G7:O7)</f>
        <v>231994.90999999997</v>
      </c>
      <c r="G7" s="441">
        <f>+VLOOKUP($E$7,'G-7 Allocations'!$D$5:$N$106,G109,FALSE)*'G-6 Function Expense'!$D$8</f>
        <v>0</v>
      </c>
      <c r="H7" s="441">
        <f>+VLOOKUP($E$7,'G-7 Allocations'!$D$5:$N$106,H109,FALSE)*'G-6 Function Expense'!$D$8</f>
        <v>119588.28534821837</v>
      </c>
      <c r="I7" s="441">
        <f>+VLOOKUP($E$7,'G-7 Allocations'!$D$5:$N$106,I109,FALSE)*'G-6 Function Expense'!$D$8</f>
        <v>0</v>
      </c>
      <c r="J7" s="441">
        <f>+VLOOKUP($E$7,'G-7 Allocations'!$D$5:$N$106,J109,FALSE)*'G-6 Function Expense'!$D$8</f>
        <v>0</v>
      </c>
      <c r="K7" s="441">
        <f>+VLOOKUP($E$7,'G-7 Allocations'!$D$5:$N$106,K109,FALSE)*'G-6 Function Expense'!$D$8</f>
        <v>51662.89374096258</v>
      </c>
      <c r="L7" s="441">
        <f>+VLOOKUP($E$7,'G-7 Allocations'!$D$5:$N$106,L109,FALSE)*'G-6 Function Expense'!$D$8</f>
        <v>0</v>
      </c>
      <c r="M7" s="441">
        <f>+VLOOKUP($E$7,'G-7 Allocations'!$D$5:$N$106,M109,FALSE)*'G-6 Function Expense'!$D$8</f>
        <v>0</v>
      </c>
      <c r="N7" s="441">
        <f>+VLOOKUP($E$7,'G-7 Allocations'!$D$5:$N$106,N109,FALSE)*'G-6 Function Expense'!$D$8</f>
        <v>60743.730910819024</v>
      </c>
      <c r="O7" s="441">
        <f>+VLOOKUP($E$7,'G-7 Allocations'!$D$5:$N$106,O109,FALSE)*'G-6 Function Expense'!$D$8</f>
        <v>0</v>
      </c>
      <c r="Q7" s="434">
        <f>F7-'Rev&amp;Expense'!D23</f>
        <v>0</v>
      </c>
      <c r="S7" s="434">
        <f>SUM(G7,J7,M7)-'G-6 Function Expense'!E8</f>
        <v>0</v>
      </c>
      <c r="T7" s="434">
        <f>SUM(H7,K7,N7)-'G-6 Function Expense'!F8</f>
        <v>0</v>
      </c>
      <c r="U7" s="434">
        <f>SUM(I7,L7,O7)-'G-6 Function Expense'!G8</f>
        <v>0</v>
      </c>
    </row>
    <row r="8" spans="1:21" ht="11.25" customHeight="1">
      <c r="A8" s="320">
        <f t="shared" si="0"/>
        <v>4</v>
      </c>
      <c r="B8" s="386"/>
      <c r="C8" s="377" t="s">
        <v>135</v>
      </c>
      <c r="D8" s="377"/>
      <c r="E8" s="305"/>
      <c r="F8" s="378">
        <f t="shared" ref="F8:O8" si="1">SUM(F5:F7)</f>
        <v>231994.85000003484</v>
      </c>
      <c r="G8" s="378">
        <f t="shared" si="1"/>
        <v>0</v>
      </c>
      <c r="H8" s="378">
        <f t="shared" si="1"/>
        <v>119588.25441955295</v>
      </c>
      <c r="I8" s="378">
        <f t="shared" si="1"/>
        <v>0</v>
      </c>
      <c r="J8" s="378">
        <f t="shared" si="1"/>
        <v>0</v>
      </c>
      <c r="K8" s="378">
        <f t="shared" si="1"/>
        <v>51662.880379583992</v>
      </c>
      <c r="L8" s="378">
        <f t="shared" si="1"/>
        <v>0</v>
      </c>
      <c r="M8" s="378">
        <f t="shared" si="1"/>
        <v>0</v>
      </c>
      <c r="N8" s="378">
        <f t="shared" si="1"/>
        <v>60743.715200897903</v>
      </c>
      <c r="O8" s="378">
        <f t="shared" si="1"/>
        <v>0</v>
      </c>
      <c r="Q8" s="434">
        <f>F8-'Rev&amp;Expense'!D24</f>
        <v>0</v>
      </c>
      <c r="S8" s="434">
        <f>SUM(G8,J8,M8)-'G-6 Function Expense'!E9</f>
        <v>5.9999965131282806E-2</v>
      </c>
      <c r="T8" s="434">
        <f>SUM(H8,K8,N8)-'G-6 Function Expense'!F9</f>
        <v>-5.9999965160386637E-2</v>
      </c>
      <c r="U8" s="434">
        <f>SUM(I8,L8,O8)-'G-6 Function Expense'!G9</f>
        <v>0</v>
      </c>
    </row>
    <row r="9" spans="1:21" ht="11.25" customHeight="1">
      <c r="A9" s="320">
        <f t="shared" si="0"/>
        <v>5</v>
      </c>
      <c r="B9" s="386"/>
      <c r="C9" s="377"/>
      <c r="D9" s="328"/>
      <c r="E9" s="305"/>
      <c r="S9" s="434"/>
      <c r="T9" s="434"/>
      <c r="U9" s="434"/>
    </row>
    <row r="10" spans="1:21" ht="11.25" customHeight="1">
      <c r="A10" s="320">
        <f t="shared" si="0"/>
        <v>6</v>
      </c>
      <c r="B10" s="374" t="s">
        <v>136</v>
      </c>
      <c r="C10" s="377" t="s">
        <v>137</v>
      </c>
      <c r="D10" s="382" t="s">
        <v>79</v>
      </c>
      <c r="E10" s="305">
        <f>_xlfn.IFNA(VLOOKUP(D10,'G-7 Allocations'!$C$63:$D$106,2,),VLOOKUP(D10,'G-7 Allocations'!$C$10:$D$15,2,))</f>
        <v>41</v>
      </c>
      <c r="F10" s="378">
        <f>SUM(G10:O10)</f>
        <v>211536.39401481327</v>
      </c>
      <c r="G10" s="435">
        <f>+'Rev&amp;Expense'!$D$31*VLOOKUP($E$10,'G-7 Allocations'!$D$5:$N$106,G109,FALSE)</f>
        <v>115904.02285506992</v>
      </c>
      <c r="H10" s="435">
        <f>+'Rev&amp;Expense'!$D$31*VLOOKUP($E$10,'G-7 Allocations'!$D$5:$N$106,H109,FALSE)</f>
        <v>0</v>
      </c>
      <c r="I10" s="435">
        <f>+'Rev&amp;Expense'!$D$31*VLOOKUP($E$10,'G-7 Allocations'!$D$5:$N$106,I109,FALSE)</f>
        <v>0</v>
      </c>
      <c r="J10" s="435">
        <f>+'Rev&amp;Expense'!$D$31*VLOOKUP($E$10,'G-7 Allocations'!$D$5:$N$106,J109,FALSE)</f>
        <v>49836.945966786247</v>
      </c>
      <c r="K10" s="435">
        <f>+'Rev&amp;Expense'!$D$31*VLOOKUP($E$10,'G-7 Allocations'!$D$5:$N$106,K109,FALSE)</f>
        <v>0</v>
      </c>
      <c r="L10" s="435">
        <f>+'Rev&amp;Expense'!$D$31*VLOOKUP($E$10,'G-7 Allocations'!$D$5:$N$106,L109,FALSE)</f>
        <v>0</v>
      </c>
      <c r="M10" s="435">
        <f>+'Rev&amp;Expense'!$D$31*VLOOKUP($E$10,'G-7 Allocations'!$D$5:$N$106,M109,FALSE)</f>
        <v>45795.425192957111</v>
      </c>
      <c r="N10" s="435">
        <f>+'Rev&amp;Expense'!$D$31*VLOOKUP($E$10,'G-7 Allocations'!$D$5:$N$106,N109,FALSE)</f>
        <v>0</v>
      </c>
      <c r="O10" s="435">
        <f>+'Rev&amp;Expense'!$D$31*VLOOKUP($E$10,'G-7 Allocations'!$D$5:$N$106,O109,FALSE)</f>
        <v>0</v>
      </c>
      <c r="Q10" s="434">
        <f>F10-'Rev&amp;Expense'!D31</f>
        <v>0</v>
      </c>
      <c r="S10" s="434">
        <f>SUM(G10,J10,M10)-'G-6 Function Expense'!E16</f>
        <v>0</v>
      </c>
      <c r="T10" s="434">
        <f>SUM(H10,K10,N10)-'G-6 Function Expense'!F16</f>
        <v>0</v>
      </c>
      <c r="U10" s="434">
        <f>SUM(I10,L10,O10)-'G-6 Function Expense'!G16</f>
        <v>0</v>
      </c>
    </row>
    <row r="11" spans="1:21" ht="11.25" customHeight="1">
      <c r="A11" s="320">
        <f t="shared" si="0"/>
        <v>7</v>
      </c>
      <c r="B11" s="386"/>
      <c r="C11" s="377"/>
      <c r="D11" s="305"/>
      <c r="E11" s="305"/>
      <c r="S11" s="434"/>
      <c r="T11" s="434"/>
      <c r="U11" s="434"/>
    </row>
    <row r="12" spans="1:21" ht="11.25" customHeight="1">
      <c r="A12" s="320">
        <f t="shared" si="0"/>
        <v>8</v>
      </c>
      <c r="B12" s="453"/>
      <c r="C12" s="377" t="s">
        <v>138</v>
      </c>
      <c r="D12" s="305"/>
      <c r="E12" s="305"/>
      <c r="S12" s="434"/>
      <c r="T12" s="434"/>
      <c r="U12" s="434"/>
    </row>
    <row r="13" spans="1:21" ht="11.25" customHeight="1">
      <c r="A13" s="320">
        <f t="shared" si="0"/>
        <v>9</v>
      </c>
      <c r="B13" s="386">
        <v>871</v>
      </c>
      <c r="C13" s="379" t="s">
        <v>139</v>
      </c>
      <c r="D13" s="305" t="s">
        <v>99</v>
      </c>
      <c r="E13" s="305">
        <f>_xlfn.IFNA(VLOOKUP(D13,'G-7 Allocations'!$C$63:$D$106,2,),VLOOKUP(D13,'G-7 Allocations'!$C$10:$D$15,2,))</f>
        <v>42</v>
      </c>
      <c r="F13" s="375">
        <f t="shared" ref="F13:F27" si="2">SUM(G13:O13)</f>
        <v>0</v>
      </c>
      <c r="G13" s="404">
        <f>+VLOOKUP($E$13,'G-7 Allocations'!$D$5:$N$106,G109,FALSE)*'G-6 Function Expense'!$D$19</f>
        <v>0</v>
      </c>
      <c r="H13" s="404">
        <f>+VLOOKUP($E$13,'G-7 Allocations'!$D$5:$N$106,H109,FALSE)*'G-6 Function Expense'!$D$19</f>
        <v>0</v>
      </c>
      <c r="I13" s="404">
        <f>+VLOOKUP($E$13,'G-7 Allocations'!$D$5:$N$106,I109,FALSE)*'G-6 Function Expense'!$D$19</f>
        <v>0</v>
      </c>
      <c r="J13" s="404">
        <f>+VLOOKUP($E$13,'G-7 Allocations'!$D$5:$N$106,J109,FALSE)*'G-6 Function Expense'!$D$19</f>
        <v>0</v>
      </c>
      <c r="K13" s="404">
        <f>+VLOOKUP($E$13,'G-7 Allocations'!$D$5:$N$106,K109,FALSE)*'G-6 Function Expense'!$D$19</f>
        <v>0</v>
      </c>
      <c r="L13" s="404">
        <f>+VLOOKUP($E$13,'G-7 Allocations'!$D$5:$N$106,L109,FALSE)*'G-6 Function Expense'!$D$19</f>
        <v>0</v>
      </c>
      <c r="M13" s="404">
        <f>+VLOOKUP($E$13,'G-7 Allocations'!$D$5:$N$106,M109,FALSE)*'G-6 Function Expense'!$D$19</f>
        <v>0</v>
      </c>
      <c r="N13" s="404">
        <f>+VLOOKUP($E$13,'G-7 Allocations'!$D$5:$N$106,N109,FALSE)*'G-6 Function Expense'!$D$19</f>
        <v>0</v>
      </c>
      <c r="O13" s="404">
        <f>+VLOOKUP($E$13,'G-7 Allocations'!$D$5:$N$106,O109,FALSE)*'G-6 Function Expense'!$D$19</f>
        <v>0</v>
      </c>
      <c r="Q13" s="434">
        <f>F13-'Rev&amp;Expense'!D34</f>
        <v>0</v>
      </c>
      <c r="S13" s="434">
        <f>SUM(G13,J13,M13)-'G-6 Function Expense'!E19</f>
        <v>0</v>
      </c>
      <c r="T13" s="434">
        <f>SUM(H13,K13,N13)-'G-6 Function Expense'!F19</f>
        <v>0</v>
      </c>
      <c r="U13" s="434">
        <f>SUM(I13,L13,O13)-'G-6 Function Expense'!G19</f>
        <v>0</v>
      </c>
    </row>
    <row r="14" spans="1:21" ht="11.25" customHeight="1">
      <c r="A14" s="320">
        <f t="shared" si="0"/>
        <v>10</v>
      </c>
      <c r="B14" s="386">
        <v>874</v>
      </c>
      <c r="C14" s="379" t="s">
        <v>140</v>
      </c>
      <c r="D14" s="305" t="s">
        <v>141</v>
      </c>
      <c r="E14" s="305">
        <f>_xlfn.IFNA(VLOOKUP(D14,'G-7 Allocations'!$C$63:$D$106,2,),VLOOKUP(D14,'G-7 Allocations'!$C$10:$D$15,2,))</f>
        <v>21</v>
      </c>
      <c r="F14" s="370">
        <f t="shared" si="2"/>
        <v>2262554.1196882832</v>
      </c>
      <c r="G14" s="429">
        <f>+VLOOKUP($E$14,'G-7 Allocations'!$D$5:$N$106,G109,FALSE)*'G-6 Function Expense'!$D$20</f>
        <v>345232.4147056592</v>
      </c>
      <c r="H14" s="429">
        <f>+VLOOKUP($E$14,'G-7 Allocations'!$D$5:$N$106,H109,FALSE)*'G-6 Function Expense'!$D$20</f>
        <v>0</v>
      </c>
      <c r="I14" s="429">
        <f>+VLOOKUP($E$14,'G-7 Allocations'!$D$5:$N$106,I109,FALSE)*'G-6 Function Expense'!$D$20</f>
        <v>1504348.4879936338</v>
      </c>
      <c r="J14" s="429">
        <f>+VLOOKUP($E$14,'G-7 Allocations'!$D$5:$N$106,J109,FALSE)*'G-6 Function Expense'!$D$20</f>
        <v>148444.6249047211</v>
      </c>
      <c r="K14" s="429">
        <f>+VLOOKUP($E$14,'G-7 Allocations'!$D$5:$N$106,K109,FALSE)*'G-6 Function Expense'!$D$20</f>
        <v>0</v>
      </c>
      <c r="L14" s="429">
        <f>+VLOOKUP($E$14,'G-7 Allocations'!$D$5:$N$106,L109,FALSE)*'G-6 Function Expense'!$D$20</f>
        <v>126958.75157486988</v>
      </c>
      <c r="M14" s="429">
        <f>+VLOOKUP($E$14,'G-7 Allocations'!$D$5:$N$106,M109,FALSE)*'G-6 Function Expense'!$D$20</f>
        <v>136406.52699006291</v>
      </c>
      <c r="N14" s="429">
        <f>+VLOOKUP($E$14,'G-7 Allocations'!$D$5:$N$106,N109,FALSE)*'G-6 Function Expense'!$D$20</f>
        <v>0</v>
      </c>
      <c r="O14" s="429">
        <f>+VLOOKUP($E$14,'G-7 Allocations'!$D$5:$N$106,O109,FALSE)*'G-6 Function Expense'!$D$20</f>
        <v>1163.3135193364924</v>
      </c>
      <c r="P14" s="360"/>
      <c r="Q14" s="434">
        <f>F14-'Rev&amp;Expense'!D35</f>
        <v>0</v>
      </c>
      <c r="S14" s="434">
        <f>SUM(G14,J14,M14)-'G-6 Function Expense'!E20</f>
        <v>0</v>
      </c>
      <c r="T14" s="434">
        <f>SUM(H14,K14,N14)-'G-6 Function Expense'!F20</f>
        <v>0</v>
      </c>
      <c r="U14" s="434">
        <f>SUM(I14,L14,O14)-'G-6 Function Expense'!G20</f>
        <v>0</v>
      </c>
    </row>
    <row r="15" spans="1:21" ht="11.25" customHeight="1">
      <c r="A15" s="320">
        <f t="shared" si="0"/>
        <v>11</v>
      </c>
      <c r="B15" s="386">
        <v>875</v>
      </c>
      <c r="C15" s="379" t="s">
        <v>142</v>
      </c>
      <c r="D15" s="305" t="s">
        <v>143</v>
      </c>
      <c r="E15" s="305">
        <f>_xlfn.IFNA(VLOOKUP(D15,'G-7 Allocations'!$C$63:$D$106,2,),VLOOKUP(D15,'G-7 Allocations'!$C$10:$D$15,2,))</f>
        <v>44</v>
      </c>
      <c r="F15" s="370">
        <f t="shared" si="2"/>
        <v>418051.26895592129</v>
      </c>
      <c r="G15" s="429">
        <f>+VLOOKUP($E$15,'G-7 Allocations'!$D$5:$N$106,G109,FALSE)*'G-6 Function Expense'!$D$21</f>
        <v>229056.67867376524</v>
      </c>
      <c r="H15" s="429">
        <f>+VLOOKUP($E$15,'G-7 Allocations'!$D$5:$N$106,H109,FALSE)*'G-6 Function Expense'!$D$21</f>
        <v>0</v>
      </c>
      <c r="I15" s="429">
        <f>+VLOOKUP($E$15,'G-7 Allocations'!$D$5:$N$106,I109,FALSE)*'G-6 Function Expense'!$D$21</f>
        <v>0</v>
      </c>
      <c r="J15" s="429">
        <f>+VLOOKUP($E$15,'G-7 Allocations'!$D$5:$N$106,J109,FALSE)*'G-6 Function Expense'!$D$21</f>
        <v>98490.846453796039</v>
      </c>
      <c r="K15" s="429">
        <f>+VLOOKUP($E$15,'G-7 Allocations'!$D$5:$N$106,K109,FALSE)*'G-6 Function Expense'!$D$21</f>
        <v>0</v>
      </c>
      <c r="L15" s="429">
        <f>+VLOOKUP($E$15,'G-7 Allocations'!$D$5:$N$106,L109,FALSE)*'G-6 Function Expense'!$D$21</f>
        <v>0</v>
      </c>
      <c r="M15" s="429">
        <f>+VLOOKUP($E$15,'G-7 Allocations'!$D$5:$N$106,M109,FALSE)*'G-6 Function Expense'!$D$21</f>
        <v>90503.743828360006</v>
      </c>
      <c r="N15" s="429">
        <f>+VLOOKUP($E$15,'G-7 Allocations'!$D$5:$N$106,N109,FALSE)*'G-6 Function Expense'!$D$21</f>
        <v>0</v>
      </c>
      <c r="O15" s="429">
        <f>+VLOOKUP($E$15,'G-7 Allocations'!$D$5:$N$106,O109,FALSE)*'G-6 Function Expense'!$D$21</f>
        <v>0</v>
      </c>
      <c r="Q15" s="434">
        <f>F15-'Rev&amp;Expense'!D36</f>
        <v>0</v>
      </c>
      <c r="S15" s="434">
        <f>SUM(G15,J15,M15)-'G-6 Function Expense'!E21</f>
        <v>0</v>
      </c>
      <c r="T15" s="434">
        <f>SUM(H15,K15,N15)-'G-6 Function Expense'!F21</f>
        <v>0</v>
      </c>
      <c r="U15" s="434">
        <f>SUM(I15,L15,O15)-'G-6 Function Expense'!G21</f>
        <v>0</v>
      </c>
    </row>
    <row r="16" spans="1:21" ht="11.25" customHeight="1">
      <c r="A16" s="320">
        <f t="shared" si="0"/>
        <v>12</v>
      </c>
      <c r="B16" s="386">
        <v>876</v>
      </c>
      <c r="C16" s="379" t="s">
        <v>144</v>
      </c>
      <c r="D16" s="305" t="s">
        <v>143</v>
      </c>
      <c r="E16" s="305">
        <f>_xlfn.IFNA(VLOOKUP(D16,'G-7 Allocations'!$C$63:$D$106,2,),VLOOKUP(D16,'G-7 Allocations'!$C$10:$D$15,2,))</f>
        <v>44</v>
      </c>
      <c r="F16" s="370">
        <f t="shared" si="2"/>
        <v>124688.65841127178</v>
      </c>
      <c r="G16" s="429">
        <f>+VLOOKUP($E$16,'G-7 Allocations'!$D$5:$N$106,G109,FALSE)*'G-6 Function Expense'!$D$22</f>
        <v>68318.821362039598</v>
      </c>
      <c r="H16" s="429">
        <f>+VLOOKUP($E$16,'G-7 Allocations'!$D$5:$N$106,H109,FALSE)*'G-6 Function Expense'!$D$22</f>
        <v>0</v>
      </c>
      <c r="I16" s="429">
        <f>+VLOOKUP($E$16,'G-7 Allocations'!$D$5:$N$106,I109,FALSE)*'G-6 Function Expense'!$D$22</f>
        <v>0</v>
      </c>
      <c r="J16" s="429">
        <f>+VLOOKUP($E$16,'G-7 Allocations'!$D$5:$N$106,J109,FALSE)*'G-6 Function Expense'!$D$22</f>
        <v>29376.041701261409</v>
      </c>
      <c r="K16" s="429">
        <f>+VLOOKUP($E$16,'G-7 Allocations'!$D$5:$N$106,K109,FALSE)*'G-6 Function Expense'!$D$22</f>
        <v>0</v>
      </c>
      <c r="L16" s="429">
        <f>+VLOOKUP($E$16,'G-7 Allocations'!$D$5:$N$106,L109,FALSE)*'G-6 Function Expense'!$D$22</f>
        <v>0</v>
      </c>
      <c r="M16" s="429">
        <f>+VLOOKUP($E$16,'G-7 Allocations'!$D$5:$N$106,M109,FALSE)*'G-6 Function Expense'!$D$22</f>
        <v>26993.795347970776</v>
      </c>
      <c r="N16" s="429">
        <f>+VLOOKUP($E$16,'G-7 Allocations'!$D$5:$N$106,N109,FALSE)*'G-6 Function Expense'!$D$22</f>
        <v>0</v>
      </c>
      <c r="O16" s="429">
        <f>+VLOOKUP($E$16,'G-7 Allocations'!$D$5:$N$106,O109,FALSE)*'G-6 Function Expense'!$D$22</f>
        <v>0</v>
      </c>
      <c r="Q16" s="434">
        <f>F16-'Rev&amp;Expense'!D37</f>
        <v>0</v>
      </c>
      <c r="S16" s="434">
        <f>SUM(G16,J16,M16)-'G-6 Function Expense'!E22</f>
        <v>0</v>
      </c>
      <c r="T16" s="434">
        <f>SUM(H16,K16,N16)-'G-6 Function Expense'!F22</f>
        <v>0</v>
      </c>
      <c r="U16" s="434">
        <f>SUM(I16,L16,O16)-'G-6 Function Expense'!G22</f>
        <v>0</v>
      </c>
    </row>
    <row r="17" spans="1:21" ht="11.25" customHeight="1">
      <c r="A17" s="320">
        <f t="shared" si="0"/>
        <v>13</v>
      </c>
      <c r="B17" s="386">
        <v>877</v>
      </c>
      <c r="C17" s="379" t="s">
        <v>145</v>
      </c>
      <c r="D17" s="305" t="s">
        <v>143</v>
      </c>
      <c r="E17" s="305">
        <f>_xlfn.IFNA(VLOOKUP(D17,'G-7 Allocations'!$C$63:$D$106,2,),VLOOKUP(D17,'G-7 Allocations'!$C$10:$D$15,2,))</f>
        <v>44</v>
      </c>
      <c r="F17" s="370">
        <f t="shared" si="2"/>
        <v>77236.156370506971</v>
      </c>
      <c r="G17" s="429">
        <f>+VLOOKUP($E$17,'G-7 Allocations'!$D$5:$N$106,G109,FALSE)*'G-6 Function Expense'!$D$23</f>
        <v>42318.870352768288</v>
      </c>
      <c r="H17" s="429">
        <f>+VLOOKUP($E$17,'G-7 Allocations'!$D$5:$N$106,H109,FALSE)*'G-6 Function Expense'!$D$23</f>
        <v>0</v>
      </c>
      <c r="I17" s="429">
        <f>+VLOOKUP($E$17,'G-7 Allocations'!$D$5:$N$106,I109,FALSE)*'G-6 Function Expense'!$D$23</f>
        <v>0</v>
      </c>
      <c r="J17" s="429">
        <f>+VLOOKUP($E$17,'G-7 Allocations'!$D$5:$N$106,J109,FALSE)*'G-6 Function Expense'!$D$23</f>
        <v>18196.462928500423</v>
      </c>
      <c r="K17" s="429">
        <f>+VLOOKUP($E$17,'G-7 Allocations'!$D$5:$N$106,K109,FALSE)*'G-6 Function Expense'!$D$23</f>
        <v>0</v>
      </c>
      <c r="L17" s="429">
        <f>+VLOOKUP($E$17,'G-7 Allocations'!$D$5:$N$106,L109,FALSE)*'G-6 Function Expense'!$D$23</f>
        <v>0</v>
      </c>
      <c r="M17" s="429">
        <f>+VLOOKUP($E$17,'G-7 Allocations'!$D$5:$N$106,M109,FALSE)*'G-6 Function Expense'!$D$23</f>
        <v>16720.823089238249</v>
      </c>
      <c r="N17" s="429">
        <f>+VLOOKUP($E$17,'G-7 Allocations'!$D$5:$N$106,N109,FALSE)*'G-6 Function Expense'!$D$23</f>
        <v>0</v>
      </c>
      <c r="O17" s="429">
        <f>+VLOOKUP($E$17,'G-7 Allocations'!$D$5:$N$106,O109,FALSE)*'G-6 Function Expense'!$D$23</f>
        <v>0</v>
      </c>
      <c r="Q17" s="434">
        <f>F17-'Rev&amp;Expense'!D38</f>
        <v>0</v>
      </c>
      <c r="S17" s="434">
        <f>SUM(G17,J17,M17)-'G-6 Function Expense'!E23</f>
        <v>0</v>
      </c>
      <c r="T17" s="434">
        <f>SUM(H17,K17,N17)-'G-6 Function Expense'!F23</f>
        <v>0</v>
      </c>
      <c r="U17" s="434">
        <f>SUM(I17,L17,O17)-'G-6 Function Expense'!G23</f>
        <v>0</v>
      </c>
    </row>
    <row r="18" spans="1:21" ht="11.25" customHeight="1">
      <c r="A18" s="320">
        <f t="shared" si="0"/>
        <v>14</v>
      </c>
      <c r="B18" s="386">
        <v>878</v>
      </c>
      <c r="C18" s="379" t="s">
        <v>146</v>
      </c>
      <c r="D18" s="305" t="s">
        <v>147</v>
      </c>
      <c r="E18" s="305">
        <f>_xlfn.IFNA(VLOOKUP(D18,'G-7 Allocations'!$C$63:$D$106,2,),VLOOKUP(D18,'G-7 Allocations'!$C$10:$D$15,2,))</f>
        <v>22</v>
      </c>
      <c r="F18" s="370">
        <f t="shared" si="2"/>
        <v>1473872.5477931555</v>
      </c>
      <c r="G18" s="429">
        <f>+'G-6 Function Expense'!$D$24*VLOOKUP($E$18,'G-7 Allocations'!$D$5:$N$106,G109,FALSE)</f>
        <v>0</v>
      </c>
      <c r="H18" s="429">
        <f>+'G-6 Function Expense'!$D$24*VLOOKUP($E$18,'G-7 Allocations'!$D$5:$N$106,H109,FALSE)</f>
        <v>0</v>
      </c>
      <c r="I18" s="429">
        <f>+'G-6 Function Expense'!$D$24*VLOOKUP($E$18,'G-7 Allocations'!$D$5:$N$106,I109,FALSE)</f>
        <v>1358391.6706793939</v>
      </c>
      <c r="J18" s="429">
        <f>+'G-6 Function Expense'!$D$24*VLOOKUP($E$18,'G-7 Allocations'!$D$5:$N$106,J109,FALSE)</f>
        <v>0</v>
      </c>
      <c r="K18" s="429">
        <f>+'G-6 Function Expense'!$D$24*VLOOKUP($E$18,'G-7 Allocations'!$D$5:$N$106,K109,FALSE)</f>
        <v>0</v>
      </c>
      <c r="L18" s="429">
        <f>+'G-6 Function Expense'!$D$24*VLOOKUP($E$18,'G-7 Allocations'!$D$5:$N$106,L109,FALSE)</f>
        <v>114807.75081080655</v>
      </c>
      <c r="M18" s="429">
        <f>+'G-6 Function Expense'!$D$24*VLOOKUP($E$18,'G-7 Allocations'!$D$5:$N$106,M109,FALSE)</f>
        <v>0</v>
      </c>
      <c r="N18" s="429">
        <f>+'G-6 Function Expense'!$D$24*VLOOKUP($E$18,'G-7 Allocations'!$D$5:$N$106,N109,FALSE)</f>
        <v>0</v>
      </c>
      <c r="O18" s="429">
        <f>+'G-6 Function Expense'!$D$24*VLOOKUP($E$18,'G-7 Allocations'!$D$5:$N$106,O109,FALSE)</f>
        <v>673.12630295488191</v>
      </c>
      <c r="Q18" s="434">
        <f>F18-'Rev&amp;Expense'!D39</f>
        <v>0</v>
      </c>
      <c r="S18" s="434">
        <f>SUM(G18,J18,M18)-'G-6 Function Expense'!E24</f>
        <v>0</v>
      </c>
      <c r="T18" s="434">
        <f>SUM(H18,K18,N18)-'G-6 Function Expense'!F24</f>
        <v>0</v>
      </c>
      <c r="U18" s="434">
        <f>SUM(I18,L18,O18)-'G-6 Function Expense'!G24</f>
        <v>0</v>
      </c>
    </row>
    <row r="19" spans="1:21" ht="11.25" customHeight="1">
      <c r="A19" s="320">
        <f t="shared" si="0"/>
        <v>15</v>
      </c>
      <c r="B19" s="386">
        <v>879</v>
      </c>
      <c r="C19" s="379" t="s">
        <v>148</v>
      </c>
      <c r="D19" s="305" t="s">
        <v>147</v>
      </c>
      <c r="E19" s="305">
        <f>_xlfn.IFNA(VLOOKUP(D19,'G-7 Allocations'!$C$63:$D$106,2,),VLOOKUP(D19,'G-7 Allocations'!$C$10:$D$15,2,))</f>
        <v>22</v>
      </c>
      <c r="F19" s="370">
        <f t="shared" si="2"/>
        <v>1370408.0245042413</v>
      </c>
      <c r="G19" s="429">
        <f>+VLOOKUP($E$19,'G-7 Allocations'!$D$5:$N$106,G109,FALSE)*'G-6 Function Expense'!$D$25</f>
        <v>0</v>
      </c>
      <c r="H19" s="429">
        <f>+VLOOKUP($E$19,'G-7 Allocations'!$D$5:$N$106,H109,FALSE)*'G-6 Function Expense'!$D$25</f>
        <v>0</v>
      </c>
      <c r="I19" s="429">
        <f>+VLOOKUP($E$19,'G-7 Allocations'!$D$5:$N$106,I109,FALSE)*'G-6 Function Expense'!$D$25</f>
        <v>1263033.8007896838</v>
      </c>
      <c r="J19" s="429">
        <f>+VLOOKUP($E$19,'G-7 Allocations'!$D$5:$N$106,J109,FALSE)*'G-6 Function Expense'!$D$25</f>
        <v>0</v>
      </c>
      <c r="K19" s="429">
        <f>+VLOOKUP($E$19,'G-7 Allocations'!$D$5:$N$106,K109,FALSE)*'G-6 Function Expense'!$D$25</f>
        <v>0</v>
      </c>
      <c r="L19" s="429">
        <f>+VLOOKUP($E$19,'G-7 Allocations'!$D$5:$N$106,L109,FALSE)*'G-6 Function Expense'!$D$25</f>
        <v>106748.35027084914</v>
      </c>
      <c r="M19" s="429">
        <f>+VLOOKUP($E$19,'G-7 Allocations'!$D$5:$N$106,M109,FALSE)*'G-6 Function Expense'!$D$25</f>
        <v>0</v>
      </c>
      <c r="N19" s="429">
        <f>+VLOOKUP($E$19,'G-7 Allocations'!$D$5:$N$106,N109,FALSE)*'G-6 Function Expense'!$D$25</f>
        <v>0</v>
      </c>
      <c r="O19" s="429">
        <f>+VLOOKUP($E$19,'G-7 Allocations'!$D$5:$N$106,O109,FALSE)*'G-6 Function Expense'!$D$25</f>
        <v>625.87344370817448</v>
      </c>
      <c r="Q19" s="434">
        <f>F19-'Rev&amp;Expense'!D40</f>
        <v>0</v>
      </c>
      <c r="S19" s="434">
        <f>SUM(G19,J19,M19)-'G-6 Function Expense'!E25</f>
        <v>0</v>
      </c>
      <c r="T19" s="434">
        <f>SUM(H19,K19,N19)-'G-6 Function Expense'!F25</f>
        <v>0</v>
      </c>
      <c r="U19" s="434">
        <f>SUM(I19,L19,O19)-'G-6 Function Expense'!G25</f>
        <v>0</v>
      </c>
    </row>
    <row r="20" spans="1:21" ht="11.25" customHeight="1">
      <c r="A20" s="320">
        <f t="shared" si="0"/>
        <v>16</v>
      </c>
      <c r="B20" s="386">
        <v>880</v>
      </c>
      <c r="C20" s="379" t="s">
        <v>149</v>
      </c>
      <c r="D20" s="304" t="s">
        <v>150</v>
      </c>
      <c r="E20" s="305">
        <f>_xlfn.IFNA(VLOOKUP(D20,'G-7 Allocations'!$C$63:$D$106,2,),VLOOKUP(D20,'G-7 Allocations'!$C$10:$D$15,2,))</f>
        <v>23</v>
      </c>
      <c r="F20" s="370">
        <f t="shared" si="2"/>
        <v>2326551.7266483977</v>
      </c>
      <c r="G20" s="429">
        <f>+VLOOKUP($E$20,'G-7 Allocations'!$D$5:$N$106,G109,FALSE)*'G-6 Function Expense'!$D$26</f>
        <v>327491.28946360963</v>
      </c>
      <c r="H20" s="429">
        <f>+VLOOKUP($E$20,'G-7 Allocations'!$D$5:$N$106,H109,FALSE)*'G-6 Function Expense'!$D$26</f>
        <v>0</v>
      </c>
      <c r="I20" s="429">
        <f>+VLOOKUP($E$20,'G-7 Allocations'!$D$5:$N$106,I109,FALSE)*'G-6 Function Expense'!$D$26</f>
        <v>1554103.2937884375</v>
      </c>
      <c r="J20" s="429">
        <f>+VLOOKUP($E$20,'G-7 Allocations'!$D$5:$N$106,J109,FALSE)*'G-6 Function Expense'!$D$26</f>
        <v>140816.21410155512</v>
      </c>
      <c r="K20" s="429">
        <f>+VLOOKUP($E$20,'G-7 Allocations'!$D$5:$N$106,K109,FALSE)*'G-6 Function Expense'!$D$26</f>
        <v>0</v>
      </c>
      <c r="L20" s="429">
        <f>+VLOOKUP($E$20,'G-7 Allocations'!$D$5:$N$106,L109,FALSE)*'G-6 Function Expense'!$D$26</f>
        <v>159513.41758227465</v>
      </c>
      <c r="M20" s="429">
        <f>+VLOOKUP($E$20,'G-7 Allocations'!$D$5:$N$106,M109,FALSE)*'G-6 Function Expense'!$D$26</f>
        <v>129396.74118757101</v>
      </c>
      <c r="N20" s="429">
        <f>+VLOOKUP($E$20,'G-7 Allocations'!$D$5:$N$106,N109,FALSE)*'G-6 Function Expense'!$D$26</f>
        <v>0</v>
      </c>
      <c r="O20" s="429">
        <f>+VLOOKUP($E$20,'G-7 Allocations'!$D$5:$N$106,O109,FALSE)*'G-6 Function Expense'!$D$26</f>
        <v>15230.770524949616</v>
      </c>
      <c r="Q20" s="434">
        <f>F20-'Rev&amp;Expense'!D41</f>
        <v>0</v>
      </c>
      <c r="S20" s="434">
        <f>SUM(G20,J20,M20)-'G-6 Function Expense'!E26</f>
        <v>0</v>
      </c>
      <c r="T20" s="434">
        <f>SUM(H20,K20,N20)-'G-6 Function Expense'!F26</f>
        <v>0</v>
      </c>
      <c r="U20" s="434">
        <f>SUM(I20,L20,O20)-'G-6 Function Expense'!G26</f>
        <v>0</v>
      </c>
    </row>
    <row r="21" spans="1:21" ht="11.25" customHeight="1">
      <c r="A21" s="320">
        <f t="shared" si="0"/>
        <v>17</v>
      </c>
      <c r="B21" s="385">
        <v>881</v>
      </c>
      <c r="C21" s="379" t="s">
        <v>151</v>
      </c>
      <c r="D21" s="305" t="s">
        <v>99</v>
      </c>
      <c r="E21" s="305">
        <f>_xlfn.IFNA(VLOOKUP(D21,'G-7 Allocations'!$C$63:$D$106,2,),VLOOKUP(D21,'G-7 Allocations'!$C$10:$D$15,2,))</f>
        <v>42</v>
      </c>
      <c r="F21" s="370">
        <f t="shared" si="2"/>
        <v>21291.200000000001</v>
      </c>
      <c r="G21" s="429">
        <f>+VLOOKUP($E$21,'G-7 Allocations'!$D$5:$N$106,G109,FALSE)*'G-6 Function Expense'!$D$27</f>
        <v>11665.77383955527</v>
      </c>
      <c r="H21" s="429">
        <f>+VLOOKUP($E$21,'G-7 Allocations'!$D$5:$N$106,H109,FALSE)*'G-6 Function Expense'!$D$27</f>
        <v>0</v>
      </c>
      <c r="I21" s="429">
        <f>+VLOOKUP($E$21,'G-7 Allocations'!$D$5:$N$106,I109,FALSE)*'G-6 Function Expense'!$D$27</f>
        <v>0</v>
      </c>
      <c r="J21" s="429">
        <f>+VLOOKUP($E$21,'G-7 Allocations'!$D$5:$N$106,J109,FALSE)*'G-6 Function Expense'!$D$27</f>
        <v>5016.1032048874495</v>
      </c>
      <c r="K21" s="429">
        <f>+VLOOKUP($E$21,'G-7 Allocations'!$D$5:$N$106,K109,FALSE)*'G-6 Function Expense'!$D$27</f>
        <v>0</v>
      </c>
      <c r="L21" s="429">
        <f>+VLOOKUP($E$21,'G-7 Allocations'!$D$5:$N$106,L109,FALSE)*'G-6 Function Expense'!$D$27</f>
        <v>0</v>
      </c>
      <c r="M21" s="429">
        <f>+VLOOKUP($E$21,'G-7 Allocations'!$D$5:$N$106,M109,FALSE)*'G-6 Function Expense'!$D$27</f>
        <v>4609.3229555572798</v>
      </c>
      <c r="N21" s="429">
        <f>+VLOOKUP($E$21,'G-7 Allocations'!$D$5:$N$106,N109,FALSE)*'G-6 Function Expense'!$D$27</f>
        <v>0</v>
      </c>
      <c r="O21" s="429">
        <f>+VLOOKUP($E$21,'G-7 Allocations'!$D$5:$N$106,O109,FALSE)*'G-6 Function Expense'!$D$27</f>
        <v>0</v>
      </c>
      <c r="Q21" s="434">
        <f>F21-'Rev&amp;Expense'!D42</f>
        <v>0</v>
      </c>
      <c r="S21" s="434">
        <f>SUM(G21,J21,M21)-'G-6 Function Expense'!E27</f>
        <v>0</v>
      </c>
      <c r="T21" s="434">
        <f>SUM(H21,K21,N21)-'G-6 Function Expense'!F27</f>
        <v>0</v>
      </c>
      <c r="U21" s="434">
        <f>SUM(I21,L21,O21)-'G-6 Function Expense'!G27</f>
        <v>0</v>
      </c>
    </row>
    <row r="22" spans="1:21" ht="11.25" customHeight="1">
      <c r="A22" s="320">
        <f t="shared" si="0"/>
        <v>18</v>
      </c>
      <c r="B22" s="385">
        <v>885</v>
      </c>
      <c r="C22" s="379" t="s">
        <v>152</v>
      </c>
      <c r="D22" s="304" t="s">
        <v>153</v>
      </c>
      <c r="E22" s="305">
        <f>_xlfn.IFNA(VLOOKUP(D22,'G-7 Allocations'!$C$63:$D$106,2,),VLOOKUP(D22,'G-7 Allocations'!$C$10:$D$15,2,))</f>
        <v>31</v>
      </c>
      <c r="F22" s="370">
        <f t="shared" si="2"/>
        <v>205178.19359469268</v>
      </c>
      <c r="G22" s="429">
        <f>+VLOOKUP($E$22,'G-7 Allocations'!$D$5:$N$106,G109,FALSE)*'G-6 Function Expense'!$D$28</f>
        <v>21181.785396202391</v>
      </c>
      <c r="H22" s="429">
        <f>+VLOOKUP($E$22,'G-7 Allocations'!$D$5:$N$106,H109,FALSE)*'G-6 Function Expense'!$D$28</f>
        <v>0</v>
      </c>
      <c r="I22" s="429">
        <f>+VLOOKUP($E$22,'G-7 Allocations'!$D$5:$N$106,I109,FALSE)*'G-6 Function Expense'!$D$28</f>
        <v>153472.20023129767</v>
      </c>
      <c r="J22" s="429">
        <f>+VLOOKUP($E$22,'G-7 Allocations'!$D$5:$N$106,J109,FALSE)*'G-6 Function Expense'!$D$28</f>
        <v>9107.8417147832806</v>
      </c>
      <c r="K22" s="429">
        <f>+VLOOKUP($E$22,'G-7 Allocations'!$D$5:$N$106,K109,FALSE)*'G-6 Function Expense'!$D$28</f>
        <v>0</v>
      </c>
      <c r="L22" s="429">
        <f>+VLOOKUP($E$22,'G-7 Allocations'!$D$5:$N$106,L109,FALSE)*'G-6 Function Expense'!$D$28</f>
        <v>12971.073439907479</v>
      </c>
      <c r="M22" s="429">
        <f>+VLOOKUP($E$22,'G-7 Allocations'!$D$5:$N$106,M109,FALSE)*'G-6 Function Expense'!$D$28</f>
        <v>8369.2424531115103</v>
      </c>
      <c r="N22" s="429">
        <f>+VLOOKUP($E$22,'G-7 Allocations'!$D$5:$N$106,N109,FALSE)*'G-6 Function Expense'!$D$28</f>
        <v>0</v>
      </c>
      <c r="O22" s="429">
        <f>+VLOOKUP($E$22,'G-7 Allocations'!$D$5:$N$106,O109,FALSE)*'G-6 Function Expense'!$D$28</f>
        <v>76.050359390363923</v>
      </c>
      <c r="Q22" s="434">
        <f>F22-'Rev&amp;Expense'!D43</f>
        <v>0</v>
      </c>
      <c r="S22" s="434">
        <f>SUM(G22,J22,M22)-'G-6 Function Expense'!E28</f>
        <v>0</v>
      </c>
      <c r="T22" s="434">
        <f>SUM(H22,K22,N22)-'G-6 Function Expense'!F28</f>
        <v>0</v>
      </c>
      <c r="U22" s="434">
        <f>SUM(I22,L22,O22)-'G-6 Function Expense'!G28</f>
        <v>0</v>
      </c>
    </row>
    <row r="23" spans="1:21" ht="11.25" customHeight="1">
      <c r="A23" s="320">
        <f t="shared" si="0"/>
        <v>19</v>
      </c>
      <c r="B23" s="385">
        <v>887</v>
      </c>
      <c r="C23" s="379" t="s">
        <v>154</v>
      </c>
      <c r="D23" s="305" t="s">
        <v>155</v>
      </c>
      <c r="E23" s="305">
        <f>_xlfn.IFNA(VLOOKUP(D23,'G-7 Allocations'!$C$63:$D$106,2,),VLOOKUP(D23,'G-7 Allocations'!$C$10:$D$15,2,))</f>
        <v>43</v>
      </c>
      <c r="F23" s="370">
        <f t="shared" si="2"/>
        <v>586975.12093035947</v>
      </c>
      <c r="G23" s="429">
        <f>+VLOOKUP($E$23,'G-7 Allocations'!$D$5:$N$106,G109,FALSE)*'G-6 Function Expense'!$D$29</f>
        <v>155937.90739078316</v>
      </c>
      <c r="H23" s="429">
        <f>+VLOOKUP($E$23,'G-7 Allocations'!$D$5:$N$106,H109,FALSE)*'G-6 Function Expense'!$D$29</f>
        <v>0</v>
      </c>
      <c r="I23" s="429">
        <f>+VLOOKUP($E$23,'G-7 Allocations'!$D$5:$N$106,I109,FALSE)*'G-6 Function Expense'!$D$29</f>
        <v>278681.37302247214</v>
      </c>
      <c r="J23" s="429">
        <f>+VLOOKUP($E$23,'G-7 Allocations'!$D$5:$N$106,J109,FALSE)*'G-6 Function Expense'!$D$29</f>
        <v>67050.900161816389</v>
      </c>
      <c r="K23" s="429">
        <f>+VLOOKUP($E$23,'G-7 Allocations'!$D$5:$N$106,K109,FALSE)*'G-6 Function Expense'!$D$29</f>
        <v>0</v>
      </c>
      <c r="L23" s="429">
        <f>+VLOOKUP($E$23,'G-7 Allocations'!$D$5:$N$106,L109,FALSE)*'G-6 Function Expense'!$D$29</f>
        <v>23553.428896965594</v>
      </c>
      <c r="M23" s="429">
        <f>+VLOOKUP($E$23,'G-7 Allocations'!$D$5:$N$106,M109,FALSE)*'G-6 Function Expense'!$D$29</f>
        <v>61613.415969094713</v>
      </c>
      <c r="N23" s="429">
        <f>+VLOOKUP($E$23,'G-7 Allocations'!$D$5:$N$106,N109,FALSE)*'G-6 Function Expense'!$D$29</f>
        <v>0</v>
      </c>
      <c r="O23" s="429">
        <f>+VLOOKUP($E$23,'G-7 Allocations'!$D$5:$N$106,O109,FALSE)*'G-6 Function Expense'!$D$29</f>
        <v>138.09548922748166</v>
      </c>
      <c r="Q23" s="434">
        <f>F23-'Rev&amp;Expense'!D44</f>
        <v>0</v>
      </c>
      <c r="S23" s="434">
        <f>SUM(G23,J23,M23)-'G-6 Function Expense'!E29</f>
        <v>0</v>
      </c>
      <c r="T23" s="434">
        <f>SUM(H23,K23,N23)-'G-6 Function Expense'!F29</f>
        <v>0</v>
      </c>
      <c r="U23" s="434">
        <f>SUM(I23,L23,O23)-'G-6 Function Expense'!G29</f>
        <v>0</v>
      </c>
    </row>
    <row r="24" spans="1:21" ht="11.25" customHeight="1">
      <c r="A24" s="320">
        <f t="shared" si="0"/>
        <v>20</v>
      </c>
      <c r="B24" s="385">
        <v>889</v>
      </c>
      <c r="C24" s="379" t="s">
        <v>156</v>
      </c>
      <c r="D24" s="304" t="s">
        <v>143</v>
      </c>
      <c r="E24" s="305">
        <f>_xlfn.IFNA(VLOOKUP(D24,'G-7 Allocations'!$C$63:$D$106,2,),VLOOKUP(D24,'G-7 Allocations'!$C$10:$D$15,2,))</f>
        <v>44</v>
      </c>
      <c r="F24" s="370">
        <f t="shared" si="2"/>
        <v>7399.7605250777324</v>
      </c>
      <c r="G24" s="429">
        <f>+VLOOKUP($E$24,'G-7 Allocations'!$D$5:$N$106,G109,FALSE)*'G-6 Function Expense'!$D$30</f>
        <v>4054.4418704641157</v>
      </c>
      <c r="H24" s="429">
        <f>+VLOOKUP($E$24,'G-7 Allocations'!$D$5:$N$106,H109,FALSE)*'G-6 Function Expense'!$D$30</f>
        <v>0</v>
      </c>
      <c r="I24" s="429">
        <f>+VLOOKUP($E$24,'G-7 Allocations'!$D$5:$N$106,I109,FALSE)*'G-6 Function Expense'!$D$30</f>
        <v>0</v>
      </c>
      <c r="J24" s="429">
        <f>+VLOOKUP($E$24,'G-7 Allocations'!$D$5:$N$106,J109,FALSE)*'G-6 Function Expense'!$D$30</f>
        <v>1743.3476030116694</v>
      </c>
      <c r="K24" s="429">
        <f>+VLOOKUP($E$24,'G-7 Allocations'!$D$5:$N$106,K109,FALSE)*'G-6 Function Expense'!$D$30</f>
        <v>0</v>
      </c>
      <c r="L24" s="429">
        <f>+VLOOKUP($E$24,'G-7 Allocations'!$D$5:$N$106,L109,FALSE)*'G-6 Function Expense'!$D$30</f>
        <v>0</v>
      </c>
      <c r="M24" s="429">
        <f>+VLOOKUP($E$24,'G-7 Allocations'!$D$5:$N$106,M109,FALSE)*'G-6 Function Expense'!$D$30</f>
        <v>1601.9710516019475</v>
      </c>
      <c r="N24" s="429">
        <f>+VLOOKUP($E$24,'G-7 Allocations'!$D$5:$N$106,N109,FALSE)*'G-6 Function Expense'!$D$30</f>
        <v>0</v>
      </c>
      <c r="O24" s="429">
        <f>+VLOOKUP($E$24,'G-7 Allocations'!$D$5:$N$106,O109,FALSE)*'G-6 Function Expense'!$D$30</f>
        <v>0</v>
      </c>
      <c r="Q24" s="434">
        <f>F24-'Rev&amp;Expense'!D45</f>
        <v>0</v>
      </c>
      <c r="S24" s="434">
        <f>SUM(G24,J24,M24)-'G-6 Function Expense'!E30</f>
        <v>0</v>
      </c>
      <c r="T24" s="434">
        <f>SUM(H24,K24,N24)-'G-6 Function Expense'!F30</f>
        <v>0</v>
      </c>
      <c r="U24" s="434">
        <f>SUM(I24,L24,O24)-'G-6 Function Expense'!G30</f>
        <v>0</v>
      </c>
    </row>
    <row r="25" spans="1:21" ht="11.25" customHeight="1">
      <c r="A25" s="320">
        <f t="shared" si="0"/>
        <v>21</v>
      </c>
      <c r="B25" s="385">
        <v>892</v>
      </c>
      <c r="C25" s="379" t="s">
        <v>157</v>
      </c>
      <c r="D25" s="304" t="s">
        <v>87</v>
      </c>
      <c r="E25" s="305">
        <f>_xlfn.IFNA(VLOOKUP(D25,'G-7 Allocations'!$C$63:$D$106,2,),VLOOKUP(D25,'G-7 Allocations'!$C$10:$D$15,2,))</f>
        <v>4</v>
      </c>
      <c r="F25" s="370">
        <f t="shared" si="2"/>
        <v>312004.64396970737</v>
      </c>
      <c r="G25" s="429">
        <f>+VLOOKUP($E$25,'G-7 Allocations'!$D$5:$N$106,G109,FALSE)*'G-6 Function Expense'!$D$31</f>
        <v>0</v>
      </c>
      <c r="H25" s="429">
        <f>+VLOOKUP($E$25,'G-7 Allocations'!$D$5:$N$106,H109,FALSE)*'G-6 Function Expense'!$D$31</f>
        <v>0</v>
      </c>
      <c r="I25" s="429">
        <f>+VLOOKUP($E$25,'G-7 Allocations'!$D$5:$N$106,I109,FALSE)*'G-6 Function Expense'!$D$31</f>
        <v>287488.88992023334</v>
      </c>
      <c r="J25" s="429">
        <f>+VLOOKUP($E$25,'G-7 Allocations'!$D$5:$N$106,J109,FALSE)*'G-6 Function Expense'!$D$31</f>
        <v>0</v>
      </c>
      <c r="K25" s="429">
        <f>+VLOOKUP($E$25,'G-7 Allocations'!$D$5:$N$106,K109,FALSE)*'G-6 Function Expense'!$D$31</f>
        <v>0</v>
      </c>
      <c r="L25" s="429">
        <f>+VLOOKUP($E$25,'G-7 Allocations'!$D$5:$N$106,L109,FALSE)*'G-6 Function Expense'!$D$31</f>
        <v>24237.916624308895</v>
      </c>
      <c r="M25" s="429">
        <f>+VLOOKUP($E$25,'G-7 Allocations'!$D$5:$N$106,M109,FALSE)*'G-6 Function Expense'!$D$31</f>
        <v>0</v>
      </c>
      <c r="N25" s="429">
        <f>+VLOOKUP($E$25,'G-7 Allocations'!$D$5:$N$106,N109,FALSE)*'G-6 Function Expense'!$D$31</f>
        <v>0</v>
      </c>
      <c r="O25" s="429">
        <f>+VLOOKUP($E$25,'G-7 Allocations'!$D$5:$N$106,O109,FALSE)*'G-6 Function Expense'!$D$31</f>
        <v>277.83742516508272</v>
      </c>
      <c r="Q25" s="434">
        <f>F25-'Rev&amp;Expense'!D46</f>
        <v>0</v>
      </c>
      <c r="S25" s="434">
        <f>SUM(G25,J25,M25)-'G-6 Function Expense'!E31</f>
        <v>0</v>
      </c>
      <c r="T25" s="434">
        <f>SUM(H25,K25,N25)-'G-6 Function Expense'!F31</f>
        <v>0</v>
      </c>
      <c r="U25" s="434">
        <f>SUM(I25,L25,O25)-'G-6 Function Expense'!G31</f>
        <v>0</v>
      </c>
    </row>
    <row r="26" spans="1:21" ht="11.25" customHeight="1">
      <c r="A26" s="320">
        <f t="shared" si="0"/>
        <v>22</v>
      </c>
      <c r="B26" s="385">
        <v>893</v>
      </c>
      <c r="C26" s="379" t="s">
        <v>158</v>
      </c>
      <c r="D26" s="304" t="s">
        <v>87</v>
      </c>
      <c r="E26" s="305">
        <f>_xlfn.IFNA(VLOOKUP(D26,'G-7 Allocations'!$C$63:$D$106,2,),VLOOKUP(D26,'G-7 Allocations'!$C$10:$D$15,2,))</f>
        <v>4</v>
      </c>
      <c r="F26" s="370">
        <f t="shared" si="2"/>
        <v>297423.48644793994</v>
      </c>
      <c r="G26" s="429">
        <f>+VLOOKUP($E$26,'G-7 Allocations'!$D$5:$N$106,G109,FALSE)*'G-6 Function Expense'!$D$32</f>
        <v>0</v>
      </c>
      <c r="H26" s="429">
        <f>+VLOOKUP($E$26,'G-7 Allocations'!$D$5:$N$106,H109,FALSE)*'G-6 Function Expense'!$D$32</f>
        <v>0</v>
      </c>
      <c r="I26" s="429">
        <f>+VLOOKUP($E$26,'G-7 Allocations'!$D$5:$N$106,I109,FALSE)*'G-6 Function Expense'!$D$32</f>
        <v>274053.4463436564</v>
      </c>
      <c r="J26" s="429">
        <f>+VLOOKUP($E$26,'G-7 Allocations'!$D$5:$N$106,J109,FALSE)*'G-6 Function Expense'!$D$32</f>
        <v>0</v>
      </c>
      <c r="K26" s="429">
        <f>+VLOOKUP($E$26,'G-7 Allocations'!$D$5:$N$106,K109,FALSE)*'G-6 Function Expense'!$D$32</f>
        <v>0</v>
      </c>
      <c r="L26" s="429">
        <f>+VLOOKUP($E$26,'G-7 Allocations'!$D$5:$N$106,L109,FALSE)*'G-6 Function Expense'!$D$32</f>
        <v>23105.187073229434</v>
      </c>
      <c r="M26" s="429">
        <f>+VLOOKUP($E$26,'G-7 Allocations'!$D$5:$N$106,M109,FALSE)*'G-6 Function Expense'!$D$32</f>
        <v>0</v>
      </c>
      <c r="N26" s="429">
        <f>+VLOOKUP($E$26,'G-7 Allocations'!$D$5:$N$106,N109,FALSE)*'G-6 Function Expense'!$D$32</f>
        <v>0</v>
      </c>
      <c r="O26" s="429">
        <f>+VLOOKUP($E$26,'G-7 Allocations'!$D$5:$N$106,O109,FALSE)*'G-6 Function Expense'!$D$32</f>
        <v>264.85303105405251</v>
      </c>
      <c r="Q26" s="434">
        <f>F26-'Rev&amp;Expense'!D47</f>
        <v>0</v>
      </c>
      <c r="S26" s="434">
        <f>SUM(G26,J26,M26)-'G-6 Function Expense'!E32</f>
        <v>0</v>
      </c>
      <c r="T26" s="434">
        <f>SUM(H26,K26,N26)-'G-6 Function Expense'!F32</f>
        <v>0</v>
      </c>
      <c r="U26" s="434">
        <f>SUM(I26,L26,O26)-'G-6 Function Expense'!G32</f>
        <v>0</v>
      </c>
    </row>
    <row r="27" spans="1:21" ht="11.25" customHeight="1">
      <c r="A27" s="320">
        <f t="shared" si="0"/>
        <v>23</v>
      </c>
      <c r="B27" s="385">
        <v>894</v>
      </c>
      <c r="C27" s="379" t="s">
        <v>159</v>
      </c>
      <c r="D27" s="305" t="s">
        <v>99</v>
      </c>
      <c r="E27" s="305">
        <f>_xlfn.IFNA(VLOOKUP(D27,'G-7 Allocations'!$C$63:$D$106,2,),VLOOKUP(D27,'G-7 Allocations'!$C$10:$D$15,2,))</f>
        <v>42</v>
      </c>
      <c r="F27" s="380">
        <f t="shared" si="2"/>
        <v>85273.885087578528</v>
      </c>
      <c r="G27" s="441">
        <f>+VLOOKUP($E$27,'G-7 Allocations'!$D$5:$N$106,G109,FALSE)*'G-6 Function Expense'!$D$33</f>
        <v>46722.864744679297</v>
      </c>
      <c r="H27" s="441">
        <f>+VLOOKUP($E$27,'G-7 Allocations'!$D$5:$N$106,H109,FALSE)*'G-6 Function Expense'!$D$33</f>
        <v>0</v>
      </c>
      <c r="I27" s="441">
        <f>+VLOOKUP($E$27,'G-7 Allocations'!$D$5:$N$106,I109,FALSE)*'G-6 Function Expense'!$D$33</f>
        <v>0</v>
      </c>
      <c r="J27" s="441">
        <f>+VLOOKUP($E$27,'G-7 Allocations'!$D$5:$N$106,J109,FALSE)*'G-6 Function Expense'!$D$33</f>
        <v>20090.112735825449</v>
      </c>
      <c r="K27" s="441">
        <f>+VLOOKUP($E$27,'G-7 Allocations'!$D$5:$N$106,K109,FALSE)*'G-6 Function Expense'!$D$33</f>
        <v>0</v>
      </c>
      <c r="L27" s="441">
        <f>+VLOOKUP($E$27,'G-7 Allocations'!$D$5:$N$106,L109,FALSE)*'G-6 Function Expense'!$D$33</f>
        <v>0</v>
      </c>
      <c r="M27" s="441">
        <f>+VLOOKUP($E$27,'G-7 Allocations'!$D$5:$N$106,M109,FALSE)*'G-6 Function Expense'!$D$33</f>
        <v>18460.907607073783</v>
      </c>
      <c r="N27" s="441">
        <f>+VLOOKUP($E$27,'G-7 Allocations'!$D$5:$N$106,N109,FALSE)*'G-6 Function Expense'!$D$33</f>
        <v>0</v>
      </c>
      <c r="O27" s="441">
        <f>+VLOOKUP($E$27,'G-7 Allocations'!$D$5:$N$106,O109,FALSE)*'G-6 Function Expense'!$D$33</f>
        <v>0</v>
      </c>
      <c r="Q27" s="434">
        <f>F27-'Rev&amp;Expense'!D48</f>
        <v>0</v>
      </c>
      <c r="S27" s="434">
        <f>SUM(G27,J27,M27)-'G-6 Function Expense'!E33</f>
        <v>0</v>
      </c>
      <c r="T27" s="434">
        <f>SUM(H27,K27,N27)-'G-6 Function Expense'!F33</f>
        <v>0</v>
      </c>
      <c r="U27" s="434">
        <f>SUM(I27,L27,O27)-'G-6 Function Expense'!G33</f>
        <v>0</v>
      </c>
    </row>
    <row r="28" spans="1:21" ht="11.25" customHeight="1">
      <c r="A28" s="320">
        <f t="shared" si="0"/>
        <v>24</v>
      </c>
      <c r="B28" s="386"/>
      <c r="C28" s="377" t="s">
        <v>160</v>
      </c>
      <c r="D28" s="382"/>
      <c r="E28" s="305"/>
      <c r="F28" s="378">
        <f t="shared" ref="F28:O28" si="3">SUM(F13:F27)</f>
        <v>9568908.7929271311</v>
      </c>
      <c r="G28" s="435">
        <f t="shared" si="3"/>
        <v>1251980.8477995261</v>
      </c>
      <c r="H28" s="435">
        <f t="shared" si="3"/>
        <v>0</v>
      </c>
      <c r="I28" s="435">
        <f t="shared" si="3"/>
        <v>6673573.1627688101</v>
      </c>
      <c r="J28" s="435">
        <f t="shared" si="3"/>
        <v>538332.49551015836</v>
      </c>
      <c r="K28" s="435">
        <f t="shared" si="3"/>
        <v>0</v>
      </c>
      <c r="L28" s="435">
        <f t="shared" si="3"/>
        <v>591895.87627321167</v>
      </c>
      <c r="M28" s="435">
        <f t="shared" si="3"/>
        <v>494676.49047964212</v>
      </c>
      <c r="N28" s="378">
        <f t="shared" si="3"/>
        <v>0</v>
      </c>
      <c r="O28" s="378">
        <f t="shared" si="3"/>
        <v>18449.920095786143</v>
      </c>
      <c r="Q28" s="434">
        <f>F28-'Rev&amp;Expense'!D49</f>
        <v>0</v>
      </c>
      <c r="S28" s="434">
        <f>SUM(G28,J28,M28)-'G-6 Function Expense'!E34</f>
        <v>0</v>
      </c>
      <c r="T28" s="434">
        <f>SUM(H28,K28,N28)-'G-6 Function Expense'!F34</f>
        <v>0</v>
      </c>
      <c r="U28" s="434">
        <f>SUM(I28,L28,O28)-'G-6 Function Expense'!G34</f>
        <v>0</v>
      </c>
    </row>
    <row r="29" spans="1:21" ht="11.25" customHeight="1">
      <c r="A29" s="320">
        <f t="shared" si="0"/>
        <v>25</v>
      </c>
      <c r="B29" s="452"/>
      <c r="C29" s="451"/>
      <c r="D29" s="305"/>
      <c r="E29" s="305"/>
      <c r="S29" s="434"/>
      <c r="T29" s="434"/>
      <c r="U29" s="434"/>
    </row>
    <row r="30" spans="1:21" ht="11.25" customHeight="1">
      <c r="A30" s="320">
        <f t="shared" si="0"/>
        <v>26</v>
      </c>
      <c r="B30" s="386"/>
      <c r="C30" s="377" t="s">
        <v>161</v>
      </c>
      <c r="D30" s="305"/>
      <c r="E30" s="305"/>
      <c r="S30" s="434"/>
      <c r="T30" s="434"/>
      <c r="U30" s="434"/>
    </row>
    <row r="31" spans="1:21" ht="11.25" customHeight="1">
      <c r="A31" s="320">
        <f t="shared" si="0"/>
        <v>27</v>
      </c>
      <c r="B31" s="386">
        <v>901</v>
      </c>
      <c r="C31" s="379" t="s">
        <v>162</v>
      </c>
      <c r="D31" s="305" t="s">
        <v>120</v>
      </c>
      <c r="E31" s="305">
        <f>_xlfn.IFNA(VLOOKUP(D31,'G-7 Allocations'!$C$63:$D$106,2,),VLOOKUP(D31,'G-7 Allocations'!$C$10:$D$15,2,))</f>
        <v>3</v>
      </c>
      <c r="F31" s="375">
        <f t="shared" ref="F31:F39" si="4">SUM(G31:O31)</f>
        <v>90341.519021516928</v>
      </c>
      <c r="G31" s="404">
        <f>+VLOOKUP($E$31,'G-7 Allocations'!$D$5:$N$106,G109,FALSE)*'G-6 Function Expense'!$D$37</f>
        <v>0</v>
      </c>
      <c r="H31" s="404">
        <f>+VLOOKUP($E$31,'G-7 Allocations'!$D$5:$N$106,H109,FALSE)*'G-6 Function Expense'!$D$37</f>
        <v>0</v>
      </c>
      <c r="I31" s="404">
        <f>+VLOOKUP($E$31,'G-7 Allocations'!$D$5:$N$106,I109,FALSE)*'G-6 Function Expense'!$D$37</f>
        <v>83263.079388445971</v>
      </c>
      <c r="J31" s="404">
        <f>+VLOOKUP($E$31,'G-7 Allocations'!$D$5:$N$106,J109,FALSE)*'G-6 Function Expense'!$D$37</f>
        <v>0</v>
      </c>
      <c r="K31" s="404">
        <f>+VLOOKUP($E$31,'G-7 Allocations'!$D$5:$N$106,K109,FALSE)*'G-6 Function Expense'!$D$37</f>
        <v>0</v>
      </c>
      <c r="L31" s="404">
        <f>+VLOOKUP($E$31,'G-7 Allocations'!$D$5:$N$106,L109,FALSE)*'G-6 Function Expense'!$D$37</f>
        <v>7037.1801274282634</v>
      </c>
      <c r="M31" s="404">
        <f>+VLOOKUP($E$31,'G-7 Allocations'!$D$5:$N$106,M109,FALSE)*'G-6 Function Expense'!$D$37</f>
        <v>0</v>
      </c>
      <c r="N31" s="404">
        <f>+VLOOKUP($E$31,'G-7 Allocations'!$D$5:$N$106,N109,FALSE)*'G-6 Function Expense'!$D$37</f>
        <v>0</v>
      </c>
      <c r="O31" s="404">
        <f>+VLOOKUP($E$31,'G-7 Allocations'!$D$5:$N$106,O109,FALSE)*'G-6 Function Expense'!$D$37</f>
        <v>41.259505642692886</v>
      </c>
      <c r="Q31" s="434">
        <f>F31-'Rev&amp;Expense'!D52</f>
        <v>0</v>
      </c>
      <c r="S31" s="434">
        <f>SUM(G31,J31,M31)-'G-6 Function Expense'!E37</f>
        <v>0</v>
      </c>
      <c r="T31" s="434">
        <f>SUM(H31,K31,N31)-'G-6 Function Expense'!F37</f>
        <v>0</v>
      </c>
      <c r="U31" s="434">
        <f>SUM(I31,L31,O31)-'G-6 Function Expense'!G37</f>
        <v>0</v>
      </c>
    </row>
    <row r="32" spans="1:21" ht="11.25" customHeight="1">
      <c r="A32" s="320">
        <f t="shared" si="0"/>
        <v>28</v>
      </c>
      <c r="B32" s="386">
        <v>902</v>
      </c>
      <c r="C32" s="379" t="s">
        <v>163</v>
      </c>
      <c r="D32" s="305" t="s">
        <v>164</v>
      </c>
      <c r="E32" s="305">
        <f>_xlfn.IFNA(VLOOKUP(D32,'G-7 Allocations'!$C$63:$D$106,2,),VLOOKUP(D32,'G-7 Allocations'!$C$10:$D$15,2,))</f>
        <v>11</v>
      </c>
      <c r="F32" s="369">
        <f t="shared" si="4"/>
        <v>108946.5715256031</v>
      </c>
      <c r="G32" s="429">
        <f>+VLOOKUP($E$32,'G-7 Allocations'!$D$5:$N$106,G109,FALSE)*'G-6 Function Expense'!$D$38</f>
        <v>0</v>
      </c>
      <c r="H32" s="429">
        <f>+VLOOKUP($E$32,'G-7 Allocations'!$D$5:$N$106,H109,FALSE)*'G-6 Function Expense'!$D$38</f>
        <v>0</v>
      </c>
      <c r="I32" s="429">
        <f>+VLOOKUP($E$32,'G-7 Allocations'!$D$5:$N$106,I109,FALSE)*'G-6 Function Expense'!$D$38</f>
        <v>100410.38862623923</v>
      </c>
      <c r="J32" s="429">
        <f>+VLOOKUP($E$32,'G-7 Allocations'!$D$5:$N$106,J109,FALSE)*'G-6 Function Expense'!$D$38</f>
        <v>0</v>
      </c>
      <c r="K32" s="429">
        <f>+VLOOKUP($E$32,'G-7 Allocations'!$D$5:$N$106,K109,FALSE)*'G-6 Function Expense'!$D$38</f>
        <v>0</v>
      </c>
      <c r="L32" s="429">
        <f>+VLOOKUP($E$32,'G-7 Allocations'!$D$5:$N$106,L109,FALSE)*'G-6 Function Expense'!$D$38</f>
        <v>8486.4263562893393</v>
      </c>
      <c r="M32" s="429">
        <f>+VLOOKUP($E$32,'G-7 Allocations'!$D$5:$N$106,M109,FALSE)*'G-6 Function Expense'!$D$38</f>
        <v>0</v>
      </c>
      <c r="N32" s="429">
        <f>+VLOOKUP($E$32,'G-7 Allocations'!$D$5:$N$106,N109,FALSE)*'G-6 Function Expense'!$D$38</f>
        <v>0</v>
      </c>
      <c r="O32" s="429">
        <f>+VLOOKUP($E$32,'G-7 Allocations'!$D$5:$N$106,O109,FALSE)*'G-6 Function Expense'!$D$38</f>
        <v>49.75654307453096</v>
      </c>
      <c r="Q32" s="434">
        <f>F32-'Rev&amp;Expense'!D53</f>
        <v>0</v>
      </c>
      <c r="S32" s="434">
        <f>SUM(G32,J32,M32)-'G-6 Function Expense'!E38</f>
        <v>0</v>
      </c>
      <c r="T32" s="434">
        <f>SUM(H32,K32,N32)-'G-6 Function Expense'!F38</f>
        <v>0</v>
      </c>
      <c r="U32" s="434">
        <f>SUM(I32,L32,O32)-'G-6 Function Expense'!G38</f>
        <v>0</v>
      </c>
    </row>
    <row r="33" spans="1:21" ht="11.25" customHeight="1">
      <c r="A33" s="320">
        <f t="shared" si="0"/>
        <v>29</v>
      </c>
      <c r="B33" s="386">
        <v>903</v>
      </c>
      <c r="C33" s="379" t="s">
        <v>165</v>
      </c>
      <c r="D33" s="305" t="s">
        <v>166</v>
      </c>
      <c r="E33" s="305">
        <f>_xlfn.IFNA(VLOOKUP(D33,'G-7 Allocations'!$C$63:$D$106,2,),VLOOKUP(D33,'G-7 Allocations'!$C$10:$D$15,2,))</f>
        <v>12</v>
      </c>
      <c r="F33" s="369">
        <f t="shared" si="4"/>
        <v>5775076.0166293187</v>
      </c>
      <c r="G33" s="429">
        <f>+VLOOKUP($E$33,'G-7 Allocations'!$D$5:$N$106,G109,FALSE)*'G-6 Function Expense'!$D$39</f>
        <v>0</v>
      </c>
      <c r="H33" s="429">
        <f>+VLOOKUP($E$33,'G-7 Allocations'!$D$5:$N$106,H109,FALSE)*'G-6 Function Expense'!$D$39</f>
        <v>0</v>
      </c>
      <c r="I33" s="429">
        <f>+VLOOKUP($E$33,'G-7 Allocations'!$D$5:$N$106,I109,FALSE)*'G-6 Function Expense'!$D$39</f>
        <v>5322587.2008239264</v>
      </c>
      <c r="J33" s="429">
        <f>+VLOOKUP($E$33,'G-7 Allocations'!$D$5:$N$106,J109,FALSE)*'G-6 Function Expense'!$D$39</f>
        <v>0</v>
      </c>
      <c r="K33" s="429">
        <f>+VLOOKUP($E$33,'G-7 Allocations'!$D$5:$N$106,K109,FALSE)*'G-6 Function Expense'!$D$39</f>
        <v>0</v>
      </c>
      <c r="L33" s="429">
        <f>+VLOOKUP($E$33,'G-7 Allocations'!$D$5:$N$106,L109,FALSE)*'G-6 Function Expense'!$D$39</f>
        <v>449851.30445871735</v>
      </c>
      <c r="M33" s="429">
        <f>+VLOOKUP($E$33,'G-7 Allocations'!$D$5:$N$106,M109,FALSE)*'G-6 Function Expense'!$D$39</f>
        <v>0</v>
      </c>
      <c r="N33" s="429">
        <f>+VLOOKUP($E$33,'G-7 Allocations'!$D$5:$N$106,N109,FALSE)*'G-6 Function Expense'!$D$39</f>
        <v>0</v>
      </c>
      <c r="O33" s="429">
        <f>+VLOOKUP($E$33,'G-7 Allocations'!$D$5:$N$106,O109,FALSE)*'G-6 Function Expense'!$D$39</f>
        <v>2637.5113466749058</v>
      </c>
      <c r="Q33" s="434">
        <f>F33-'Rev&amp;Expense'!D54</f>
        <v>0</v>
      </c>
      <c r="S33" s="434">
        <f>SUM(G33,J33,M33)-'G-6 Function Expense'!E39</f>
        <v>0</v>
      </c>
      <c r="T33" s="434">
        <f>SUM(H33,K33,N33)-'G-6 Function Expense'!F39</f>
        <v>0</v>
      </c>
      <c r="U33" s="434">
        <f>SUM(I33,L33,O33)-'G-6 Function Expense'!G39</f>
        <v>0</v>
      </c>
    </row>
    <row r="34" spans="1:21" ht="11.25" customHeight="1">
      <c r="A34" s="320">
        <f t="shared" si="0"/>
        <v>30</v>
      </c>
      <c r="B34" s="386">
        <v>904</v>
      </c>
      <c r="C34" s="379" t="s">
        <v>167</v>
      </c>
      <c r="D34" s="305" t="s">
        <v>168</v>
      </c>
      <c r="E34" s="305">
        <f>_xlfn.IFNA(VLOOKUP(D34,'G-7 Allocations'!$C$63:$D$106,2,),VLOOKUP(D34,'G-7 Allocations'!$C$10:$D$15,2,))</f>
        <v>13</v>
      </c>
      <c r="F34" s="369">
        <f t="shared" si="4"/>
        <v>281117.24</v>
      </c>
      <c r="G34" s="429">
        <f>+VLOOKUP($E$34,'G-7 Allocations'!$D$5:$N$106,G109,FALSE)*'G-6 Function Expense'!$D$40</f>
        <v>0</v>
      </c>
      <c r="H34" s="429">
        <f>+VLOOKUP($E$34,'G-7 Allocations'!$D$5:$N$106,H109,FALSE)*'G-6 Function Expense'!$D$40</f>
        <v>0</v>
      </c>
      <c r="I34" s="429">
        <f>+VLOOKUP($E$34,'G-7 Allocations'!$D$5:$N$106,I109,FALSE)*'G-6 Function Expense'!$D$40</f>
        <v>197882.18794862845</v>
      </c>
      <c r="J34" s="429">
        <f>+VLOOKUP($E$34,'G-7 Allocations'!$D$5:$N$106,J109,FALSE)*'G-6 Function Expense'!$D$40</f>
        <v>0</v>
      </c>
      <c r="K34" s="429">
        <f>+VLOOKUP($E$34,'G-7 Allocations'!$D$5:$N$106,K109,FALSE)*'G-6 Function Expense'!$D$40</f>
        <v>0</v>
      </c>
      <c r="L34" s="429">
        <f>+VLOOKUP($E$34,'G-7 Allocations'!$D$5:$N$106,L109,FALSE)*'G-6 Function Expense'!$D$40</f>
        <v>59782.066792156133</v>
      </c>
      <c r="M34" s="429">
        <f>+VLOOKUP($E$34,'G-7 Allocations'!$D$5:$N$106,M109,FALSE)*'G-6 Function Expense'!$D$40</f>
        <v>0</v>
      </c>
      <c r="N34" s="429">
        <f>+VLOOKUP($E$34,'G-7 Allocations'!$D$5:$N$106,N109,FALSE)*'G-6 Function Expense'!$D$40</f>
        <v>0</v>
      </c>
      <c r="O34" s="429">
        <f>+VLOOKUP($E$34,'G-7 Allocations'!$D$5:$N$106,O109,FALSE)*'G-6 Function Expense'!$D$40</f>
        <v>23452.985259215431</v>
      </c>
      <c r="Q34" s="434">
        <f>F34-'Rev&amp;Expense'!D55</f>
        <v>0</v>
      </c>
      <c r="S34" s="434">
        <f>SUM(G34,J34,M34)-'G-6 Function Expense'!E40</f>
        <v>0</v>
      </c>
      <c r="T34" s="434">
        <f>SUM(H34,K34,N34)-'G-6 Function Expense'!F40</f>
        <v>0</v>
      </c>
      <c r="U34" s="434">
        <f>SUM(I34,L34,O34)-'G-6 Function Expense'!G40</f>
        <v>0</v>
      </c>
    </row>
    <row r="35" spans="1:21" ht="11.25" customHeight="1">
      <c r="A35" s="320">
        <f t="shared" si="0"/>
        <v>31</v>
      </c>
      <c r="B35" s="386">
        <v>905</v>
      </c>
      <c r="C35" s="379" t="s">
        <v>169</v>
      </c>
      <c r="D35" s="305" t="s">
        <v>170</v>
      </c>
      <c r="E35" s="305">
        <f>_xlfn.IFNA(VLOOKUP(D35,'G-7 Allocations'!$C$63:$D$106,2,),VLOOKUP(D35,'G-7 Allocations'!$C$10:$D$15,2,))</f>
        <v>14</v>
      </c>
      <c r="F35" s="369">
        <f t="shared" si="4"/>
        <v>0</v>
      </c>
      <c r="G35" s="429">
        <f>+VLOOKUP($E$35,'G-7 Allocations'!$D$5:$N$106,G109,FALSE)*'G-6 Function Expense'!$D$41</f>
        <v>0</v>
      </c>
      <c r="H35" s="429">
        <f>+VLOOKUP($E$35,'G-7 Allocations'!$D$5:$N$106,H109,FALSE)*'G-6 Function Expense'!$D$41</f>
        <v>0</v>
      </c>
      <c r="I35" s="429">
        <f>+VLOOKUP($E$35,'G-7 Allocations'!$D$5:$N$106,I109,FALSE)*'G-6 Function Expense'!$D$41</f>
        <v>0</v>
      </c>
      <c r="J35" s="429">
        <f>+VLOOKUP($E$35,'G-7 Allocations'!$D$5:$N$106,J109,FALSE)*'G-6 Function Expense'!$D$41</f>
        <v>0</v>
      </c>
      <c r="K35" s="429">
        <f>+VLOOKUP($E$35,'G-7 Allocations'!$D$5:$N$106,K109,FALSE)*'G-6 Function Expense'!$D$41</f>
        <v>0</v>
      </c>
      <c r="L35" s="429">
        <f>+VLOOKUP($E$35,'G-7 Allocations'!$D$5:$N$106,L109,FALSE)*'G-6 Function Expense'!$D$41</f>
        <v>0</v>
      </c>
      <c r="M35" s="429">
        <f>+VLOOKUP($E$35,'G-7 Allocations'!$D$5:$N$106,M109,FALSE)*'G-6 Function Expense'!$D$41</f>
        <v>0</v>
      </c>
      <c r="N35" s="429">
        <f>+VLOOKUP($E$35,'G-7 Allocations'!$D$5:$N$106,N109,FALSE)*'G-6 Function Expense'!$D$41</f>
        <v>0</v>
      </c>
      <c r="O35" s="429">
        <f>+VLOOKUP($E$35,'G-7 Allocations'!$D$5:$N$106,O109,FALSE)*'G-6 Function Expense'!$D$41</f>
        <v>0</v>
      </c>
      <c r="Q35" s="434">
        <f>F35-'Rev&amp;Expense'!D56</f>
        <v>0</v>
      </c>
      <c r="S35" s="434">
        <f>SUM(G35,J35,M35)-'G-6 Function Expense'!E41</f>
        <v>0</v>
      </c>
      <c r="T35" s="434">
        <f>SUM(H35,K35,N35)-'G-6 Function Expense'!F41</f>
        <v>0</v>
      </c>
      <c r="U35" s="434">
        <f>SUM(I35,L35,O35)-'G-6 Function Expense'!G41</f>
        <v>0</v>
      </c>
    </row>
    <row r="36" spans="1:21" ht="11.25" customHeight="1">
      <c r="A36" s="320">
        <f t="shared" si="0"/>
        <v>32</v>
      </c>
      <c r="B36" s="386">
        <v>907</v>
      </c>
      <c r="C36" s="379" t="s">
        <v>171</v>
      </c>
      <c r="D36" s="305" t="s">
        <v>120</v>
      </c>
      <c r="E36" s="305">
        <f>_xlfn.IFNA(VLOOKUP(D36,'G-7 Allocations'!$C$63:$D$106,2,),VLOOKUP(D36,'G-7 Allocations'!$C$10:$D$15,2,))</f>
        <v>3</v>
      </c>
      <c r="F36" s="369">
        <f t="shared" si="4"/>
        <v>54000.000000000007</v>
      </c>
      <c r="G36" s="429">
        <f>+VLOOKUP($E$36,'G-7 Allocations'!$D$5:$N$106,G109,FALSE)*'G-6 Function Expense'!$D$42</f>
        <v>0</v>
      </c>
      <c r="H36" s="429">
        <f>+VLOOKUP($E$36,'G-7 Allocations'!$D$5:$N$106,H109,FALSE)*'G-6 Function Expense'!$D$42</f>
        <v>0</v>
      </c>
      <c r="I36" s="429">
        <f>+VLOOKUP($E$36,'G-7 Allocations'!$D$5:$N$106,I109,FALSE)*'G-6 Function Expense'!$D$42</f>
        <v>49768.991441301834</v>
      </c>
      <c r="J36" s="429">
        <f>+VLOOKUP($E$36,'G-7 Allocations'!$D$5:$N$106,J109,FALSE)*'G-6 Function Expense'!$D$42</f>
        <v>0</v>
      </c>
      <c r="K36" s="429">
        <f>+VLOOKUP($E$36,'G-7 Allocations'!$D$5:$N$106,K109,FALSE)*'G-6 Function Expense'!$D$42</f>
        <v>0</v>
      </c>
      <c r="L36" s="429">
        <f>+VLOOKUP($E$36,'G-7 Allocations'!$D$5:$N$106,L109,FALSE)*'G-6 Function Expense'!$D$42</f>
        <v>4206.3464395658275</v>
      </c>
      <c r="M36" s="429">
        <f>+VLOOKUP($E$36,'G-7 Allocations'!$D$5:$N$106,M109,FALSE)*'G-6 Function Expense'!$D$42</f>
        <v>0</v>
      </c>
      <c r="N36" s="429">
        <f>+VLOOKUP($E$36,'G-7 Allocations'!$D$5:$N$106,N109,FALSE)*'G-6 Function Expense'!$D$42</f>
        <v>0</v>
      </c>
      <c r="O36" s="429">
        <f>+VLOOKUP($E$36,'G-7 Allocations'!$D$5:$N$106,O109,FALSE)*'G-6 Function Expense'!$D$42</f>
        <v>24.662119132342273</v>
      </c>
      <c r="Q36" s="434">
        <f>F36-'Rev&amp;Expense'!D57</f>
        <v>0</v>
      </c>
      <c r="S36" s="434">
        <f>SUM(G36,J36,M36)-'G-6 Function Expense'!E42</f>
        <v>0</v>
      </c>
      <c r="T36" s="434">
        <f>SUM(H36,K36,N36)-'G-6 Function Expense'!F42</f>
        <v>0</v>
      </c>
      <c r="U36" s="434">
        <f>SUM(I36,L36,O36)-'G-6 Function Expense'!G42</f>
        <v>0</v>
      </c>
    </row>
    <row r="37" spans="1:21" ht="11.25" customHeight="1">
      <c r="A37" s="320">
        <f t="shared" si="0"/>
        <v>33</v>
      </c>
      <c r="B37" s="386">
        <v>908</v>
      </c>
      <c r="C37" s="379" t="s">
        <v>172</v>
      </c>
      <c r="D37" s="305" t="s">
        <v>120</v>
      </c>
      <c r="E37" s="305">
        <f>_xlfn.IFNA(VLOOKUP(D37,'G-7 Allocations'!$C$63:$D$106,2,),VLOOKUP(D37,'G-7 Allocations'!$C$10:$D$15,2,))</f>
        <v>3</v>
      </c>
      <c r="F37" s="369">
        <f t="shared" si="4"/>
        <v>114105.85492473361</v>
      </c>
      <c r="G37" s="429">
        <f>+VLOOKUP($E$37,'G-7 Allocations'!$D$5:$N$106,G109,FALSE)*'G-6 Function Expense'!$D$43</f>
        <v>0</v>
      </c>
      <c r="H37" s="429">
        <f>+VLOOKUP($E$37,'G-7 Allocations'!$D$5:$N$106,H109,FALSE)*'G-6 Function Expense'!$D$43</f>
        <v>0</v>
      </c>
      <c r="I37" s="429">
        <f>+VLOOKUP($E$37,'G-7 Allocations'!$D$5:$N$106,I109,FALSE)*'G-6 Function Expense'!$D$43</f>
        <v>105165.43179910176</v>
      </c>
      <c r="J37" s="429">
        <f>+VLOOKUP($E$37,'G-7 Allocations'!$D$5:$N$106,J109,FALSE)*'G-6 Function Expense'!$D$43</f>
        <v>0</v>
      </c>
      <c r="K37" s="429">
        <f>+VLOOKUP($E$37,'G-7 Allocations'!$D$5:$N$106,K109,FALSE)*'G-6 Function Expense'!$D$43</f>
        <v>0</v>
      </c>
      <c r="L37" s="429">
        <f>+VLOOKUP($E$37,'G-7 Allocations'!$D$5:$N$106,L109,FALSE)*'G-6 Function Expense'!$D$43</f>
        <v>8888.3103073382972</v>
      </c>
      <c r="M37" s="429">
        <f>+VLOOKUP($E$37,'G-7 Allocations'!$D$5:$N$106,M109,FALSE)*'G-6 Function Expense'!$D$43</f>
        <v>0</v>
      </c>
      <c r="N37" s="429">
        <f>+VLOOKUP($E$37,'G-7 Allocations'!$D$5:$N$106,N109,FALSE)*'G-6 Function Expense'!$D$43</f>
        <v>0</v>
      </c>
      <c r="O37" s="429">
        <f>+VLOOKUP($E$37,'G-7 Allocations'!$D$5:$N$106,O109,FALSE)*'G-6 Function Expense'!$D$43</f>
        <v>52.112818293547114</v>
      </c>
      <c r="Q37" s="434">
        <f>F37-'Rev&amp;Expense'!D58</f>
        <v>0</v>
      </c>
      <c r="S37" s="434">
        <f>SUM(G37,J37,M37)-'G-6 Function Expense'!E43</f>
        <v>0</v>
      </c>
      <c r="T37" s="434">
        <f>SUM(H37,K37,N37)-'G-6 Function Expense'!F43</f>
        <v>0</v>
      </c>
      <c r="U37" s="434">
        <f>SUM(I37,L37,O37)-'G-6 Function Expense'!G43</f>
        <v>0</v>
      </c>
    </row>
    <row r="38" spans="1:21" ht="11.25" customHeight="1">
      <c r="A38" s="320">
        <f t="shared" si="0"/>
        <v>34</v>
      </c>
      <c r="B38" s="386">
        <v>909</v>
      </c>
      <c r="C38" s="379" t="s">
        <v>173</v>
      </c>
      <c r="D38" s="305" t="s">
        <v>120</v>
      </c>
      <c r="E38" s="305">
        <f>_xlfn.IFNA(VLOOKUP(D38,'G-7 Allocations'!$C$63:$D$106,2,),VLOOKUP(D38,'G-7 Allocations'!$C$10:$D$15,2,))</f>
        <v>3</v>
      </c>
      <c r="F38" s="369">
        <f t="shared" si="4"/>
        <v>371903.09</v>
      </c>
      <c r="G38" s="429">
        <f>+VLOOKUP($E$38,'G-7 Allocations'!$D$5:$N$106,G109,FALSE)*'G-6 Function Expense'!$D$44</f>
        <v>0</v>
      </c>
      <c r="H38" s="429">
        <f>+VLOOKUP($E$38,'G-7 Allocations'!$D$5:$N$106,H109,FALSE)*'G-6 Function Expense'!$D$44</f>
        <v>0</v>
      </c>
      <c r="I38" s="429">
        <f>+VLOOKUP($E$38,'G-7 Allocations'!$D$5:$N$106,I109,FALSE)*'G-6 Function Expense'!$D$44</f>
        <v>342763.73524451308</v>
      </c>
      <c r="J38" s="429">
        <f>+VLOOKUP($E$38,'G-7 Allocations'!$D$5:$N$106,J109,FALSE)*'G-6 Function Expense'!$D$44</f>
        <v>0</v>
      </c>
      <c r="K38" s="429">
        <f>+VLOOKUP($E$38,'G-7 Allocations'!$D$5:$N$106,K109,FALSE)*'G-6 Function Expense'!$D$44</f>
        <v>0</v>
      </c>
      <c r="L38" s="429">
        <f>+VLOOKUP($E$38,'G-7 Allocations'!$D$5:$N$106,L109,FALSE)*'G-6 Function Expense'!$D$44</f>
        <v>28969.504416389438</v>
      </c>
      <c r="M38" s="429">
        <f>+VLOOKUP($E$38,'G-7 Allocations'!$D$5:$N$106,M109,FALSE)*'G-6 Function Expense'!$D$44</f>
        <v>0</v>
      </c>
      <c r="N38" s="429">
        <f>+VLOOKUP($E$38,'G-7 Allocations'!$D$5:$N$106,N109,FALSE)*'G-6 Function Expense'!$D$44</f>
        <v>0</v>
      </c>
      <c r="O38" s="429">
        <f>+VLOOKUP($E$38,'G-7 Allocations'!$D$5:$N$106,O109,FALSE)*'G-6 Function Expense'!$D$44</f>
        <v>169.85033909752241</v>
      </c>
      <c r="Q38" s="434">
        <f>F38-'Rev&amp;Expense'!D59</f>
        <v>0</v>
      </c>
      <c r="S38" s="434">
        <f>SUM(G38,J38,M38)-'G-6 Function Expense'!E44</f>
        <v>0</v>
      </c>
      <c r="T38" s="434">
        <f>SUM(H38,K38,N38)-'G-6 Function Expense'!F44</f>
        <v>0</v>
      </c>
      <c r="U38" s="434">
        <f>SUM(I38,L38,O38)-'G-6 Function Expense'!G44</f>
        <v>0</v>
      </c>
    </row>
    <row r="39" spans="1:21" ht="11.25" customHeight="1">
      <c r="A39" s="320">
        <f t="shared" si="0"/>
        <v>35</v>
      </c>
      <c r="B39" s="386">
        <v>910</v>
      </c>
      <c r="C39" s="379" t="s">
        <v>174</v>
      </c>
      <c r="D39" s="305" t="s">
        <v>120</v>
      </c>
      <c r="E39" s="305">
        <f>_xlfn.IFNA(VLOOKUP(D39,'G-7 Allocations'!$C$63:$D$106,2,),VLOOKUP(D39,'G-7 Allocations'!$C$10:$D$15,2,))</f>
        <v>3</v>
      </c>
      <c r="F39" s="369">
        <f t="shared" si="4"/>
        <v>25.880000000000003</v>
      </c>
      <c r="G39" s="429">
        <f>+VLOOKUP($E$39,'G-7 Allocations'!$D$5:$N$106,G109,FALSE)*'G-6 Function Expense'!$D$45</f>
        <v>0</v>
      </c>
      <c r="H39" s="429">
        <f>+VLOOKUP($E$39,'G-7 Allocations'!$D$5:$N$106,H109,FALSE)*'G-6 Function Expense'!$D$45</f>
        <v>0</v>
      </c>
      <c r="I39" s="429">
        <f>+VLOOKUP($E$39,'G-7 Allocations'!$D$5:$N$106,I109,FALSE)*'G-6 Function Expense'!$D$45</f>
        <v>23.852249972238731</v>
      </c>
      <c r="J39" s="429">
        <f>+VLOOKUP($E$39,'G-7 Allocations'!$D$5:$N$106,J109,FALSE)*'G-6 Function Expense'!$D$45</f>
        <v>0</v>
      </c>
      <c r="K39" s="429">
        <f>+VLOOKUP($E$39,'G-7 Allocations'!$D$5:$N$106,K109,FALSE)*'G-6 Function Expense'!$D$45</f>
        <v>0</v>
      </c>
      <c r="L39" s="429">
        <f>+VLOOKUP($E$39,'G-7 Allocations'!$D$5:$N$106,L109,FALSE)*'G-6 Function Expense'!$D$45</f>
        <v>2.0159304788141412</v>
      </c>
      <c r="M39" s="429">
        <f>+VLOOKUP($E$39,'G-7 Allocations'!$D$5:$N$106,M109,FALSE)*'G-6 Function Expense'!$D$45</f>
        <v>0</v>
      </c>
      <c r="N39" s="429">
        <f>+VLOOKUP($E$39,'G-7 Allocations'!$D$5:$N$106,N109,FALSE)*'G-6 Function Expense'!$D$45</f>
        <v>0</v>
      </c>
      <c r="O39" s="429">
        <f>+VLOOKUP($E$39,'G-7 Allocations'!$D$5:$N$106,O109,FALSE)*'G-6 Function Expense'!$D$45</f>
        <v>1.1819548947129964E-2</v>
      </c>
      <c r="Q39" s="434">
        <f>F39-'Rev&amp;Expense'!D60</f>
        <v>0</v>
      </c>
      <c r="S39" s="434">
        <f>SUM(G39,J39,M39)-'G-6 Function Expense'!E45</f>
        <v>0</v>
      </c>
      <c r="T39" s="434">
        <f>SUM(H39,K39,N39)-'G-6 Function Expense'!F45</f>
        <v>0</v>
      </c>
      <c r="U39" s="434">
        <f>SUM(I39,L39,O39)-'G-6 Function Expense'!G45</f>
        <v>0</v>
      </c>
    </row>
    <row r="40" spans="1:21" ht="11.25" customHeight="1">
      <c r="A40" s="320">
        <f t="shared" si="0"/>
        <v>36</v>
      </c>
      <c r="B40" s="386"/>
      <c r="C40" s="377" t="s">
        <v>175</v>
      </c>
      <c r="D40" s="305"/>
      <c r="E40" s="305"/>
      <c r="F40" s="378">
        <f t="shared" ref="F40:O40" si="5">SUM(F31:F39)</f>
        <v>6795516.1721011726</v>
      </c>
      <c r="G40" s="435">
        <f t="shared" si="5"/>
        <v>0</v>
      </c>
      <c r="H40" s="435">
        <f t="shared" si="5"/>
        <v>0</v>
      </c>
      <c r="I40" s="435">
        <f t="shared" si="5"/>
        <v>6201864.8675221298</v>
      </c>
      <c r="J40" s="435">
        <f t="shared" si="5"/>
        <v>0</v>
      </c>
      <c r="K40" s="435">
        <f t="shared" si="5"/>
        <v>0</v>
      </c>
      <c r="L40" s="435">
        <f t="shared" si="5"/>
        <v>567223.15482836345</v>
      </c>
      <c r="M40" s="435">
        <f t="shared" si="5"/>
        <v>0</v>
      </c>
      <c r="N40" s="378">
        <f t="shared" si="5"/>
        <v>0</v>
      </c>
      <c r="O40" s="378">
        <f t="shared" si="5"/>
        <v>26428.149750679924</v>
      </c>
      <c r="Q40" s="434">
        <f>F40-'Rev&amp;Expense'!D61</f>
        <v>0</v>
      </c>
      <c r="S40" s="434">
        <f>SUM(G40,J40,M40)-'G-6 Function Expense'!E46</f>
        <v>0</v>
      </c>
      <c r="T40" s="434">
        <f>SUM(H40,K40,N40)-'G-6 Function Expense'!F46</f>
        <v>0</v>
      </c>
      <c r="U40" s="434">
        <f>SUM(I40,L40,O40)-'G-6 Function Expense'!G46</f>
        <v>0</v>
      </c>
    </row>
    <row r="41" spans="1:21" ht="11.25" customHeight="1">
      <c r="A41" s="320">
        <f t="shared" si="0"/>
        <v>37</v>
      </c>
      <c r="B41" s="386"/>
      <c r="C41" s="377"/>
      <c r="D41" s="305"/>
      <c r="E41" s="305"/>
      <c r="G41" s="450"/>
      <c r="H41" s="450"/>
      <c r="I41" s="450"/>
      <c r="J41" s="450"/>
      <c r="K41" s="450"/>
      <c r="L41" s="450"/>
      <c r="M41" s="450"/>
      <c r="N41" s="370"/>
      <c r="O41" s="370"/>
      <c r="S41" s="434"/>
      <c r="T41" s="434"/>
      <c r="U41" s="434"/>
    </row>
    <row r="42" spans="1:21" ht="11.25" customHeight="1">
      <c r="A42" s="320">
        <f t="shared" si="0"/>
        <v>38</v>
      </c>
      <c r="B42" s="385"/>
      <c r="C42" s="377" t="s">
        <v>176</v>
      </c>
      <c r="D42" s="305"/>
      <c r="E42" s="305"/>
      <c r="S42" s="434"/>
      <c r="T42" s="434"/>
      <c r="U42" s="434"/>
    </row>
    <row r="43" spans="1:21" ht="11.25" customHeight="1">
      <c r="A43" s="320">
        <f t="shared" si="0"/>
        <v>39</v>
      </c>
      <c r="B43" s="386">
        <v>920</v>
      </c>
      <c r="C43" s="379" t="s">
        <v>177</v>
      </c>
      <c r="D43" s="305" t="s">
        <v>124</v>
      </c>
      <c r="E43" s="305">
        <f>_xlfn.IFNA(VLOOKUP(D43,'G-7 Allocations'!$C$63:$D$106,2,),VLOOKUP(D43,'G-7 Allocations'!$C$10:$D$15,2,))</f>
        <v>33</v>
      </c>
      <c r="F43" s="375">
        <f t="shared" ref="F43:F54" si="6">SUM(G43:O43)</f>
        <v>5190692.0700000012</v>
      </c>
      <c r="G43" s="404">
        <f>+VLOOKUP($E$43,'G-7 Allocations'!$D$5:$N$106,G109,FALSE)*'G-6 Function Expense'!$D$51</f>
        <v>534204.07248587429</v>
      </c>
      <c r="H43" s="404">
        <f>+VLOOKUP($E$43,'G-7 Allocations'!$D$5:$N$106,H109,FALSE)*'G-6 Function Expense'!$D$51</f>
        <v>8300.9522078353602</v>
      </c>
      <c r="I43" s="404">
        <f>+VLOOKUP($E$43,'G-7 Allocations'!$D$5:$N$106,I109,FALSE)*'G-6 Function Expense'!$D$51</f>
        <v>3870564.8670968814</v>
      </c>
      <c r="J43" s="404">
        <f>+VLOOKUP($E$43,'G-7 Allocations'!$D$5:$N$106,J109,FALSE)*'G-6 Function Expense'!$D$51</f>
        <v>229699.52931664893</v>
      </c>
      <c r="K43" s="404">
        <f>+VLOOKUP($E$43,'G-7 Allocations'!$D$5:$N$106,K109,FALSE)*'G-6 Function Expense'!$D$51</f>
        <v>3586.0637236621774</v>
      </c>
      <c r="L43" s="404">
        <f>+VLOOKUP($E$43,'G-7 Allocations'!$D$5:$N$106,L109,FALSE)*'G-6 Function Expense'!$D$51</f>
        <v>327130.13216318615</v>
      </c>
      <c r="M43" s="404">
        <f>+VLOOKUP($E$43,'G-7 Allocations'!$D$5:$N$106,M109,FALSE)*'G-6 Function Expense'!$D$51</f>
        <v>211072.07529708082</v>
      </c>
      <c r="N43" s="404">
        <f>+VLOOKUP($E$43,'G-7 Allocations'!$D$5:$N$106,N109,FALSE)*'G-6 Function Expense'!$D$51</f>
        <v>4216.389638400583</v>
      </c>
      <c r="O43" s="404">
        <f>+VLOOKUP($E$43,'G-7 Allocations'!$D$5:$N$106,O109,FALSE)*'G-6 Function Expense'!$D$51</f>
        <v>1917.9880704310476</v>
      </c>
      <c r="Q43" s="434">
        <f>F43-'Rev&amp;Expense'!D65</f>
        <v>0</v>
      </c>
      <c r="S43" s="434">
        <f>SUM(G43,J43,M43)-'G-6 Function Expense'!E51</f>
        <v>0</v>
      </c>
      <c r="T43" s="434">
        <f>SUM(H43,K43,N43)-'G-6 Function Expense'!F51</f>
        <v>0</v>
      </c>
      <c r="U43" s="434">
        <f>SUM(I43,L43,O43)-'G-6 Function Expense'!G51</f>
        <v>0</v>
      </c>
    </row>
    <row r="44" spans="1:21" ht="11.25" customHeight="1">
      <c r="A44" s="320">
        <f t="shared" si="0"/>
        <v>40</v>
      </c>
      <c r="B44" s="386">
        <v>921</v>
      </c>
      <c r="C44" s="379" t="s">
        <v>178</v>
      </c>
      <c r="D44" s="304" t="s">
        <v>76</v>
      </c>
      <c r="E44" s="305">
        <f>_xlfn.IFNA(VLOOKUP(D44,'G-7 Allocations'!$C$63:$D$106,2,),VLOOKUP(D44,'G-7 Allocations'!$C$10:$D$15,2,))</f>
        <v>19</v>
      </c>
      <c r="F44" s="369">
        <f t="shared" si="6"/>
        <v>2114640.4566869335</v>
      </c>
      <c r="G44" s="429">
        <f>+VLOOKUP($E$44,'G-7 Allocations'!$D$5:$N$106,G109,FALSE)*'G-6 Function Expense'!$D$52</f>
        <v>328486.78261972638</v>
      </c>
      <c r="H44" s="429">
        <f>+VLOOKUP($E$44,'G-7 Allocations'!$D$5:$N$106,H109,FALSE)*'G-6 Function Expense'!$D$52</f>
        <v>0</v>
      </c>
      <c r="I44" s="429">
        <f>+VLOOKUP($E$44,'G-7 Allocations'!$D$5:$N$106,I109,FALSE)*'G-6 Function Expense'!$D$52</f>
        <v>1361977.8366011102</v>
      </c>
      <c r="J44" s="429">
        <f>+VLOOKUP($E$44,'G-7 Allocations'!$D$5:$N$106,J109,FALSE)*'G-6 Function Expense'!$D$52</f>
        <v>141244.26083720408</v>
      </c>
      <c r="K44" s="429">
        <f>+VLOOKUP($E$44,'G-7 Allocations'!$D$5:$N$106,K109,FALSE)*'G-6 Function Expense'!$D$52</f>
        <v>0</v>
      </c>
      <c r="L44" s="429">
        <f>+VLOOKUP($E$44,'G-7 Allocations'!$D$5:$N$106,L109,FALSE)*'G-6 Function Expense'!$D$52</f>
        <v>139793.62906950447</v>
      </c>
      <c r="M44" s="429">
        <f>+VLOOKUP($E$44,'G-7 Allocations'!$D$5:$N$106,M109,FALSE)*'G-6 Function Expense'!$D$52</f>
        <v>129790.07552781259</v>
      </c>
      <c r="N44" s="429">
        <f>+VLOOKUP($E$44,'G-7 Allocations'!$D$5:$N$106,N109,FALSE)*'G-6 Function Expense'!$D$52</f>
        <v>0</v>
      </c>
      <c r="O44" s="429">
        <f>+VLOOKUP($E$44,'G-7 Allocations'!$D$5:$N$106,O109,FALSE)*'G-6 Function Expense'!$D$52</f>
        <v>13347.872031576007</v>
      </c>
      <c r="Q44" s="434">
        <f>F44-'Rev&amp;Expense'!D66</f>
        <v>0</v>
      </c>
      <c r="S44" s="434">
        <f>SUM(G44,J44,M44)-'G-6 Function Expense'!E52</f>
        <v>0</v>
      </c>
      <c r="T44" s="434">
        <f>SUM(H44,K44,N44)-'G-6 Function Expense'!F52</f>
        <v>0</v>
      </c>
      <c r="U44" s="434">
        <f>SUM(I44,L44,O44)-'G-6 Function Expense'!G52</f>
        <v>0</v>
      </c>
    </row>
    <row r="45" spans="1:21" ht="11.25" customHeight="1">
      <c r="A45" s="320">
        <f t="shared" si="0"/>
        <v>41</v>
      </c>
      <c r="B45" s="386">
        <v>922</v>
      </c>
      <c r="C45" s="379" t="s">
        <v>179</v>
      </c>
      <c r="D45" s="304" t="s">
        <v>76</v>
      </c>
      <c r="E45" s="305">
        <f>_xlfn.IFNA(VLOOKUP(D45,'G-7 Allocations'!$C$63:$D$106,2,),VLOOKUP(D45,'G-7 Allocations'!$C$10:$D$15,2,))</f>
        <v>19</v>
      </c>
      <c r="F45" s="369">
        <f t="shared" si="6"/>
        <v>-1950845.02</v>
      </c>
      <c r="G45" s="429">
        <f>+VLOOKUP($E$45,'G-7 Allocations'!$D$5:$N$106,G109,FALSE)*'G-6 Function Expense'!$D$53</f>
        <v>-303042.91303190001</v>
      </c>
      <c r="H45" s="429">
        <f>+VLOOKUP($E$45,'G-7 Allocations'!$D$5:$N$106,H109,FALSE)*'G-6 Function Expense'!$D$53</f>
        <v>0</v>
      </c>
      <c r="I45" s="429">
        <f>+VLOOKUP($E$45,'G-7 Allocations'!$D$5:$N$106,I109,FALSE)*'G-6 Function Expense'!$D$53</f>
        <v>-1256482.0045325614</v>
      </c>
      <c r="J45" s="429">
        <f>+VLOOKUP($E$45,'G-7 Allocations'!$D$5:$N$106,J109,FALSE)*'G-6 Function Expense'!$D$53</f>
        <v>-130303.78851710126</v>
      </c>
      <c r="K45" s="429">
        <f>+VLOOKUP($E$45,'G-7 Allocations'!$D$5:$N$106,K109,FALSE)*'G-6 Function Expense'!$D$53</f>
        <v>0</v>
      </c>
      <c r="L45" s="429">
        <f>+VLOOKUP($E$45,'G-7 Allocations'!$D$5:$N$106,L109,FALSE)*'G-6 Function Expense'!$D$53</f>
        <v>-128965.51952157453</v>
      </c>
      <c r="M45" s="429">
        <f>+VLOOKUP($E$45,'G-7 Allocations'!$D$5:$N$106,M109,FALSE)*'G-6 Function Expense'!$D$53</f>
        <v>-119736.81941447062</v>
      </c>
      <c r="N45" s="429">
        <f>+VLOOKUP($E$45,'G-7 Allocations'!$D$5:$N$106,N109,FALSE)*'G-6 Function Expense'!$D$53</f>
        <v>0</v>
      </c>
      <c r="O45" s="429">
        <f>+VLOOKUP($E$45,'G-7 Allocations'!$D$5:$N$106,O109,FALSE)*'G-6 Function Expense'!$D$53</f>
        <v>-12313.974982392208</v>
      </c>
      <c r="Q45" s="434">
        <f>F45-'Rev&amp;Expense'!D67</f>
        <v>0</v>
      </c>
      <c r="S45" s="434">
        <f>SUM(G45,J45,M45)-'G-6 Function Expense'!E53</f>
        <v>0</v>
      </c>
      <c r="T45" s="434">
        <f>SUM(H45,K45,N45)-'G-6 Function Expense'!F53</f>
        <v>0</v>
      </c>
      <c r="U45" s="434">
        <f>SUM(I45,L45,O45)-'G-6 Function Expense'!G53</f>
        <v>0</v>
      </c>
    </row>
    <row r="46" spans="1:21" ht="11.25" customHeight="1">
      <c r="A46" s="320">
        <f t="shared" si="0"/>
        <v>42</v>
      </c>
      <c r="B46" s="386">
        <v>923</v>
      </c>
      <c r="C46" s="379" t="s">
        <v>180</v>
      </c>
      <c r="D46" s="304" t="s">
        <v>76</v>
      </c>
      <c r="E46" s="305">
        <f>_xlfn.IFNA(VLOOKUP(D46,'G-7 Allocations'!$C$63:$D$106,2,),VLOOKUP(D46,'G-7 Allocations'!$C$10:$D$15,2,))</f>
        <v>19</v>
      </c>
      <c r="F46" s="369">
        <f t="shared" si="6"/>
        <v>1372947.7199999997</v>
      </c>
      <c r="G46" s="429">
        <f>+VLOOKUP($E$46,'G-7 Allocations'!$D$5:$N$106,G109,FALSE)*'G-6 Function Expense'!$D$54</f>
        <v>213272.74706286273</v>
      </c>
      <c r="H46" s="429">
        <f>+VLOOKUP($E$46,'G-7 Allocations'!$D$5:$N$106,H109,FALSE)*'G-6 Function Expense'!$D$54</f>
        <v>0</v>
      </c>
      <c r="I46" s="429">
        <f>+VLOOKUP($E$46,'G-7 Allocations'!$D$5:$N$106,I109,FALSE)*'G-6 Function Expense'!$D$54</f>
        <v>884275.31949411833</v>
      </c>
      <c r="J46" s="429">
        <f>+VLOOKUP($E$46,'G-7 Allocations'!$D$5:$N$106,J109,FALSE)*'G-6 Function Expense'!$D$54</f>
        <v>91703.998789158737</v>
      </c>
      <c r="K46" s="429">
        <f>+VLOOKUP($E$46,'G-7 Allocations'!$D$5:$N$106,K109,FALSE)*'G-6 Function Expense'!$D$54</f>
        <v>0</v>
      </c>
      <c r="L46" s="429">
        <f>+VLOOKUP($E$46,'G-7 Allocations'!$D$5:$N$106,L109,FALSE)*'G-6 Function Expense'!$D$54</f>
        <v>90762.164175276834</v>
      </c>
      <c r="M46" s="429">
        <f>+VLOOKUP($E$46,'G-7 Allocations'!$D$5:$N$106,M109,FALSE)*'G-6 Function Expense'!$D$54</f>
        <v>84267.274709063844</v>
      </c>
      <c r="N46" s="429">
        <f>+VLOOKUP($E$46,'G-7 Allocations'!$D$5:$N$106,N109,FALSE)*'G-6 Function Expense'!$D$54</f>
        <v>0</v>
      </c>
      <c r="O46" s="429">
        <f>+VLOOKUP($E$46,'G-7 Allocations'!$D$5:$N$106,O109,FALSE)*'G-6 Function Expense'!$D$54</f>
        <v>8666.2157695194164</v>
      </c>
      <c r="Q46" s="434">
        <f>F46-'Rev&amp;Expense'!D68</f>
        <v>0</v>
      </c>
      <c r="S46" s="434">
        <f>SUM(G46,J46,M46)-'G-6 Function Expense'!E54</f>
        <v>0</v>
      </c>
      <c r="T46" s="434">
        <f>SUM(H46,K46,N46)-'G-6 Function Expense'!F54</f>
        <v>0</v>
      </c>
      <c r="U46" s="434">
        <f>SUM(I46,L46,O46)-'G-6 Function Expense'!G54</f>
        <v>0</v>
      </c>
    </row>
    <row r="47" spans="1:21" ht="11.25" customHeight="1">
      <c r="A47" s="320">
        <f t="shared" si="0"/>
        <v>43</v>
      </c>
      <c r="B47" s="386">
        <v>924</v>
      </c>
      <c r="C47" s="379" t="s">
        <v>181</v>
      </c>
      <c r="D47" s="304" t="s">
        <v>76</v>
      </c>
      <c r="E47" s="305">
        <f>_xlfn.IFNA(VLOOKUP(D47,'G-7 Allocations'!$C$63:$D$106,2,),VLOOKUP(D47,'G-7 Allocations'!$C$10:$D$15,2,))</f>
        <v>19</v>
      </c>
      <c r="F47" s="369">
        <f t="shared" si="6"/>
        <v>30721.459999999995</v>
      </c>
      <c r="G47" s="429">
        <f>+VLOOKUP($E$47,'G-7 Allocations'!$D$5:$N$106,G109,FALSE)*'G-6 Function Expense'!$D$55</f>
        <v>4772.2502995102068</v>
      </c>
      <c r="H47" s="429">
        <f>+VLOOKUP($E$47,'G-7 Allocations'!$D$5:$N$106,H109,FALSE)*'G-6 Function Expense'!$D$55</f>
        <v>0</v>
      </c>
      <c r="I47" s="429">
        <f>+VLOOKUP($E$47,'G-7 Allocations'!$D$5:$N$106,I109,FALSE)*'G-6 Function Expense'!$D$55</f>
        <v>19786.790466301059</v>
      </c>
      <c r="J47" s="429">
        <f>+VLOOKUP($E$47,'G-7 Allocations'!$D$5:$N$106,J109,FALSE)*'G-6 Function Expense'!$D$55</f>
        <v>2051.9941798229493</v>
      </c>
      <c r="K47" s="429">
        <f>+VLOOKUP($E$47,'G-7 Allocations'!$D$5:$N$106,K109,FALSE)*'G-6 Function Expense'!$D$55</f>
        <v>0</v>
      </c>
      <c r="L47" s="429">
        <f>+VLOOKUP($E$47,'G-7 Allocations'!$D$5:$N$106,L109,FALSE)*'G-6 Function Expense'!$D$55</f>
        <v>2030.9194265781659</v>
      </c>
      <c r="M47" s="429">
        <f>+VLOOKUP($E$47,'G-7 Allocations'!$D$5:$N$106,M109,FALSE)*'G-6 Function Expense'!$D$55</f>
        <v>1885.5879736509683</v>
      </c>
      <c r="N47" s="429">
        <f>+VLOOKUP($E$47,'G-7 Allocations'!$D$5:$N$106,N109,FALSE)*'G-6 Function Expense'!$D$55</f>
        <v>0</v>
      </c>
      <c r="O47" s="429">
        <f>+VLOOKUP($E$47,'G-7 Allocations'!$D$5:$N$106,O109,FALSE)*'G-6 Function Expense'!$D$55</f>
        <v>193.91765413664839</v>
      </c>
      <c r="Q47" s="434">
        <f>F47-'Rev&amp;Expense'!D69</f>
        <v>0</v>
      </c>
      <c r="S47" s="434">
        <f>SUM(G47,J47,M47)-'G-6 Function Expense'!E55</f>
        <v>0</v>
      </c>
      <c r="T47" s="434">
        <f>SUM(H47,K47,N47)-'G-6 Function Expense'!F55</f>
        <v>0</v>
      </c>
      <c r="U47" s="434">
        <f>SUM(I47,L47,O47)-'G-6 Function Expense'!G55</f>
        <v>0</v>
      </c>
    </row>
    <row r="48" spans="1:21" ht="11.25" customHeight="1">
      <c r="A48" s="320">
        <f t="shared" si="0"/>
        <v>44</v>
      </c>
      <c r="B48" s="386">
        <v>925</v>
      </c>
      <c r="C48" s="379" t="s">
        <v>182</v>
      </c>
      <c r="D48" s="304" t="s">
        <v>76</v>
      </c>
      <c r="E48" s="305">
        <f>_xlfn.IFNA(VLOOKUP(D48,'G-7 Allocations'!$C$63:$D$106,2,),VLOOKUP(D48,'G-7 Allocations'!$C$10:$D$15,2,))</f>
        <v>19</v>
      </c>
      <c r="F48" s="369">
        <f t="shared" si="6"/>
        <v>2007319.2159669495</v>
      </c>
      <c r="G48" s="429">
        <f>+VLOOKUP($E$48,'G-7 Allocations'!$D$5:$N$106,G109,FALSE)*'G-6 Function Expense'!$D$56</f>
        <v>311815.57548407099</v>
      </c>
      <c r="H48" s="429">
        <f>+VLOOKUP($E$48,'G-7 Allocations'!$D$5:$N$106,H109,FALSE)*'G-6 Function Expense'!$D$56</f>
        <v>0</v>
      </c>
      <c r="I48" s="429">
        <f>+VLOOKUP($E$48,'G-7 Allocations'!$D$5:$N$106,I109,FALSE)*'G-6 Function Expense'!$D$56</f>
        <v>1292855.3761871264</v>
      </c>
      <c r="J48" s="429">
        <f>+VLOOKUP($E$48,'G-7 Allocations'!$D$5:$N$106,J109,FALSE)*'G-6 Function Expense'!$D$56</f>
        <v>134075.89835284348</v>
      </c>
      <c r="K48" s="429">
        <f>+VLOOKUP($E$48,'G-7 Allocations'!$D$5:$N$106,K109,FALSE)*'G-6 Function Expense'!$D$56</f>
        <v>0</v>
      </c>
      <c r="L48" s="429">
        <f>+VLOOKUP($E$48,'G-7 Allocations'!$D$5:$N$106,L109,FALSE)*'G-6 Function Expense'!$D$56</f>
        <v>132698.88836829146</v>
      </c>
      <c r="M48" s="429">
        <f>+VLOOKUP($E$48,'G-7 Allocations'!$D$5:$N$106,M109,FALSE)*'G-6 Function Expense'!$D$56</f>
        <v>123203.03048441613</v>
      </c>
      <c r="N48" s="429">
        <f>+VLOOKUP($E$48,'G-7 Allocations'!$D$5:$N$106,N109,FALSE)*'G-6 Function Expense'!$D$56</f>
        <v>0</v>
      </c>
      <c r="O48" s="429">
        <f>+VLOOKUP($E$48,'G-7 Allocations'!$D$5:$N$106,O109,FALSE)*'G-6 Function Expense'!$D$56</f>
        <v>12670.447090201023</v>
      </c>
      <c r="Q48" s="434">
        <f>F48-'Rev&amp;Expense'!D70</f>
        <v>0</v>
      </c>
      <c r="S48" s="434">
        <f>SUM(G48,J48,M48)-'G-6 Function Expense'!E56</f>
        <v>0</v>
      </c>
      <c r="T48" s="434">
        <f>SUM(H48,K48,N48)-'G-6 Function Expense'!F56</f>
        <v>0</v>
      </c>
      <c r="U48" s="434">
        <f>SUM(I48,L48,O48)-'G-6 Function Expense'!G56</f>
        <v>0</v>
      </c>
    </row>
    <row r="49" spans="1:21" ht="11.25" customHeight="1">
      <c r="A49" s="320">
        <f t="shared" si="0"/>
        <v>45</v>
      </c>
      <c r="B49" s="386">
        <v>926</v>
      </c>
      <c r="C49" s="379" t="s">
        <v>183</v>
      </c>
      <c r="D49" s="305" t="s">
        <v>124</v>
      </c>
      <c r="E49" s="305">
        <f>_xlfn.IFNA(VLOOKUP(D49,'G-7 Allocations'!$C$63:$D$106,2,),VLOOKUP(D49,'G-7 Allocations'!$C$10:$D$15,2,))</f>
        <v>33</v>
      </c>
      <c r="F49" s="369">
        <f t="shared" si="6"/>
        <v>2640755.5700000008</v>
      </c>
      <c r="G49" s="429">
        <f>+VLOOKUP($E$49,'G-7 Allocations'!$D$5:$N$106,G109,FALSE)*'G-6 Function Expense'!$D$57</f>
        <v>271775.39351390506</v>
      </c>
      <c r="H49" s="429">
        <f>+VLOOKUP($E$49,'G-7 Allocations'!$D$5:$N$106,H109,FALSE)*'G-6 Function Expense'!$D$57</f>
        <v>4223.0950099771626</v>
      </c>
      <c r="I49" s="429">
        <f>+VLOOKUP($E$49,'G-7 Allocations'!$D$5:$N$106,I109,FALSE)*'G-6 Function Expense'!$D$57</f>
        <v>1969143.1496980325</v>
      </c>
      <c r="J49" s="429">
        <f>+VLOOKUP($E$49,'G-7 Allocations'!$D$5:$N$106,J109,FALSE)*'G-6 Function Expense'!$D$57</f>
        <v>116859.23635792153</v>
      </c>
      <c r="K49" s="429">
        <f>+VLOOKUP($E$49,'G-7 Allocations'!$D$5:$N$106,K109,FALSE)*'G-6 Function Expense'!$D$57</f>
        <v>1824.4036873942007</v>
      </c>
      <c r="L49" s="429">
        <f>+VLOOKUP($E$49,'G-7 Allocations'!$D$5:$N$106,L109,FALSE)*'G-6 Function Expense'!$D$57</f>
        <v>166426.88623691947</v>
      </c>
      <c r="M49" s="429">
        <f>+VLOOKUP($E$49,'G-7 Allocations'!$D$5:$N$106,M109,FALSE)*'G-6 Function Expense'!$D$57</f>
        <v>107382.55149707341</v>
      </c>
      <c r="N49" s="429">
        <f>+VLOOKUP($E$49,'G-7 Allocations'!$D$5:$N$106,N109,FALSE)*'G-6 Function Expense'!$D$57</f>
        <v>2145.0809011093247</v>
      </c>
      <c r="O49" s="429">
        <f>+VLOOKUP($E$49,'G-7 Allocations'!$D$5:$N$106,O109,FALSE)*'G-6 Function Expense'!$D$57</f>
        <v>975.77309766794576</v>
      </c>
      <c r="Q49" s="434">
        <f>F49-'Rev&amp;Expense'!D71</f>
        <v>0</v>
      </c>
      <c r="S49" s="434">
        <f>SUM(G49,J49,M49)-'G-6 Function Expense'!E57</f>
        <v>0</v>
      </c>
      <c r="T49" s="434">
        <f>SUM(H49,K49,N49)-'G-6 Function Expense'!F57</f>
        <v>0</v>
      </c>
      <c r="U49" s="434">
        <f>SUM(I49,L49,O49)-'G-6 Function Expense'!G57</f>
        <v>0</v>
      </c>
    </row>
    <row r="50" spans="1:21" ht="11.25" customHeight="1">
      <c r="A50" s="320">
        <f>+A47+1</f>
        <v>44</v>
      </c>
      <c r="B50" s="449">
        <v>930.1</v>
      </c>
      <c r="C50" s="379" t="s">
        <v>184</v>
      </c>
      <c r="D50" s="304" t="s">
        <v>76</v>
      </c>
      <c r="E50" s="305">
        <f>_xlfn.IFNA(VLOOKUP(D50,'G-7 Allocations'!$C$63:$D$106,2,),VLOOKUP(D50,'G-7 Allocations'!$C$10:$D$15,2,))</f>
        <v>19</v>
      </c>
      <c r="F50" s="429">
        <f t="shared" si="6"/>
        <v>13058.15896349696</v>
      </c>
      <c r="G50" s="429">
        <f>+VLOOKUP($E$50,'G-7 Allocations'!$D$5:$N$106,G109,FALSE)*'G-6 Function Expense'!$D$58</f>
        <v>2028.4453611449537</v>
      </c>
      <c r="H50" s="429">
        <f>+VLOOKUP($E$50,'G-7 Allocations'!$D$5:$N$106,H109,FALSE)*'G-6 Function Expense'!$D$58</f>
        <v>0</v>
      </c>
      <c r="I50" s="429">
        <f>+VLOOKUP($E$50,'G-7 Allocations'!$D$5:$N$106,I109,FALSE)*'G-6 Function Expense'!$D$58</f>
        <v>8410.3768273501773</v>
      </c>
      <c r="J50" s="429">
        <f>+VLOOKUP($E$50,'G-7 Allocations'!$D$5:$N$106,J109,FALSE)*'G-6 Function Expense'!$D$58</f>
        <v>872.20028580342989</v>
      </c>
      <c r="K50" s="429">
        <f>+VLOOKUP($E$50,'G-7 Allocations'!$D$5:$N$106,K109,FALSE)*'G-6 Function Expense'!$D$58</f>
        <v>0</v>
      </c>
      <c r="L50" s="429">
        <f>+VLOOKUP($E$50,'G-7 Allocations'!$D$5:$N$106,L109,FALSE)*'G-6 Function Expense'!$D$58</f>
        <v>863.24246029686685</v>
      </c>
      <c r="M50" s="429">
        <f>+VLOOKUP($E$50,'G-7 Allocations'!$D$5:$N$106,M109,FALSE)*'G-6 Function Expense'!$D$58</f>
        <v>801.4693149216364</v>
      </c>
      <c r="N50" s="429">
        <f>+VLOOKUP($E$50,'G-7 Allocations'!$D$5:$N$106,N109,FALSE)*'G-6 Function Expense'!$D$58</f>
        <v>0</v>
      </c>
      <c r="O50" s="429">
        <f>+VLOOKUP($E$50,'G-7 Allocations'!$D$5:$N$106,O109,FALSE)*'G-6 Function Expense'!$D$58</f>
        <v>82.42471397989479</v>
      </c>
      <c r="Q50" s="434">
        <f>F50-'Rev&amp;Expense'!D72</f>
        <v>0</v>
      </c>
      <c r="S50" s="434">
        <f>SUM(G50,J50,M50)-'G-6 Function Expense'!E58</f>
        <v>0</v>
      </c>
      <c r="T50" s="434">
        <f>SUM(H50,K50,N50)-'G-6 Function Expense'!F58</f>
        <v>0</v>
      </c>
      <c r="U50" s="434">
        <f>SUM(I50,L50,O50)-'G-6 Function Expense'!G58</f>
        <v>0</v>
      </c>
    </row>
    <row r="51" spans="1:21" ht="11.25" customHeight="1">
      <c r="A51" s="320">
        <f>+A49+1</f>
        <v>46</v>
      </c>
      <c r="B51" s="448">
        <v>930.2</v>
      </c>
      <c r="C51" s="379" t="s">
        <v>185</v>
      </c>
      <c r="D51" s="304" t="s">
        <v>76</v>
      </c>
      <c r="E51" s="305">
        <f>_xlfn.IFNA(VLOOKUP(D51,'G-7 Allocations'!$C$63:$D$106,2,),VLOOKUP(D51,'G-7 Allocations'!$C$10:$D$15,2,))</f>
        <v>19</v>
      </c>
      <c r="F51" s="369">
        <f t="shared" si="6"/>
        <v>286652.95000000007</v>
      </c>
      <c r="G51" s="429">
        <f>+VLOOKUP($E$51,'G-7 Allocations'!$D$5:$N$106,G109,FALSE)*'G-6 Function Expense'!$D$59</f>
        <v>44528.470537955698</v>
      </c>
      <c r="H51" s="429">
        <f>+VLOOKUP($E$51,'G-7 Allocations'!$D$5:$N$106,H109,FALSE)*'G-6 Function Expense'!$D$59</f>
        <v>0</v>
      </c>
      <c r="I51" s="429">
        <f>+VLOOKUP($E$51,'G-7 Allocations'!$D$5:$N$106,I109,FALSE)*'G-6 Function Expense'!$D$59</f>
        <v>184624.74954631311</v>
      </c>
      <c r="J51" s="429">
        <f>+VLOOKUP($E$51,'G-7 Allocations'!$D$5:$N$106,J109,FALSE)*'G-6 Function Expense'!$D$59</f>
        <v>19146.557000516219</v>
      </c>
      <c r="K51" s="429">
        <f>+VLOOKUP($E$51,'G-7 Allocations'!$D$5:$N$106,K109,FALSE)*'G-6 Function Expense'!$D$59</f>
        <v>0</v>
      </c>
      <c r="L51" s="429">
        <f>+VLOOKUP($E$51,'G-7 Allocations'!$D$5:$N$106,L109,FALSE)*'G-6 Function Expense'!$D$59</f>
        <v>18949.914647316233</v>
      </c>
      <c r="M51" s="429">
        <f>+VLOOKUP($E$51,'G-7 Allocations'!$D$5:$N$106,M109,FALSE)*'G-6 Function Expense'!$D$59</f>
        <v>17593.869403718847</v>
      </c>
      <c r="N51" s="429">
        <f>+VLOOKUP($E$51,'G-7 Allocations'!$D$5:$N$106,N109,FALSE)*'G-6 Function Expense'!$D$59</f>
        <v>0</v>
      </c>
      <c r="O51" s="429">
        <f>+VLOOKUP($E$51,'G-7 Allocations'!$D$5:$N$106,O109,FALSE)*'G-6 Function Expense'!$D$59</f>
        <v>1809.388864179957</v>
      </c>
      <c r="Q51" s="434">
        <f>F51-'Rev&amp;Expense'!D73</f>
        <v>0</v>
      </c>
      <c r="S51" s="434">
        <f>SUM(G51,J51,M51)-'G-6 Function Expense'!E59</f>
        <v>0</v>
      </c>
      <c r="T51" s="434">
        <f>SUM(H51,K51,N51)-'G-6 Function Expense'!F59</f>
        <v>0</v>
      </c>
      <c r="U51" s="434">
        <f>SUM(I51,L51,O51)-'G-6 Function Expense'!G59</f>
        <v>0</v>
      </c>
    </row>
    <row r="52" spans="1:21" ht="11.25" customHeight="1">
      <c r="A52" s="320">
        <f t="shared" ref="A52:A57" si="7">+A51+1</f>
        <v>47</v>
      </c>
      <c r="B52" s="385">
        <v>931</v>
      </c>
      <c r="C52" s="379" t="s">
        <v>151</v>
      </c>
      <c r="D52" s="304" t="s">
        <v>76</v>
      </c>
      <c r="E52" s="305">
        <f>_xlfn.IFNA(VLOOKUP(D52,'G-7 Allocations'!$C$63:$D$106,2,),VLOOKUP(D52,'G-7 Allocations'!$C$10:$D$15,2,))</f>
        <v>19</v>
      </c>
      <c r="F52" s="369">
        <f t="shared" si="6"/>
        <v>198635.85000000003</v>
      </c>
      <c r="G52" s="429">
        <f>+VLOOKUP($E$52,'G-7 Allocations'!$D$5:$N$106,G109,FALSE)*'G-6 Function Expense'!$D$60</f>
        <v>30855.955239626132</v>
      </c>
      <c r="H52" s="429">
        <f>+VLOOKUP($E$52,'G-7 Allocations'!$D$5:$N$106,H109,FALSE)*'G-6 Function Expense'!$D$60</f>
        <v>0</v>
      </c>
      <c r="I52" s="429">
        <f>+VLOOKUP($E$52,'G-7 Allocations'!$D$5:$N$106,I109,FALSE)*'G-6 Function Expense'!$D$60</f>
        <v>127935.51943968836</v>
      </c>
      <c r="J52" s="429">
        <f>+VLOOKUP($E$52,'G-7 Allocations'!$D$5:$N$106,J109,FALSE)*'G-6 Function Expense'!$D$60</f>
        <v>13267.585853803319</v>
      </c>
      <c r="K52" s="429">
        <f>+VLOOKUP($E$52,'G-7 Allocations'!$D$5:$N$106,K109,FALSE)*'G-6 Function Expense'!$D$60</f>
        <v>0</v>
      </c>
      <c r="L52" s="429">
        <f>+VLOOKUP($E$52,'G-7 Allocations'!$D$5:$N$106,L109,FALSE)*'G-6 Function Expense'!$D$60</f>
        <v>13131.322748979595</v>
      </c>
      <c r="M52" s="429">
        <f>+VLOOKUP($E$52,'G-7 Allocations'!$D$5:$N$106,M109,FALSE)*'G-6 Function Expense'!$D$60</f>
        <v>12191.652671973849</v>
      </c>
      <c r="N52" s="429">
        <f>+VLOOKUP($E$52,'G-7 Allocations'!$D$5:$N$106,N109,FALSE)*'G-6 Function Expense'!$D$60</f>
        <v>0</v>
      </c>
      <c r="O52" s="429">
        <f>+VLOOKUP($E$52,'G-7 Allocations'!$D$5:$N$106,O109,FALSE)*'G-6 Function Expense'!$D$60</f>
        <v>1253.8140459287799</v>
      </c>
      <c r="Q52" s="434">
        <f>F52-'Rev&amp;Expense'!D74</f>
        <v>0</v>
      </c>
      <c r="S52" s="434">
        <f>SUM(G52,J52,M52)-'G-6 Function Expense'!E60</f>
        <v>0</v>
      </c>
      <c r="T52" s="434">
        <f>SUM(H52,K52,N52)-'G-6 Function Expense'!F60</f>
        <v>0</v>
      </c>
      <c r="U52" s="434">
        <f>SUM(I52,L52,O52)-'G-6 Function Expense'!G60</f>
        <v>0</v>
      </c>
    </row>
    <row r="53" spans="1:21" ht="11.25" customHeight="1">
      <c r="A53" s="320">
        <f t="shared" si="7"/>
        <v>48</v>
      </c>
      <c r="B53" s="385">
        <v>932</v>
      </c>
      <c r="C53" s="379" t="s">
        <v>186</v>
      </c>
      <c r="D53" s="304" t="s">
        <v>76</v>
      </c>
      <c r="E53" s="305">
        <f>_xlfn.IFNA(VLOOKUP(D53,'G-7 Allocations'!$C$63:$D$106,2,),VLOOKUP(D53,'G-7 Allocations'!$C$10:$D$15,2,))</f>
        <v>19</v>
      </c>
      <c r="F53" s="369">
        <f t="shared" si="6"/>
        <v>285.90941458918587</v>
      </c>
      <c r="G53" s="429">
        <f>+VLOOKUP($E$53,'G-7 Allocations'!$D$5:$N$106,G109,FALSE)*'G-6 Function Expense'!$D$61</f>
        <v>44.412970262677305</v>
      </c>
      <c r="H53" s="429">
        <f>+VLOOKUP($E$53,'G-7 Allocations'!$D$5:$N$106,H109,FALSE)*'G-6 Function Expense'!$D$61</f>
        <v>0</v>
      </c>
      <c r="I53" s="429">
        <f>+VLOOKUP($E$53,'G-7 Allocations'!$D$5:$N$106,I109,FALSE)*'G-6 Function Expense'!$D$61</f>
        <v>184.14586021689794</v>
      </c>
      <c r="J53" s="429">
        <f>+VLOOKUP($E$53,'G-7 Allocations'!$D$5:$N$106,J109,FALSE)*'G-6 Function Expense'!$D$61</f>
        <v>19.096893659793388</v>
      </c>
      <c r="K53" s="429">
        <f>+VLOOKUP($E$53,'G-7 Allocations'!$D$5:$N$106,K109,FALSE)*'G-6 Function Expense'!$D$61</f>
        <v>0</v>
      </c>
      <c r="L53" s="429">
        <f>+VLOOKUP($E$53,'G-7 Allocations'!$D$5:$N$106,L109,FALSE)*'G-6 Function Expense'!$D$61</f>
        <v>18.900761367811576</v>
      </c>
      <c r="M53" s="429">
        <f>+VLOOKUP($E$53,'G-7 Allocations'!$D$5:$N$106,M109,FALSE)*'G-6 Function Expense'!$D$61</f>
        <v>17.548233505274737</v>
      </c>
      <c r="N53" s="429">
        <f>+VLOOKUP($E$53,'G-7 Allocations'!$D$5:$N$106,N109,FALSE)*'G-6 Function Expense'!$D$61</f>
        <v>0</v>
      </c>
      <c r="O53" s="429">
        <f>+VLOOKUP($E$53,'G-7 Allocations'!$D$5:$N$106,O109,FALSE)*'G-6 Function Expense'!$D$61</f>
        <v>1.8046955767309683</v>
      </c>
      <c r="Q53" s="434">
        <f>F53-'Rev&amp;Expense'!D75</f>
        <v>0</v>
      </c>
      <c r="S53" s="434">
        <f>SUM(G53,J53,M53)-'G-6 Function Expense'!E61</f>
        <v>0</v>
      </c>
      <c r="T53" s="434">
        <f>SUM(H53,K53,N53)-'G-6 Function Expense'!F61</f>
        <v>0</v>
      </c>
      <c r="U53" s="434">
        <f>SUM(I53,L53,O53)-'G-6 Function Expense'!G61</f>
        <v>0</v>
      </c>
    </row>
    <row r="54" spans="1:21" ht="11.25" customHeight="1">
      <c r="A54" s="320">
        <f t="shared" si="7"/>
        <v>49</v>
      </c>
      <c r="B54" s="374">
        <v>928</v>
      </c>
      <c r="C54" s="379" t="s">
        <v>187</v>
      </c>
      <c r="D54" s="304" t="s">
        <v>76</v>
      </c>
      <c r="E54" s="305">
        <f>_xlfn.IFNA(VLOOKUP(D54,'G-7 Allocations'!$C$63:$D$106,2,),VLOOKUP(D54,'G-7 Allocations'!$C$10:$D$15,2,))</f>
        <v>19</v>
      </c>
      <c r="F54" s="380">
        <f t="shared" si="6"/>
        <v>249999.99999999997</v>
      </c>
      <c r="G54" s="441">
        <f>+VLOOKUP($E$54,'G-7 Allocations'!$D$5:$N$106,G109,FALSE)*'G-6 Function Expense'!$D$62</f>
        <v>38834.826693703733</v>
      </c>
      <c r="H54" s="441">
        <f>+VLOOKUP($E$54,'G-7 Allocations'!$D$5:$N$106,H109,FALSE)*'G-6 Function Expense'!$D$62</f>
        <v>0</v>
      </c>
      <c r="I54" s="441">
        <f>+VLOOKUP($E$54,'G-7 Allocations'!$D$5:$N$106,I109,FALSE)*'G-6 Function Expense'!$D$62</f>
        <v>161017.66050751705</v>
      </c>
      <c r="J54" s="441">
        <f>+VLOOKUP($E$54,'G-7 Allocations'!$D$5:$N$106,J109,FALSE)*'G-6 Function Expense'!$D$62</f>
        <v>16698.377777479891</v>
      </c>
      <c r="K54" s="441">
        <f>+VLOOKUP($E$54,'G-7 Allocations'!$D$5:$N$106,K109,FALSE)*'G-6 Function Expense'!$D$62</f>
        <v>0</v>
      </c>
      <c r="L54" s="441">
        <f>+VLOOKUP($E$54,'G-7 Allocations'!$D$5:$N$106,L109,FALSE)*'G-6 Function Expense'!$D$62</f>
        <v>16526.879147167532</v>
      </c>
      <c r="M54" s="441">
        <f>+VLOOKUP($E$54,'G-7 Allocations'!$D$5:$N$106,M109,FALSE)*'G-6 Function Expense'!$D$62</f>
        <v>15344.224962379458</v>
      </c>
      <c r="N54" s="441">
        <f>+VLOOKUP($E$54,'G-7 Allocations'!$D$5:$N$106,N109,FALSE)*'G-6 Function Expense'!$D$62</f>
        <v>0</v>
      </c>
      <c r="O54" s="441">
        <f>+VLOOKUP($E$54,'G-7 Allocations'!$D$5:$N$106,O109,FALSE)*'G-6 Function Expense'!$D$62</f>
        <v>1578.0309117523091</v>
      </c>
      <c r="Q54" s="434">
        <f>F54-'Rev&amp;Expense'!D76</f>
        <v>0</v>
      </c>
      <c r="S54" s="434">
        <f>SUM(G54,J54,M54)-'G-6 Function Expense'!E62</f>
        <v>0</v>
      </c>
      <c r="T54" s="434">
        <f>SUM(H54,K54,N54)-'G-6 Function Expense'!F62</f>
        <v>0</v>
      </c>
      <c r="U54" s="434">
        <f>SUM(I54,L54,O54)-'G-6 Function Expense'!G62</f>
        <v>0</v>
      </c>
    </row>
    <row r="55" spans="1:21" ht="11.25" customHeight="1">
      <c r="A55" s="320">
        <f t="shared" si="7"/>
        <v>50</v>
      </c>
      <c r="B55" s="386"/>
      <c r="C55" s="377" t="s">
        <v>188</v>
      </c>
      <c r="D55" s="305"/>
      <c r="E55" s="305"/>
      <c r="F55" s="378">
        <f t="shared" ref="F55:O55" si="8">SUM(F43:F54)</f>
        <v>12154864.34103197</v>
      </c>
      <c r="G55" s="435">
        <f t="shared" si="8"/>
        <v>1477576.0192367425</v>
      </c>
      <c r="H55" s="435">
        <f t="shared" si="8"/>
        <v>12524.047217812524</v>
      </c>
      <c r="I55" s="435">
        <f t="shared" si="8"/>
        <v>8624293.7871920932</v>
      </c>
      <c r="J55" s="435">
        <f t="shared" si="8"/>
        <v>635334.94712776109</v>
      </c>
      <c r="K55" s="435">
        <f t="shared" si="8"/>
        <v>5410.4674110563783</v>
      </c>
      <c r="L55" s="435">
        <f t="shared" si="8"/>
        <v>779367.35968331003</v>
      </c>
      <c r="M55" s="435">
        <f t="shared" si="8"/>
        <v>583812.54066112603</v>
      </c>
      <c r="N55" s="378">
        <f t="shared" si="8"/>
        <v>6361.4705395099081</v>
      </c>
      <c r="O55" s="378">
        <f t="shared" si="8"/>
        <v>30183.701962557549</v>
      </c>
      <c r="Q55" s="434">
        <f>F55-'Rev&amp;Expense'!D77</f>
        <v>0</v>
      </c>
      <c r="S55" s="434">
        <f>SUM(G55,J55,M55)-'G-6 Function Expense'!E63</f>
        <v>0</v>
      </c>
      <c r="T55" s="434">
        <f>SUM(H55,K55,N55)-'G-6 Function Expense'!F63</f>
        <v>0</v>
      </c>
      <c r="U55" s="434">
        <f>SUM(I55,L55,O55)-'G-6 Function Expense'!G63</f>
        <v>0</v>
      </c>
    </row>
    <row r="56" spans="1:21" ht="11.25" customHeight="1">
      <c r="A56" s="320">
        <f t="shared" si="7"/>
        <v>51</v>
      </c>
      <c r="B56" s="386"/>
      <c r="C56" s="377"/>
      <c r="D56" s="305"/>
      <c r="E56" s="305"/>
      <c r="F56" s="447"/>
      <c r="G56" s="446"/>
      <c r="H56" s="446"/>
      <c r="I56" s="446"/>
      <c r="J56" s="446"/>
      <c r="K56" s="446"/>
      <c r="L56" s="446"/>
      <c r="M56" s="446"/>
      <c r="N56" s="395"/>
      <c r="O56" s="395"/>
      <c r="S56" s="434"/>
      <c r="T56" s="434"/>
      <c r="U56" s="434"/>
    </row>
    <row r="57" spans="1:21" ht="17.25" customHeight="1">
      <c r="A57" s="320">
        <f t="shared" si="7"/>
        <v>52</v>
      </c>
      <c r="B57" s="382"/>
      <c r="C57" s="377" t="s">
        <v>189</v>
      </c>
      <c r="D57" s="377"/>
      <c r="E57" s="305"/>
      <c r="F57" s="378">
        <f t="shared" ref="F57:O57" si="9">+F55+F40+F28+F10+F8</f>
        <v>28962820.550075121</v>
      </c>
      <c r="G57" s="435">
        <f t="shared" si="9"/>
        <v>2845460.8898913385</v>
      </c>
      <c r="H57" s="435">
        <f t="shared" si="9"/>
        <v>132112.30163736548</v>
      </c>
      <c r="I57" s="435">
        <f t="shared" si="9"/>
        <v>21499731.817483034</v>
      </c>
      <c r="J57" s="435">
        <f t="shared" si="9"/>
        <v>1223504.3886047057</v>
      </c>
      <c r="K57" s="435">
        <f t="shared" si="9"/>
        <v>57073.347790640371</v>
      </c>
      <c r="L57" s="435">
        <f t="shared" si="9"/>
        <v>1938486.3907848853</v>
      </c>
      <c r="M57" s="435">
        <f t="shared" si="9"/>
        <v>1124284.4563337252</v>
      </c>
      <c r="N57" s="378">
        <f t="shared" si="9"/>
        <v>67105.185740407818</v>
      </c>
      <c r="O57" s="378">
        <f t="shared" si="9"/>
        <v>75061.771809023616</v>
      </c>
      <c r="Q57" s="434">
        <f>F57-'Rev&amp;Expense'!D79</f>
        <v>0</v>
      </c>
      <c r="S57" s="434">
        <f>SUM(G57,J57,M57)-'G-6 Function Expense'!E65</f>
        <v>5.9999964199960232E-2</v>
      </c>
      <c r="T57" s="434">
        <f>SUM(H57,K57,N57)-'G-6 Function Expense'!F65</f>
        <v>-5.9999965131282806E-2</v>
      </c>
      <c r="U57" s="434">
        <f>SUM(I57,L57,O57)-'G-6 Function Expense'!G65</f>
        <v>0</v>
      </c>
    </row>
    <row r="58" spans="1:21" ht="11.25" customHeight="1">
      <c r="B58" s="382"/>
      <c r="C58" s="445"/>
      <c r="D58" s="305"/>
      <c r="E58" s="305"/>
      <c r="S58" s="434"/>
      <c r="T58" s="434"/>
      <c r="U58" s="434"/>
    </row>
    <row r="59" spans="1:21" ht="11.25" customHeight="1">
      <c r="B59" s="386"/>
      <c r="C59" s="406" t="s">
        <v>190</v>
      </c>
      <c r="D59" s="305"/>
      <c r="E59" s="305"/>
      <c r="S59" s="434"/>
      <c r="T59" s="434"/>
      <c r="U59" s="434"/>
    </row>
    <row r="60" spans="1:21" ht="11.25" customHeight="1">
      <c r="B60" s="386"/>
      <c r="C60" s="377" t="s">
        <v>191</v>
      </c>
      <c r="D60" s="305"/>
      <c r="E60" s="305"/>
      <c r="S60" s="434"/>
      <c r="T60" s="434"/>
      <c r="U60" s="434"/>
    </row>
    <row r="61" spans="1:21" ht="11.25" customHeight="1">
      <c r="A61" s="320">
        <v>1</v>
      </c>
      <c r="B61" s="386">
        <v>302</v>
      </c>
      <c r="C61" s="379" t="s">
        <v>192</v>
      </c>
      <c r="D61" s="305" t="s">
        <v>127</v>
      </c>
      <c r="E61" s="305">
        <f>_xlfn.IFNA(VLOOKUP(D61,'G-7 Allocations'!$C$63:$D$106,2,),VLOOKUP(D61,'G-7 Allocations'!$C$10:$D$15,2,))</f>
        <v>17</v>
      </c>
      <c r="F61" s="375">
        <f>SUM(G61:O61)</f>
        <v>13995.4</v>
      </c>
      <c r="G61" s="404">
        <f>+VLOOKUP($E$61,'G-7 Allocations'!$D$5:$N$106,G109,FALSE)*'G-6 Function Expense'!$D$69</f>
        <v>2174.0357382818752</v>
      </c>
      <c r="H61" s="404">
        <f>+VLOOKUP($E$61,'G-7 Allocations'!$D$5:$N$106,H109,FALSE)*'G-6 Function Expense'!$D$69</f>
        <v>0</v>
      </c>
      <c r="I61" s="404">
        <f>+VLOOKUP($E$61,'G-7 Allocations'!$D$5:$N$106,I109,FALSE)*'G-6 Function Expense'!$D$69</f>
        <v>9014.0262568091039</v>
      </c>
      <c r="J61" s="404">
        <f>+VLOOKUP($E$61,'G-7 Allocations'!$D$5:$N$106,J109,FALSE)*'G-6 Function Expense'!$D$69</f>
        <v>934.80190147876726</v>
      </c>
      <c r="K61" s="404">
        <f>+VLOOKUP($E$61,'G-7 Allocations'!$D$5:$N$106,K109,FALSE)*'G-6 Function Expense'!$D$69</f>
        <v>0</v>
      </c>
      <c r="L61" s="404">
        <f>+VLOOKUP($E$61,'G-7 Allocations'!$D$5:$N$106,L109,FALSE)*'G-6 Function Expense'!$D$69</f>
        <v>925.20113342571449</v>
      </c>
      <c r="M61" s="404">
        <f>+VLOOKUP($E$61,'G-7 Allocations'!$D$5:$N$106,M109,FALSE)*'G-6 Function Expense'!$D$69</f>
        <v>858.99426640815375</v>
      </c>
      <c r="N61" s="404">
        <f>+VLOOKUP($E$61,'G-7 Allocations'!$D$5:$N$106,N109,FALSE)*'G-6 Function Expense'!$D$69</f>
        <v>0</v>
      </c>
      <c r="O61" s="404">
        <f>+VLOOKUP($E$61,'G-7 Allocations'!$D$5:$N$106,O109,FALSE)*'G-6 Function Expense'!$D$69</f>
        <v>88.340703596385055</v>
      </c>
      <c r="Q61" s="434">
        <f>F61-'Rev&amp;Expense'!D83</f>
        <v>0</v>
      </c>
      <c r="S61" s="434">
        <f>SUM(G61,J61,M61)-'G-6 Function Expense'!E69</f>
        <v>2.5908411771524698E-6</v>
      </c>
      <c r="T61" s="434">
        <f>SUM(H61,K61,N61)-'G-6 Function Expense'!F69</f>
        <v>0</v>
      </c>
      <c r="U61" s="434">
        <f>SUM(I61,L61,O61)-'G-6 Function Expense'!G69</f>
        <v>-2.5908411771524698E-6</v>
      </c>
    </row>
    <row r="62" spans="1:21" ht="11.25" customHeight="1">
      <c r="A62" s="320">
        <f t="shared" ref="A62:A107" si="10">+A61+1</f>
        <v>2</v>
      </c>
      <c r="B62" s="386">
        <v>303</v>
      </c>
      <c r="C62" s="379" t="s">
        <v>193</v>
      </c>
      <c r="D62" s="305" t="s">
        <v>127</v>
      </c>
      <c r="E62" s="305">
        <f>_xlfn.IFNA(VLOOKUP(D62,'G-7 Allocations'!$C$63:$D$106,2,),VLOOKUP(D62,'G-7 Allocations'!$C$10:$D$15,2,))</f>
        <v>17</v>
      </c>
      <c r="F62" s="369">
        <f>SUM(G62:O62)</f>
        <v>295305.65337800002</v>
      </c>
      <c r="G62" s="429">
        <f>+VLOOKUP($E$62,'G-7 Allocations'!$D$5:$N$106,G109,FALSE)*'G-6 Function Expense'!$D$70</f>
        <v>45872.575572005931</v>
      </c>
      <c r="H62" s="429">
        <f>+VLOOKUP($E$62,'G-7 Allocations'!$D$5:$N$106,H109,FALSE)*'G-6 Function Expense'!$D$70</f>
        <v>0</v>
      </c>
      <c r="I62" s="429">
        <f>+VLOOKUP($E$62,'G-7 Allocations'!$D$5:$N$106,I109,FALSE)*'G-6 Function Expense'!$D$70</f>
        <v>190197.70162578134</v>
      </c>
      <c r="J62" s="429">
        <f>+VLOOKUP($E$62,'G-7 Allocations'!$D$5:$N$106,J109,FALSE)*'G-6 Function Expense'!$D$70</f>
        <v>19724.501357244822</v>
      </c>
      <c r="K62" s="429">
        <f>+VLOOKUP($E$62,'G-7 Allocations'!$D$5:$N$106,K109,FALSE)*'G-6 Function Expense'!$D$70</f>
        <v>0</v>
      </c>
      <c r="L62" s="429">
        <f>+VLOOKUP($E$62,'G-7 Allocations'!$D$5:$N$106,L109,FALSE)*'G-6 Function Expense'!$D$70</f>
        <v>19521.923289962902</v>
      </c>
      <c r="M62" s="429">
        <f>+VLOOKUP($E$62,'G-7 Allocations'!$D$5:$N$106,M109,FALSE)*'G-6 Function Expense'!$D$70</f>
        <v>18124.945559942244</v>
      </c>
      <c r="N62" s="429">
        <f>+VLOOKUP($E$62,'G-7 Allocations'!$D$5:$N$106,N109,FALSE)*'G-6 Function Expense'!$D$70</f>
        <v>0</v>
      </c>
      <c r="O62" s="429">
        <f>+VLOOKUP($E$62,'G-7 Allocations'!$D$5:$N$106,O109,FALSE)*'G-6 Function Expense'!$D$70</f>
        <v>1864.0059730627725</v>
      </c>
      <c r="Q62" s="434">
        <f>F62-'Rev&amp;Expense'!D84</f>
        <v>0</v>
      </c>
      <c r="S62" s="434">
        <f>SUM(G62,J62,M62)-'G-6 Function Expense'!E70</f>
        <v>5.4667267249897122E-5</v>
      </c>
      <c r="T62" s="434">
        <f>SUM(H62,K62,N62)-'G-6 Function Expense'!F70</f>
        <v>0</v>
      </c>
      <c r="U62" s="434">
        <f>SUM(I62,L62,O62)-'G-6 Function Expense'!G70</f>
        <v>-5.4667238146066666E-5</v>
      </c>
    </row>
    <row r="63" spans="1:21" ht="11.25" customHeight="1">
      <c r="A63" s="320">
        <f t="shared" si="10"/>
        <v>3</v>
      </c>
      <c r="B63" s="374"/>
      <c r="C63" s="379" t="s">
        <v>194</v>
      </c>
      <c r="D63" s="305" t="s">
        <v>127</v>
      </c>
      <c r="E63" s="305">
        <f>_xlfn.IFNA(VLOOKUP(D63,'G-7 Allocations'!$C$63:$D$106,2,),VLOOKUP(D63,'G-7 Allocations'!$C$10:$D$15,2,))</f>
        <v>17</v>
      </c>
      <c r="F63" s="380">
        <f>SUM(G63:O63)</f>
        <v>3063435.4499999997</v>
      </c>
      <c r="G63" s="441">
        <f>+VLOOKUP($E$63,'G-7 Allocations'!$D$5:$N$106,G109,FALSE)*'G-6 Function Expense'!$D$71</f>
        <v>475871.9400817139</v>
      </c>
      <c r="H63" s="441">
        <f>+VLOOKUP($E$63,'G-7 Allocations'!$D$5:$N$106,H109,FALSE)*'G-6 Function Expense'!$D$71</f>
        <v>0</v>
      </c>
      <c r="I63" s="441">
        <f>+VLOOKUP($E$63,'G-7 Allocations'!$D$5:$N$106,I109,FALSE)*'G-6 Function Expense'!$D$71</f>
        <v>1973068.8356416973</v>
      </c>
      <c r="J63" s="441">
        <f>+VLOOKUP($E$63,'G-7 Allocations'!$D$5:$N$106,J109,FALSE)*'G-6 Function Expense'!$D$71</f>
        <v>204617.60890846013</v>
      </c>
      <c r="K63" s="441">
        <f>+VLOOKUP($E$63,'G-7 Allocations'!$D$5:$N$106,K109,FALSE)*'G-6 Function Expense'!$D$71</f>
        <v>0</v>
      </c>
      <c r="L63" s="441">
        <f>+VLOOKUP($E$63,'G-7 Allocations'!$D$5:$N$106,L109,FALSE)*'G-6 Function Expense'!$D$71</f>
        <v>202516.10890124709</v>
      </c>
      <c r="M63" s="441">
        <f>+VLOOKUP($E$63,'G-7 Allocations'!$D$5:$N$106,M109,FALSE)*'G-6 Function Expense'!$D$71</f>
        <v>188024.17130353418</v>
      </c>
      <c r="N63" s="441">
        <f>+VLOOKUP($E$63,'G-7 Allocations'!$D$5:$N$106,N109,FALSE)*'G-6 Function Expense'!$D$71</f>
        <v>0</v>
      </c>
      <c r="O63" s="441">
        <f>+VLOOKUP($E$63,'G-7 Allocations'!$D$5:$N$106,O109,FALSE)*'G-6 Function Expense'!$D$71</f>
        <v>19336.785163347133</v>
      </c>
      <c r="Q63" s="434">
        <f>F63-'Rev&amp;Expense'!D85</f>
        <v>0</v>
      </c>
      <c r="S63" s="434">
        <f>SUM(G63,J63,M63)-'G-6 Function Expense'!E71</f>
        <v>5.6710594799369574E-4</v>
      </c>
      <c r="T63" s="434">
        <f>SUM(H63,K63,N63)-'G-6 Function Expense'!F71</f>
        <v>0</v>
      </c>
      <c r="U63" s="434">
        <f>SUM(I63,L63,O63)-'G-6 Function Expense'!G71</f>
        <v>-5.6710606440901756E-4</v>
      </c>
    </row>
    <row r="64" spans="1:21" ht="11.25" customHeight="1">
      <c r="A64" s="320">
        <f t="shared" si="10"/>
        <v>4</v>
      </c>
      <c r="B64" s="386"/>
      <c r="C64" s="377" t="s">
        <v>195</v>
      </c>
      <c r="D64" s="377"/>
      <c r="E64" s="305"/>
      <c r="F64" s="378">
        <f t="shared" ref="F64:O64" si="11">SUM(F61:F63)</f>
        <v>3372736.5033779996</v>
      </c>
      <c r="G64" s="435">
        <f t="shared" si="11"/>
        <v>523918.55139200168</v>
      </c>
      <c r="H64" s="435">
        <f t="shared" si="11"/>
        <v>0</v>
      </c>
      <c r="I64" s="435">
        <f t="shared" si="11"/>
        <v>2172280.5635242877</v>
      </c>
      <c r="J64" s="435">
        <f t="shared" si="11"/>
        <v>225276.91216718371</v>
      </c>
      <c r="K64" s="435">
        <f t="shared" si="11"/>
        <v>0</v>
      </c>
      <c r="L64" s="435">
        <f t="shared" si="11"/>
        <v>222963.23332463572</v>
      </c>
      <c r="M64" s="435">
        <f t="shared" si="11"/>
        <v>207008.11112988458</v>
      </c>
      <c r="N64" s="378">
        <f t="shared" si="11"/>
        <v>0</v>
      </c>
      <c r="O64" s="378">
        <f t="shared" si="11"/>
        <v>21289.131840006292</v>
      </c>
      <c r="Q64" s="434">
        <f>F64-'Rev&amp;Expense'!D86</f>
        <v>0</v>
      </c>
      <c r="S64" s="434">
        <f>SUM(G64,J64,M64)-'G-6 Function Expense'!E72</f>
        <v>6.2436412554234266E-4</v>
      </c>
      <c r="T64" s="434">
        <f>SUM(H64,K64,N64)-'G-6 Function Expense'!F72</f>
        <v>0</v>
      </c>
      <c r="U64" s="434">
        <f>SUM(I64,L64,O64)-'G-6 Function Expense'!G72</f>
        <v>-6.2436424195766449E-4</v>
      </c>
    </row>
    <row r="65" spans="1:21" ht="11.25" customHeight="1">
      <c r="A65" s="320">
        <f t="shared" si="10"/>
        <v>5</v>
      </c>
      <c r="B65" s="386"/>
      <c r="C65" s="377"/>
      <c r="D65" s="305"/>
      <c r="E65" s="305"/>
      <c r="S65" s="434"/>
      <c r="T65" s="434"/>
      <c r="U65" s="434"/>
    </row>
    <row r="66" spans="1:21" ht="11.25" customHeight="1">
      <c r="A66" s="320">
        <f t="shared" si="10"/>
        <v>6</v>
      </c>
      <c r="B66" s="374" t="s">
        <v>136</v>
      </c>
      <c r="C66" s="377" t="s">
        <v>196</v>
      </c>
      <c r="D66" s="305" t="s">
        <v>79</v>
      </c>
      <c r="E66" s="305">
        <f>_xlfn.IFNA(VLOOKUP(D66,'G-7 Allocations'!$C$63:$D$106,2,),VLOOKUP(D66,'G-7 Allocations'!$C$10:$D$15,2,))</f>
        <v>41</v>
      </c>
      <c r="F66" s="378">
        <f>SUM(G66:O66)</f>
        <v>232461.63999999996</v>
      </c>
      <c r="G66" s="435">
        <f>+VLOOKUP($E$66,'G-7 Allocations'!$D$5:$N$106,G109,FALSE)*'G-6 Function Expense'!$D$80</f>
        <v>127369.28489761567</v>
      </c>
      <c r="H66" s="435">
        <f>+VLOOKUP($E$66,'G-7 Allocations'!$D$5:$N$106,H109,FALSE)*'G-6 Function Expense'!$D$80</f>
        <v>0</v>
      </c>
      <c r="I66" s="435">
        <f>+VLOOKUP($E$66,'G-7 Allocations'!$D$5:$N$106,I109,FALSE)*'G-6 Function Expense'!$D$80</f>
        <v>0</v>
      </c>
      <c r="J66" s="435">
        <f>+VLOOKUP($E$66,'G-7 Allocations'!$D$5:$N$106,J109,FALSE)*'G-6 Function Expense'!$D$80</f>
        <v>54766.832185005667</v>
      </c>
      <c r="K66" s="435">
        <f>+VLOOKUP($E$66,'G-7 Allocations'!$D$5:$N$106,K109,FALSE)*'G-6 Function Expense'!$D$80</f>
        <v>0</v>
      </c>
      <c r="L66" s="435">
        <f>+VLOOKUP($E$66,'G-7 Allocations'!$D$5:$N$106,L109,FALSE)*'G-6 Function Expense'!$D$80</f>
        <v>0</v>
      </c>
      <c r="M66" s="435">
        <f>+VLOOKUP($E$66,'G-7 Allocations'!$D$5:$N$106,M109,FALSE)*'G-6 Function Expense'!$D$80</f>
        <v>50325.52291737865</v>
      </c>
      <c r="N66" s="435">
        <f>+VLOOKUP($E$66,'G-7 Allocations'!$D$5:$N$106,N109,FALSE)*'G-6 Function Expense'!$D$80</f>
        <v>0</v>
      </c>
      <c r="O66" s="435">
        <f>+VLOOKUP($E$66,'G-7 Allocations'!$D$5:$N$106,O109,FALSE)*'G-6 Function Expense'!$D$80</f>
        <v>0</v>
      </c>
      <c r="Q66" s="434">
        <f>F66-'Rev&amp;Expense'!D94</f>
        <v>0</v>
      </c>
      <c r="S66" s="434">
        <f>SUM(G66,J66,M66)-'G-6 Function Expense'!E80</f>
        <v>0</v>
      </c>
      <c r="T66" s="434">
        <f>SUM(H66,K66,N66)-'G-6 Function Expense'!F80</f>
        <v>0</v>
      </c>
      <c r="U66" s="434">
        <f>SUM(I66,L66,O66)-'G-6 Function Expense'!G80</f>
        <v>0</v>
      </c>
    </row>
    <row r="67" spans="1:21" ht="11.25" customHeight="1">
      <c r="A67" s="320">
        <f t="shared" si="10"/>
        <v>7</v>
      </c>
      <c r="B67" s="385"/>
      <c r="C67" s="377"/>
      <c r="D67" s="305"/>
      <c r="E67" s="305"/>
      <c r="S67" s="434"/>
      <c r="T67" s="434"/>
      <c r="U67" s="434"/>
    </row>
    <row r="68" spans="1:21" ht="11.25" customHeight="1">
      <c r="A68" s="320">
        <f t="shared" si="10"/>
        <v>8</v>
      </c>
      <c r="B68" s="386"/>
      <c r="C68" s="377" t="s">
        <v>197</v>
      </c>
      <c r="D68" s="305"/>
      <c r="E68" s="305"/>
      <c r="S68" s="434"/>
      <c r="T68" s="434"/>
      <c r="U68" s="434"/>
    </row>
    <row r="69" spans="1:21" ht="11.25" customHeight="1">
      <c r="A69" s="320">
        <f t="shared" si="10"/>
        <v>9</v>
      </c>
      <c r="B69" s="385">
        <v>374</v>
      </c>
      <c r="C69" s="379" t="s">
        <v>81</v>
      </c>
      <c r="D69" s="305" t="s">
        <v>99</v>
      </c>
      <c r="E69" s="305">
        <f>_xlfn.IFNA(VLOOKUP(D69,'G-7 Allocations'!$C$63:$D$106,2,),VLOOKUP(D69,'G-7 Allocations'!$C$10:$D$15,2,))</f>
        <v>42</v>
      </c>
      <c r="F69" s="375">
        <f t="shared" ref="F69:F80" si="12">SUM(G69:O69)</f>
        <v>6380.1344679999993</v>
      </c>
      <c r="G69" s="404">
        <f>+VLOOKUP($E$69,'G-7 Allocations'!$D$5:$N$106,G109,FALSE)*'G-6 Function Expense'!$D$83</f>
        <v>3495.7731724674641</v>
      </c>
      <c r="H69" s="404">
        <f>+VLOOKUP($E$69,'G-7 Allocations'!$D$5:$N$106,H109,FALSE)*'G-6 Function Expense'!$D$83</f>
        <v>0</v>
      </c>
      <c r="I69" s="404">
        <f>+VLOOKUP($E$69,'G-7 Allocations'!$D$5:$N$106,I109,FALSE)*'G-6 Function Expense'!$D$83</f>
        <v>0</v>
      </c>
      <c r="J69" s="404">
        <f>+VLOOKUP($E$69,'G-7 Allocations'!$D$5:$N$106,J109,FALSE)*'G-6 Function Expense'!$D$83</f>
        <v>1503.1286612566546</v>
      </c>
      <c r="K69" s="404">
        <f>+VLOOKUP($E$69,'G-7 Allocations'!$D$5:$N$106,K109,FALSE)*'G-6 Function Expense'!$D$83</f>
        <v>0</v>
      </c>
      <c r="L69" s="404">
        <f>+VLOOKUP($E$69,'G-7 Allocations'!$D$5:$N$106,L109,FALSE)*'G-6 Function Expense'!$D$83</f>
        <v>0</v>
      </c>
      <c r="M69" s="404">
        <f>+VLOOKUP($E$69,'G-7 Allocations'!$D$5:$N$106,M109,FALSE)*'G-6 Function Expense'!$D$83</f>
        <v>1381.2326342758806</v>
      </c>
      <c r="N69" s="404">
        <f>+VLOOKUP($E$69,'G-7 Allocations'!$D$5:$N$106,N109,FALSE)*'G-6 Function Expense'!$D$83</f>
        <v>0</v>
      </c>
      <c r="O69" s="404">
        <f>+VLOOKUP($E$69,'G-7 Allocations'!$D$5:$N$106,O109,FALSE)*'G-6 Function Expense'!$D$83</f>
        <v>0</v>
      </c>
      <c r="Q69" s="434">
        <f>F69-'Rev&amp;Expense'!D97</f>
        <v>0</v>
      </c>
      <c r="S69" s="434">
        <f>SUM(G69,J69,M69)-'G-6 Function Expense'!E83</f>
        <v>0</v>
      </c>
      <c r="T69" s="434">
        <f>SUM(H69,K69,N69)-'G-6 Function Expense'!F83</f>
        <v>0</v>
      </c>
      <c r="U69" s="434">
        <f>SUM(I69,L69,O69)-'G-6 Function Expense'!G83</f>
        <v>0</v>
      </c>
    </row>
    <row r="70" spans="1:21" ht="11.25" customHeight="1">
      <c r="A70" s="320">
        <f t="shared" si="10"/>
        <v>10</v>
      </c>
      <c r="B70" s="374">
        <v>375</v>
      </c>
      <c r="C70" s="379" t="s">
        <v>82</v>
      </c>
      <c r="D70" s="305" t="s">
        <v>99</v>
      </c>
      <c r="E70" s="305">
        <f>_xlfn.IFNA(VLOOKUP(D70,'G-7 Allocations'!$C$63:$D$106,2,),VLOOKUP(D70,'G-7 Allocations'!$C$10:$D$15,2,))</f>
        <v>42</v>
      </c>
      <c r="F70" s="369">
        <f t="shared" si="12"/>
        <v>4313.3799999999992</v>
      </c>
      <c r="G70" s="429">
        <f>+VLOOKUP($E$70,'G-7 Allocations'!$D$5:$N$106,G109,FALSE)*'G-6 Function Expense'!$D$84</f>
        <v>2363.3668165279973</v>
      </c>
      <c r="H70" s="429">
        <f>+VLOOKUP($E$70,'G-7 Allocations'!$D$5:$N$106,H109,FALSE)*'G-6 Function Expense'!$D$84</f>
        <v>0</v>
      </c>
      <c r="I70" s="429">
        <f>+VLOOKUP($E$70,'G-7 Allocations'!$D$5:$N$106,I109,FALSE)*'G-6 Function Expense'!$D$84</f>
        <v>0</v>
      </c>
      <c r="J70" s="429">
        <f>+VLOOKUP($E$70,'G-7 Allocations'!$D$5:$N$106,J109,FALSE)*'G-6 Function Expense'!$D$84</f>
        <v>1016.211356893807</v>
      </c>
      <c r="K70" s="429">
        <f>+VLOOKUP($E$70,'G-7 Allocations'!$D$5:$N$106,K109,FALSE)*'G-6 Function Expense'!$D$84</f>
        <v>0</v>
      </c>
      <c r="L70" s="429">
        <f>+VLOOKUP($E$70,'G-7 Allocations'!$D$5:$N$106,L109,FALSE)*'G-6 Function Expense'!$D$84</f>
        <v>0</v>
      </c>
      <c r="M70" s="429">
        <f>+VLOOKUP($E$70,'G-7 Allocations'!$D$5:$N$106,M109,FALSE)*'G-6 Function Expense'!$D$84</f>
        <v>933.80182657819444</v>
      </c>
      <c r="N70" s="429">
        <f>+VLOOKUP($E$70,'G-7 Allocations'!$D$5:$N$106,N109,FALSE)*'G-6 Function Expense'!$D$84</f>
        <v>0</v>
      </c>
      <c r="O70" s="429">
        <f>+VLOOKUP($E$70,'G-7 Allocations'!$D$5:$N$106,O109,FALSE)*'G-6 Function Expense'!$D$84</f>
        <v>0</v>
      </c>
      <c r="Q70" s="434">
        <f>F70-'Rev&amp;Expense'!D98</f>
        <v>0</v>
      </c>
      <c r="S70" s="434">
        <f>SUM(G70,J70,M70)-'G-6 Function Expense'!E84</f>
        <v>0</v>
      </c>
      <c r="T70" s="434">
        <f>SUM(H70,K70,N70)-'G-6 Function Expense'!F84</f>
        <v>0</v>
      </c>
      <c r="U70" s="434">
        <f>SUM(I70,L70,O70)-'G-6 Function Expense'!G84</f>
        <v>0</v>
      </c>
    </row>
    <row r="71" spans="1:21" ht="11.25" customHeight="1">
      <c r="A71" s="320">
        <f t="shared" si="10"/>
        <v>11</v>
      </c>
      <c r="B71" s="386">
        <v>376</v>
      </c>
      <c r="C71" s="379" t="s">
        <v>83</v>
      </c>
      <c r="D71" s="304" t="s">
        <v>155</v>
      </c>
      <c r="E71" s="305">
        <f>_xlfn.IFNA(VLOOKUP(D71,'G-7 Allocations'!$C$63:$D$106,2,),VLOOKUP(D71,'G-7 Allocations'!$C$10:$D$15,2,))</f>
        <v>43</v>
      </c>
      <c r="F71" s="369">
        <f t="shared" si="12"/>
        <v>5091481.1477239998</v>
      </c>
      <c r="G71" s="429">
        <f>+VLOOKUP($E$71,'G-7 Allocations'!$D$5:$N$106,G109,FALSE)*'G-6 Function Expense'!$D$85</f>
        <v>1352621.0692495443</v>
      </c>
      <c r="H71" s="429">
        <f>+VLOOKUP($E$71,'G-7 Allocations'!$D$5:$N$106,H109,FALSE)*'G-6 Function Expense'!$D$85</f>
        <v>0</v>
      </c>
      <c r="I71" s="429">
        <f>+VLOOKUP($E$71,'G-7 Allocations'!$D$5:$N$106,I109,FALSE)*'G-6 Function Expense'!$D$85</f>
        <v>2417310.2170272381</v>
      </c>
      <c r="J71" s="429">
        <f>+VLOOKUP($E$71,'G-7 Allocations'!$D$5:$N$106,J109,FALSE)*'G-6 Function Expense'!$D$85</f>
        <v>581606.24179557955</v>
      </c>
      <c r="K71" s="429">
        <f>+VLOOKUP($E$71,'G-7 Allocations'!$D$5:$N$106,K109,FALSE)*'G-6 Function Expense'!$D$85</f>
        <v>0</v>
      </c>
      <c r="L71" s="429">
        <f>+VLOOKUP($E$71,'G-7 Allocations'!$D$5:$N$106,L109,FALSE)*'G-6 Function Expense'!$D$85</f>
        <v>204304.80767750615</v>
      </c>
      <c r="M71" s="429">
        <f>+VLOOKUP($E$71,'G-7 Allocations'!$D$5:$N$106,M109,FALSE)*'G-6 Function Expense'!$D$85</f>
        <v>534440.95783191011</v>
      </c>
      <c r="N71" s="429">
        <f>+VLOOKUP($E$71,'G-7 Allocations'!$D$5:$N$106,N109,FALSE)*'G-6 Function Expense'!$D$85</f>
        <v>0</v>
      </c>
      <c r="O71" s="429">
        <f>+VLOOKUP($E$71,'G-7 Allocations'!$D$5:$N$106,O109,FALSE)*'G-6 Function Expense'!$D$85</f>
        <v>1197.8541422215828</v>
      </c>
      <c r="Q71" s="434">
        <f>F71-'Rev&amp;Expense'!D99</f>
        <v>0</v>
      </c>
      <c r="S71" s="434">
        <f>SUM(G71,J71,M71)-'G-6 Function Expense'!E85</f>
        <v>0</v>
      </c>
      <c r="T71" s="434">
        <f>SUM(H71,K71,N71)-'G-6 Function Expense'!F85</f>
        <v>0</v>
      </c>
      <c r="U71" s="434">
        <f>SUM(I71,L71,O71)-'G-6 Function Expense'!G85</f>
        <v>0</v>
      </c>
    </row>
    <row r="72" spans="1:21" ht="11.25" customHeight="1">
      <c r="A72" s="320">
        <f t="shared" si="10"/>
        <v>12</v>
      </c>
      <c r="B72" s="386">
        <v>378</v>
      </c>
      <c r="C72" s="379" t="s">
        <v>198</v>
      </c>
      <c r="D72" s="305" t="s">
        <v>143</v>
      </c>
      <c r="E72" s="305">
        <f>_xlfn.IFNA(VLOOKUP(D72,'G-7 Allocations'!$C$63:$D$106,2,),VLOOKUP(D72,'G-7 Allocations'!$C$10:$D$15,2,))</f>
        <v>44</v>
      </c>
      <c r="F72" s="369">
        <f t="shared" si="12"/>
        <v>128392.03099999999</v>
      </c>
      <c r="G72" s="429">
        <f>+VLOOKUP($E$72,'G-7 Allocations'!$D$5:$N$106,G109,FALSE)*'G-6 Function Expense'!$D$86</f>
        <v>70347.955796158465</v>
      </c>
      <c r="H72" s="429">
        <f>+VLOOKUP($E$72,'G-7 Allocations'!$D$5:$N$106,H109,FALSE)*'G-6 Function Expense'!$D$86</f>
        <v>0</v>
      </c>
      <c r="I72" s="429">
        <f>+VLOOKUP($E$72,'G-7 Allocations'!$D$5:$N$106,I109,FALSE)*'G-6 Function Expense'!$D$86</f>
        <v>0</v>
      </c>
      <c r="J72" s="429">
        <f>+VLOOKUP($E$72,'G-7 Allocations'!$D$5:$N$106,J109,FALSE)*'G-6 Function Expense'!$D$86</f>
        <v>30248.538277838205</v>
      </c>
      <c r="K72" s="429">
        <f>+VLOOKUP($E$72,'G-7 Allocations'!$D$5:$N$106,K109,FALSE)*'G-6 Function Expense'!$D$86</f>
        <v>0</v>
      </c>
      <c r="L72" s="429">
        <f>+VLOOKUP($E$72,'G-7 Allocations'!$D$5:$N$106,L109,FALSE)*'G-6 Function Expense'!$D$86</f>
        <v>0</v>
      </c>
      <c r="M72" s="429">
        <f>+VLOOKUP($E$72,'G-7 Allocations'!$D$5:$N$106,M109,FALSE)*'G-6 Function Expense'!$D$86</f>
        <v>27795.536926003319</v>
      </c>
      <c r="N72" s="429">
        <f>+VLOOKUP($E$72,'G-7 Allocations'!$D$5:$N$106,N109,FALSE)*'G-6 Function Expense'!$D$86</f>
        <v>0</v>
      </c>
      <c r="O72" s="429">
        <f>+VLOOKUP($E$72,'G-7 Allocations'!$D$5:$N$106,O109,FALSE)*'G-6 Function Expense'!$D$86</f>
        <v>0</v>
      </c>
      <c r="Q72" s="434">
        <f>F72-'Rev&amp;Expense'!D100</f>
        <v>0</v>
      </c>
      <c r="S72" s="434">
        <f>SUM(G72,J72,M72)-'G-6 Function Expense'!E86</f>
        <v>0</v>
      </c>
      <c r="T72" s="434">
        <f>SUM(H72,K72,N72)-'G-6 Function Expense'!F86</f>
        <v>0</v>
      </c>
      <c r="U72" s="434">
        <f>SUM(I72,L72,O72)-'G-6 Function Expense'!G86</f>
        <v>0</v>
      </c>
    </row>
    <row r="73" spans="1:21" ht="11.25" customHeight="1">
      <c r="A73" s="320">
        <f t="shared" si="10"/>
        <v>13</v>
      </c>
      <c r="B73" s="386">
        <v>379</v>
      </c>
      <c r="C73" s="379" t="s">
        <v>199</v>
      </c>
      <c r="D73" s="305" t="s">
        <v>143</v>
      </c>
      <c r="E73" s="305">
        <f>_xlfn.IFNA(VLOOKUP(D73,'G-7 Allocations'!$C$63:$D$106,2,),VLOOKUP(D73,'G-7 Allocations'!$C$10:$D$15,2,))</f>
        <v>44</v>
      </c>
      <c r="F73" s="369">
        <f t="shared" si="12"/>
        <v>94042.937700000009</v>
      </c>
      <c r="G73" s="429">
        <f>+VLOOKUP($E$73,'G-7 Allocations'!$D$5:$N$106,G109,FALSE)*'G-6 Function Expense'!$D$87</f>
        <v>51527.562674512759</v>
      </c>
      <c r="H73" s="429">
        <f>+VLOOKUP($E$73,'G-7 Allocations'!$D$5:$N$106,H109,FALSE)*'G-6 Function Expense'!$D$87</f>
        <v>0</v>
      </c>
      <c r="I73" s="429">
        <f>+VLOOKUP($E$73,'G-7 Allocations'!$D$5:$N$106,I109,FALSE)*'G-6 Function Expense'!$D$87</f>
        <v>0</v>
      </c>
      <c r="J73" s="429">
        <f>+VLOOKUP($E$73,'G-7 Allocations'!$D$5:$N$106,J109,FALSE)*'G-6 Function Expense'!$D$87</f>
        <v>22156.058897290939</v>
      </c>
      <c r="K73" s="429">
        <f>+VLOOKUP($E$73,'G-7 Allocations'!$D$5:$N$106,K109,FALSE)*'G-6 Function Expense'!$D$87</f>
        <v>0</v>
      </c>
      <c r="L73" s="429">
        <f>+VLOOKUP($E$73,'G-7 Allocations'!$D$5:$N$106,L109,FALSE)*'G-6 Function Expense'!$D$87</f>
        <v>0</v>
      </c>
      <c r="M73" s="429">
        <f>+VLOOKUP($E$73,'G-7 Allocations'!$D$5:$N$106,M109,FALSE)*'G-6 Function Expense'!$D$87</f>
        <v>20359.316128196304</v>
      </c>
      <c r="N73" s="429">
        <f>+VLOOKUP($E$73,'G-7 Allocations'!$D$5:$N$106,N109,FALSE)*'G-6 Function Expense'!$D$87</f>
        <v>0</v>
      </c>
      <c r="O73" s="429">
        <f>+VLOOKUP($E$73,'G-7 Allocations'!$D$5:$N$106,O109,FALSE)*'G-6 Function Expense'!$D$87</f>
        <v>0</v>
      </c>
      <c r="Q73" s="434">
        <f>F73-'Rev&amp;Expense'!D101</f>
        <v>0</v>
      </c>
      <c r="S73" s="434">
        <f>SUM(G73,J73,M73)-'G-6 Function Expense'!E87</f>
        <v>0</v>
      </c>
      <c r="T73" s="434">
        <f>SUM(H73,K73,N73)-'G-6 Function Expense'!F87</f>
        <v>0</v>
      </c>
      <c r="U73" s="434">
        <f>SUM(I73,L73,O73)-'G-6 Function Expense'!G87</f>
        <v>0</v>
      </c>
    </row>
    <row r="74" spans="1:21" ht="11.25" customHeight="1">
      <c r="A74" s="320">
        <f t="shared" si="10"/>
        <v>14</v>
      </c>
      <c r="B74" s="386">
        <v>380</v>
      </c>
      <c r="C74" s="379" t="s">
        <v>86</v>
      </c>
      <c r="D74" s="304" t="s">
        <v>87</v>
      </c>
      <c r="E74" s="305">
        <f>_xlfn.IFNA(VLOOKUP(D74,'G-7 Allocations'!$C$63:$D$106,2,),VLOOKUP(D74,'G-7 Allocations'!$C$10:$D$15,2,))</f>
        <v>4</v>
      </c>
      <c r="F74" s="369">
        <f t="shared" si="12"/>
        <v>4118144.0926399999</v>
      </c>
      <c r="G74" s="429">
        <f>+VLOOKUP($E$74,'G-7 Allocations'!$D$5:$N$106,G109,FALSE)*'G-6 Function Expense'!$D$88</f>
        <v>0</v>
      </c>
      <c r="H74" s="429">
        <f>+VLOOKUP($E$74,'G-7 Allocations'!$D$5:$N$106,H109,FALSE)*'G-6 Function Expense'!$D$88</f>
        <v>0</v>
      </c>
      <c r="I74" s="429">
        <f>+VLOOKUP($E$74,'G-7 Allocations'!$D$5:$N$106,I109,FALSE)*'G-6 Function Expense'!$D$88</f>
        <v>3794561.0637756651</v>
      </c>
      <c r="J74" s="429">
        <f>+VLOOKUP($E$74,'G-7 Allocations'!$D$5:$N$106,J109,FALSE)*'G-6 Function Expense'!$D$88</f>
        <v>0</v>
      </c>
      <c r="K74" s="429">
        <f>+VLOOKUP($E$74,'G-7 Allocations'!$D$5:$N$106,K109,FALSE)*'G-6 Function Expense'!$D$88</f>
        <v>0</v>
      </c>
      <c r="L74" s="429">
        <f>+VLOOKUP($E$74,'G-7 Allocations'!$D$5:$N$106,L109,FALSE)*'G-6 Function Expense'!$D$88</f>
        <v>319915.85732291103</v>
      </c>
      <c r="M74" s="429">
        <f>+VLOOKUP($E$74,'G-7 Allocations'!$D$5:$N$106,M109,FALSE)*'G-6 Function Expense'!$D$88</f>
        <v>0</v>
      </c>
      <c r="N74" s="429">
        <f>+VLOOKUP($E$74,'G-7 Allocations'!$D$5:$N$106,N109,FALSE)*'G-6 Function Expense'!$D$88</f>
        <v>0</v>
      </c>
      <c r="O74" s="429">
        <f>+VLOOKUP($E$74,'G-7 Allocations'!$D$5:$N$106,O109,FALSE)*'G-6 Function Expense'!$D$88</f>
        <v>3667.1715414241785</v>
      </c>
      <c r="Q74" s="434">
        <f>F74-'Rev&amp;Expense'!D102</f>
        <v>0</v>
      </c>
      <c r="S74" s="434">
        <f>SUM(G74,J74,M74)-'G-6 Function Expense'!E88</f>
        <v>0</v>
      </c>
      <c r="T74" s="434">
        <f>SUM(H74,K74,N74)-'G-6 Function Expense'!F88</f>
        <v>0</v>
      </c>
      <c r="U74" s="434">
        <f>SUM(I74,L74,O74)-'G-6 Function Expense'!G88</f>
        <v>0</v>
      </c>
    </row>
    <row r="75" spans="1:21" ht="11.25" customHeight="1">
      <c r="A75" s="320">
        <f t="shared" si="10"/>
        <v>15</v>
      </c>
      <c r="B75" s="386">
        <v>381</v>
      </c>
      <c r="C75" s="379" t="s">
        <v>88</v>
      </c>
      <c r="D75" s="304" t="s">
        <v>89</v>
      </c>
      <c r="E75" s="305">
        <f>_xlfn.IFNA(VLOOKUP(D75,'G-7 Allocations'!$C$63:$D$106,2,),VLOOKUP(D75,'G-7 Allocations'!$C$10:$D$15,2,))</f>
        <v>5</v>
      </c>
      <c r="F75" s="369">
        <f t="shared" si="12"/>
        <v>1485299.35565</v>
      </c>
      <c r="G75" s="429">
        <f>+VLOOKUP($E$75,'G-7 Allocations'!$D$5:$N$106,G109,FALSE)*'G-6 Function Expense'!$D$89</f>
        <v>0</v>
      </c>
      <c r="H75" s="429">
        <f>+VLOOKUP($E$75,'G-7 Allocations'!$D$5:$N$106,H109,FALSE)*'G-6 Function Expense'!$D$89</f>
        <v>0</v>
      </c>
      <c r="I75" s="429">
        <f>+VLOOKUP($E$75,'G-7 Allocations'!$D$5:$N$106,I109,FALSE)*'G-6 Function Expense'!$D$89</f>
        <v>1173130.9779545814</v>
      </c>
      <c r="J75" s="429">
        <f>+VLOOKUP($E$75,'G-7 Allocations'!$D$5:$N$106,J109,FALSE)*'G-6 Function Expense'!$D$89</f>
        <v>0</v>
      </c>
      <c r="K75" s="429">
        <f>+VLOOKUP($E$75,'G-7 Allocations'!$D$5:$N$106,K109,FALSE)*'G-6 Function Expense'!$D$89</f>
        <v>0</v>
      </c>
      <c r="L75" s="429">
        <f>+VLOOKUP($E$75,'G-7 Allocations'!$D$5:$N$106,L109,FALSE)*'G-6 Function Expense'!$D$89</f>
        <v>301227.77062259644</v>
      </c>
      <c r="M75" s="429">
        <f>+VLOOKUP($E$75,'G-7 Allocations'!$D$5:$N$106,M109,FALSE)*'G-6 Function Expense'!$D$89</f>
        <v>0</v>
      </c>
      <c r="N75" s="429">
        <f>+VLOOKUP($E$75,'G-7 Allocations'!$D$5:$N$106,N109,FALSE)*'G-6 Function Expense'!$D$89</f>
        <v>0</v>
      </c>
      <c r="O75" s="429">
        <f>+VLOOKUP($E$75,'G-7 Allocations'!$D$5:$N$106,O109,FALSE)*'G-6 Function Expense'!$D$89</f>
        <v>10940.607072822255</v>
      </c>
      <c r="Q75" s="434">
        <f>F75-'Rev&amp;Expense'!D103</f>
        <v>0</v>
      </c>
      <c r="S75" s="434">
        <f>SUM(G75,J75,M75)-'G-6 Function Expense'!E89</f>
        <v>0</v>
      </c>
      <c r="T75" s="434">
        <f>SUM(H75,K75,N75)-'G-6 Function Expense'!F89</f>
        <v>0</v>
      </c>
      <c r="U75" s="434">
        <f>SUM(I75,L75,O75)-'G-6 Function Expense'!G89</f>
        <v>0</v>
      </c>
    </row>
    <row r="76" spans="1:21" ht="11.25" customHeight="1">
      <c r="A76" s="320">
        <f t="shared" si="10"/>
        <v>16</v>
      </c>
      <c r="B76" s="386">
        <v>382</v>
      </c>
      <c r="C76" s="379" t="s">
        <v>90</v>
      </c>
      <c r="D76" s="304" t="s">
        <v>91</v>
      </c>
      <c r="E76" s="305">
        <f>_xlfn.IFNA(VLOOKUP(D76,'G-7 Allocations'!$C$63:$D$106,2,),VLOOKUP(D76,'G-7 Allocations'!$C$10:$D$15,2,))</f>
        <v>6</v>
      </c>
      <c r="F76" s="369">
        <f t="shared" si="12"/>
        <v>548158.28495999996</v>
      </c>
      <c r="G76" s="429">
        <f>+VLOOKUP($E$76,'G-7 Allocations'!$D$5:$N$106,G109,FALSE)*'G-6 Function Expense'!$D$90</f>
        <v>0</v>
      </c>
      <c r="H76" s="429">
        <f>+VLOOKUP($E$76,'G-7 Allocations'!$D$5:$N$106,H109,FALSE)*'G-6 Function Expense'!$D$90</f>
        <v>0</v>
      </c>
      <c r="I76" s="429">
        <f>+VLOOKUP($E$76,'G-7 Allocations'!$D$5:$N$106,I109,FALSE)*'G-6 Function Expense'!$D$90</f>
        <v>505208.98134542466</v>
      </c>
      <c r="J76" s="429">
        <f>+VLOOKUP($E$76,'G-7 Allocations'!$D$5:$N$106,J109,FALSE)*'G-6 Function Expense'!$D$90</f>
        <v>0</v>
      </c>
      <c r="K76" s="429">
        <f>+VLOOKUP($E$76,'G-7 Allocations'!$D$5:$N$106,K109,FALSE)*'G-6 Function Expense'!$D$90</f>
        <v>0</v>
      </c>
      <c r="L76" s="429">
        <f>+VLOOKUP($E$76,'G-7 Allocations'!$D$5:$N$106,L109,FALSE)*'G-6 Function Expense'!$D$90</f>
        <v>42698.956486296418</v>
      </c>
      <c r="M76" s="429">
        <f>+VLOOKUP($E$76,'G-7 Allocations'!$D$5:$N$106,M109,FALSE)*'G-6 Function Expense'!$D$90</f>
        <v>0</v>
      </c>
      <c r="N76" s="429">
        <f>+VLOOKUP($E$76,'G-7 Allocations'!$D$5:$N$106,N109,FALSE)*'G-6 Function Expense'!$D$90</f>
        <v>0</v>
      </c>
      <c r="O76" s="429">
        <f>+VLOOKUP($E$76,'G-7 Allocations'!$D$5:$N$106,O109,FALSE)*'G-6 Function Expense'!$D$90</f>
        <v>250.34712827896192</v>
      </c>
      <c r="Q76" s="434">
        <f>F76-'Rev&amp;Expense'!D104</f>
        <v>0</v>
      </c>
      <c r="S76" s="434">
        <f>SUM(G76,J76,M76)-'G-6 Function Expense'!E90</f>
        <v>0</v>
      </c>
      <c r="T76" s="434">
        <f>SUM(H76,K76,N76)-'G-6 Function Expense'!F90</f>
        <v>0</v>
      </c>
      <c r="U76" s="434">
        <f>SUM(I76,L76,O76)-'G-6 Function Expense'!G90</f>
        <v>0</v>
      </c>
    </row>
    <row r="77" spans="1:21" ht="11.25" customHeight="1">
      <c r="A77" s="320">
        <f t="shared" si="10"/>
        <v>17</v>
      </c>
      <c r="B77" s="386">
        <v>383</v>
      </c>
      <c r="C77" s="379" t="s">
        <v>92</v>
      </c>
      <c r="D77" s="304" t="s">
        <v>93</v>
      </c>
      <c r="E77" s="305">
        <f>_xlfn.IFNA(VLOOKUP(D77,'G-7 Allocations'!$C$63:$D$106,2,),VLOOKUP(D77,'G-7 Allocations'!$C$10:$D$15,2,))</f>
        <v>7</v>
      </c>
      <c r="F77" s="369">
        <f t="shared" si="12"/>
        <v>117239.24000000002</v>
      </c>
      <c r="G77" s="429">
        <f>+VLOOKUP($E$77,'G-7 Allocations'!$D$5:$N$106,G109,FALSE)*'G-6 Function Expense'!$D$91</f>
        <v>0</v>
      </c>
      <c r="H77" s="429">
        <f>+VLOOKUP($E$77,'G-7 Allocations'!$D$5:$N$106,H109,FALSE)*'G-6 Function Expense'!$D$91</f>
        <v>0</v>
      </c>
      <c r="I77" s="429">
        <f>+VLOOKUP($E$77,'G-7 Allocations'!$D$5:$N$106,I109,FALSE)*'G-6 Function Expense'!$D$91</f>
        <v>100919.03414015604</v>
      </c>
      <c r="J77" s="429">
        <f>+VLOOKUP($E$77,'G-7 Allocations'!$D$5:$N$106,J109,FALSE)*'G-6 Function Expense'!$D$91</f>
        <v>0</v>
      </c>
      <c r="K77" s="429">
        <f>+VLOOKUP($E$77,'G-7 Allocations'!$D$5:$N$106,K109,FALSE)*'G-6 Function Expense'!$D$91</f>
        <v>0</v>
      </c>
      <c r="L77" s="429">
        <f>+VLOOKUP($E$77,'G-7 Allocations'!$D$5:$N$106,L109,FALSE)*'G-6 Function Expense'!$D$91</f>
        <v>15580.360836950917</v>
      </c>
      <c r="M77" s="429">
        <f>+VLOOKUP($E$77,'G-7 Allocations'!$D$5:$N$106,M109,FALSE)*'G-6 Function Expense'!$D$91</f>
        <v>0</v>
      </c>
      <c r="N77" s="429">
        <f>+VLOOKUP($E$77,'G-7 Allocations'!$D$5:$N$106,N109,FALSE)*'G-6 Function Expense'!$D$91</f>
        <v>0</v>
      </c>
      <c r="O77" s="429">
        <f>+VLOOKUP($E$77,'G-7 Allocations'!$D$5:$N$106,O109,FALSE)*'G-6 Function Expense'!$D$91</f>
        <v>739.8450228930526</v>
      </c>
      <c r="Q77" s="434">
        <f>F77-'Rev&amp;Expense'!D105</f>
        <v>0</v>
      </c>
      <c r="S77" s="434">
        <f>SUM(G77,J77,M77)-'G-6 Function Expense'!E91</f>
        <v>0</v>
      </c>
      <c r="T77" s="434">
        <f>SUM(H77,K77,N77)-'G-6 Function Expense'!F91</f>
        <v>0</v>
      </c>
      <c r="U77" s="434">
        <f>SUM(I77,L77,O77)-'G-6 Function Expense'!G91</f>
        <v>0</v>
      </c>
    </row>
    <row r="78" spans="1:21" ht="11.25" customHeight="1">
      <c r="A78" s="320">
        <f t="shared" si="10"/>
        <v>18</v>
      </c>
      <c r="B78" s="386">
        <v>384</v>
      </c>
      <c r="C78" s="379" t="s">
        <v>94</v>
      </c>
      <c r="D78" s="304" t="s">
        <v>95</v>
      </c>
      <c r="E78" s="305">
        <f>_xlfn.IFNA(VLOOKUP(D78,'G-7 Allocations'!$C$63:$D$106,2,),VLOOKUP(D78,'G-7 Allocations'!$C$10:$D$15,2,))</f>
        <v>8</v>
      </c>
      <c r="F78" s="369">
        <f t="shared" si="12"/>
        <v>114003.93000000001</v>
      </c>
      <c r="G78" s="429">
        <f>+VLOOKUP($E$78,'G-7 Allocations'!$D$5:$N$106,G109,FALSE)*'G-6 Function Expense'!$D$92</f>
        <v>0</v>
      </c>
      <c r="H78" s="429">
        <f>+VLOOKUP($E$78,'G-7 Allocations'!$D$5:$N$106,H109,FALSE)*'G-6 Function Expense'!$D$92</f>
        <v>0</v>
      </c>
      <c r="I78" s="429">
        <f>+VLOOKUP($E$78,'G-7 Allocations'!$D$5:$N$106,I109,FALSE)*'G-6 Function Expense'!$D$92</f>
        <v>105071.49289712544</v>
      </c>
      <c r="J78" s="429">
        <f>+VLOOKUP($E$78,'G-7 Allocations'!$D$5:$N$106,J109,FALSE)*'G-6 Function Expense'!$D$92</f>
        <v>0</v>
      </c>
      <c r="K78" s="429">
        <f>+VLOOKUP($E$78,'G-7 Allocations'!$D$5:$N$106,K109,FALSE)*'G-6 Function Expense'!$D$92</f>
        <v>0</v>
      </c>
      <c r="L78" s="429">
        <f>+VLOOKUP($E$78,'G-7 Allocations'!$D$5:$N$106,L109,FALSE)*'G-6 Function Expense'!$D$92</f>
        <v>8880.3708342965165</v>
      </c>
      <c r="M78" s="429">
        <f>+VLOOKUP($E$78,'G-7 Allocations'!$D$5:$N$106,M109,FALSE)*'G-6 Function Expense'!$D$92</f>
        <v>0</v>
      </c>
      <c r="N78" s="429">
        <f>+VLOOKUP($E$78,'G-7 Allocations'!$D$5:$N$106,N109,FALSE)*'G-6 Function Expense'!$D$92</f>
        <v>0</v>
      </c>
      <c r="O78" s="429">
        <f>+VLOOKUP($E$78,'G-7 Allocations'!$D$5:$N$106,O109,FALSE)*'G-6 Function Expense'!$D$92</f>
        <v>52.066268578059429</v>
      </c>
      <c r="Q78" s="434">
        <f>F78-'Rev&amp;Expense'!D106</f>
        <v>0</v>
      </c>
      <c r="S78" s="434">
        <f>SUM(G78,J78,M78)-'G-6 Function Expense'!E92</f>
        <v>0</v>
      </c>
      <c r="T78" s="434">
        <f>SUM(H78,K78,N78)-'G-6 Function Expense'!F92</f>
        <v>0</v>
      </c>
      <c r="U78" s="434">
        <f>SUM(I78,L78,O78)-'G-6 Function Expense'!G92</f>
        <v>0</v>
      </c>
    </row>
    <row r="79" spans="1:21" ht="11.25" customHeight="1">
      <c r="A79" s="320">
        <f t="shared" si="10"/>
        <v>19</v>
      </c>
      <c r="B79" s="386">
        <v>385</v>
      </c>
      <c r="C79" s="379" t="s">
        <v>200</v>
      </c>
      <c r="D79" s="304" t="s">
        <v>97</v>
      </c>
      <c r="E79" s="305">
        <f>_xlfn.IFNA(VLOOKUP(D79,'G-7 Allocations'!$C$63:$D$106,2,),VLOOKUP(D79,'G-7 Allocations'!$C$10:$D$15,2,))</f>
        <v>9</v>
      </c>
      <c r="F79" s="369">
        <f t="shared" si="12"/>
        <v>56889.460166000004</v>
      </c>
      <c r="G79" s="429">
        <f>+VLOOKUP($E$79,'G-7 Allocations'!$D$5:$N$106,G109,FALSE)*'G-6 Function Expense'!$D$93</f>
        <v>0</v>
      </c>
      <c r="H79" s="429">
        <f>+VLOOKUP($E$79,'G-7 Allocations'!$D$5:$N$106,H109,FALSE)*'G-6 Function Expense'!$D$93</f>
        <v>0</v>
      </c>
      <c r="I79" s="429">
        <f>+VLOOKUP($E$79,'G-7 Allocations'!$D$5:$N$106,I109,FALSE)*'G-6 Function Expense'!$D$93</f>
        <v>0</v>
      </c>
      <c r="J79" s="429">
        <f>+VLOOKUP($E$79,'G-7 Allocations'!$D$5:$N$106,J109,FALSE)*'G-6 Function Expense'!$D$93</f>
        <v>0</v>
      </c>
      <c r="K79" s="429">
        <f>+VLOOKUP($E$79,'G-7 Allocations'!$D$5:$N$106,K109,FALSE)*'G-6 Function Expense'!$D$93</f>
        <v>0</v>
      </c>
      <c r="L79" s="429">
        <f>+VLOOKUP($E$79,'G-7 Allocations'!$D$5:$N$106,L109,FALSE)*'G-6 Function Expense'!$D$93</f>
        <v>0</v>
      </c>
      <c r="M79" s="429">
        <f>+VLOOKUP($E$79,'G-7 Allocations'!$D$5:$N$106,M109,FALSE)*'G-6 Function Expense'!$D$93</f>
        <v>0</v>
      </c>
      <c r="N79" s="429">
        <f>+VLOOKUP($E$79,'G-7 Allocations'!$D$5:$N$106,N109,FALSE)*'G-6 Function Expense'!$D$93</f>
        <v>0</v>
      </c>
      <c r="O79" s="429">
        <f>+VLOOKUP($E$79,'G-7 Allocations'!$D$5:$N$106,O109,FALSE)*'G-6 Function Expense'!$D$93</f>
        <v>56889.460166000004</v>
      </c>
      <c r="Q79" s="434">
        <f>F79-'Rev&amp;Expense'!D107</f>
        <v>0</v>
      </c>
      <c r="S79" s="434">
        <f>SUM(G79,J79,M79)-'G-6 Function Expense'!E93</f>
        <v>0</v>
      </c>
      <c r="T79" s="434">
        <f>SUM(H79,K79,N79)-'G-6 Function Expense'!F93</f>
        <v>0</v>
      </c>
      <c r="U79" s="434">
        <f>SUM(I79,L79,O79)-'G-6 Function Expense'!G93</f>
        <v>0</v>
      </c>
    </row>
    <row r="80" spans="1:21" ht="11.25" customHeight="1">
      <c r="A80" s="320">
        <f t="shared" si="10"/>
        <v>20</v>
      </c>
      <c r="B80" s="386">
        <v>387</v>
      </c>
      <c r="C80" s="379" t="s">
        <v>98</v>
      </c>
      <c r="D80" s="305" t="s">
        <v>99</v>
      </c>
      <c r="E80" s="305">
        <f>_xlfn.IFNA(VLOOKUP(D80,'G-7 Allocations'!$C$63:$D$106,2,),VLOOKUP(D80,'G-7 Allocations'!$C$10:$D$15,2,))</f>
        <v>42</v>
      </c>
      <c r="F80" s="380">
        <f t="shared" si="12"/>
        <v>39512.969999999994</v>
      </c>
      <c r="G80" s="441">
        <f>+VLOOKUP($E$80,'G-7 Allocations'!$D$5:$N$106,G109,FALSE)*'G-6 Function Expense'!$D$94</f>
        <v>21649.760076892431</v>
      </c>
      <c r="H80" s="441">
        <f>+VLOOKUP($E$80,'G-7 Allocations'!$D$5:$N$106,H109,FALSE)*'G-6 Function Expense'!$D$94</f>
        <v>0</v>
      </c>
      <c r="I80" s="441">
        <f>+VLOOKUP($E$80,'G-7 Allocations'!$D$5:$N$106,I109,FALSE)*'G-6 Function Expense'!$D$94</f>
        <v>0</v>
      </c>
      <c r="J80" s="441">
        <f>+VLOOKUP($E$80,'G-7 Allocations'!$D$5:$N$106,J109,FALSE)*'G-6 Function Expense'!$D$94</f>
        <v>9309.0636249540494</v>
      </c>
      <c r="K80" s="441">
        <f>+VLOOKUP($E$80,'G-7 Allocations'!$D$5:$N$106,K109,FALSE)*'G-6 Function Expense'!$D$94</f>
        <v>0</v>
      </c>
      <c r="L80" s="441">
        <f>+VLOOKUP($E$80,'G-7 Allocations'!$D$5:$N$106,L109,FALSE)*'G-6 Function Expense'!$D$94</f>
        <v>0</v>
      </c>
      <c r="M80" s="441">
        <f>+VLOOKUP($E$80,'G-7 Allocations'!$D$5:$N$106,M109,FALSE)*'G-6 Function Expense'!$D$94</f>
        <v>8554.1462981535151</v>
      </c>
      <c r="N80" s="441">
        <f>+VLOOKUP($E$80,'G-7 Allocations'!$D$5:$N$106,N109,FALSE)*'G-6 Function Expense'!$D$94</f>
        <v>0</v>
      </c>
      <c r="O80" s="441">
        <f>+VLOOKUP($E$80,'G-7 Allocations'!$D$5:$N$106,O109,FALSE)*'G-6 Function Expense'!$D$94</f>
        <v>0</v>
      </c>
      <c r="Q80" s="434">
        <f>F80-'Rev&amp;Expense'!D108</f>
        <v>0</v>
      </c>
      <c r="S80" s="434">
        <f>SUM(G80,J80,M80)-'G-6 Function Expense'!E94</f>
        <v>0</v>
      </c>
      <c r="T80" s="434">
        <f>SUM(H80,K80,N80)-'G-6 Function Expense'!F94</f>
        <v>0</v>
      </c>
      <c r="U80" s="434">
        <f>SUM(I80,L80,O80)-'G-6 Function Expense'!G94</f>
        <v>0</v>
      </c>
    </row>
    <row r="81" spans="1:21" ht="11.25" customHeight="1">
      <c r="A81" s="320">
        <f t="shared" si="10"/>
        <v>21</v>
      </c>
      <c r="B81" s="386"/>
      <c r="C81" s="377" t="s">
        <v>201</v>
      </c>
      <c r="D81" s="305"/>
      <c r="E81" s="305"/>
      <c r="F81" s="378">
        <f t="shared" ref="F81:O81" si="13">SUM(F69:F80)</f>
        <v>11803856.964308001</v>
      </c>
      <c r="G81" s="435">
        <f t="shared" si="13"/>
        <v>1502005.4877861033</v>
      </c>
      <c r="H81" s="435">
        <f t="shared" si="13"/>
        <v>0</v>
      </c>
      <c r="I81" s="435">
        <f t="shared" si="13"/>
        <v>8096201.767140191</v>
      </c>
      <c r="J81" s="435">
        <f t="shared" si="13"/>
        <v>645839.24261381326</v>
      </c>
      <c r="K81" s="435">
        <f t="shared" si="13"/>
        <v>0</v>
      </c>
      <c r="L81" s="435">
        <f t="shared" si="13"/>
        <v>892608.12378055754</v>
      </c>
      <c r="M81" s="435">
        <f t="shared" si="13"/>
        <v>593464.99164511729</v>
      </c>
      <c r="N81" s="378">
        <f t="shared" si="13"/>
        <v>0</v>
      </c>
      <c r="O81" s="378">
        <f t="shared" si="13"/>
        <v>73737.351342218099</v>
      </c>
      <c r="Q81" s="434">
        <f>F81-'Rev&amp;Expense'!D109</f>
        <v>0</v>
      </c>
      <c r="S81" s="434">
        <f>SUM(G81,J81,M81)-'G-6 Function Expense'!E95</f>
        <v>0</v>
      </c>
      <c r="T81" s="434">
        <f>SUM(H81,K81,N81)-'G-6 Function Expense'!F95</f>
        <v>0</v>
      </c>
      <c r="U81" s="434">
        <f>SUM(I81,L81,O81)-'G-6 Function Expense'!G95</f>
        <v>0</v>
      </c>
    </row>
    <row r="82" spans="1:21" ht="11.25" customHeight="1">
      <c r="A82" s="320">
        <f t="shared" si="10"/>
        <v>22</v>
      </c>
      <c r="B82" s="386"/>
      <c r="C82" s="377"/>
      <c r="D82" s="305"/>
      <c r="E82" s="305"/>
      <c r="S82" s="434"/>
      <c r="T82" s="434"/>
      <c r="U82" s="434"/>
    </row>
    <row r="83" spans="1:21" ht="11.25" customHeight="1">
      <c r="A83" s="320">
        <f t="shared" si="10"/>
        <v>23</v>
      </c>
      <c r="B83" s="386"/>
      <c r="C83" s="377" t="s">
        <v>202</v>
      </c>
      <c r="D83" s="305" t="s">
        <v>127</v>
      </c>
      <c r="E83" s="305">
        <f>_xlfn.IFNA(VLOOKUP(D83,'G-7 Allocations'!$C$63:$D$106,2,),VLOOKUP(D83,'G-7 Allocations'!$C$10:$D$15,2,))</f>
        <v>17</v>
      </c>
      <c r="F83" s="378">
        <f>SUM(G82:O83)</f>
        <v>2036007.2546829998</v>
      </c>
      <c r="G83" s="444">
        <f>+'G-7 Allocations'!F81*'G-6 Function Expense'!$D$110</f>
        <v>316271.95614859235</v>
      </c>
      <c r="H83" s="444">
        <f>+'G-7 Allocations'!G81*'G-6 Function Expense'!$D$110</f>
        <v>0</v>
      </c>
      <c r="I83" s="444">
        <f>+'G-7 Allocations'!H81*'G-6 Function Expense'!$D$110</f>
        <v>1311332.4987328965</v>
      </c>
      <c r="J83" s="444">
        <f>+'G-7 Allocations'!I81*'G-6 Function Expense'!$D$110</f>
        <v>135992.07261687648</v>
      </c>
      <c r="K83" s="444">
        <f>+'G-7 Allocations'!J81*'G-6 Function Expense'!$D$110</f>
        <v>0</v>
      </c>
      <c r="L83" s="444">
        <f>+'G-7 Allocations'!K81*'G-6 Function Expense'!$D$110</f>
        <v>134595.38274688032</v>
      </c>
      <c r="M83" s="444">
        <f>+'G-7 Allocations'!L81*'G-6 Function Expense'!$D$110</f>
        <v>124963.81369150596</v>
      </c>
      <c r="N83" s="394">
        <f>+'G-7 Allocations'!M81*'G-6 Function Expense'!$D$110</f>
        <v>0</v>
      </c>
      <c r="O83" s="394">
        <f>+'G-7 Allocations'!N81*'G-6 Function Expense'!$D$110</f>
        <v>12851.530746248092</v>
      </c>
      <c r="Q83" s="434">
        <f>F83-'Rev&amp;Expense'!D122</f>
        <v>0</v>
      </c>
      <c r="S83" s="434">
        <f>SUM(G83,J83,M83)-'G-6 Function Expense'!E110</f>
        <v>3.7690752651542425E-4</v>
      </c>
      <c r="T83" s="434">
        <f>SUM(H83,K83,N83)-'G-6 Function Expense'!F110</f>
        <v>0</v>
      </c>
      <c r="U83" s="434">
        <f>SUM(I83,L83,O83)-'G-6 Function Expense'!G110</f>
        <v>-3.7690741010010242E-4</v>
      </c>
    </row>
    <row r="84" spans="1:21" ht="11.25" customHeight="1">
      <c r="A84" s="320">
        <f t="shared" si="10"/>
        <v>24</v>
      </c>
      <c r="B84" s="386"/>
      <c r="C84" s="377"/>
      <c r="D84" s="305"/>
      <c r="E84" s="305"/>
      <c r="S84" s="434"/>
      <c r="T84" s="434"/>
      <c r="U84" s="434"/>
    </row>
    <row r="85" spans="1:21" ht="11.25" customHeight="1">
      <c r="A85" s="320">
        <f t="shared" si="10"/>
        <v>25</v>
      </c>
      <c r="B85" s="374"/>
      <c r="C85" s="377" t="s">
        <v>203</v>
      </c>
      <c r="D85" s="305"/>
      <c r="E85" s="305"/>
      <c r="S85" s="434"/>
      <c r="T85" s="434"/>
      <c r="U85" s="434"/>
    </row>
    <row r="86" spans="1:21" ht="11.25" customHeight="1">
      <c r="A86" s="320">
        <f t="shared" si="10"/>
        <v>26</v>
      </c>
      <c r="B86" s="385" t="s">
        <v>204</v>
      </c>
      <c r="C86" s="379" t="s">
        <v>205</v>
      </c>
      <c r="D86" s="305"/>
      <c r="E86" s="305"/>
      <c r="F86" s="375">
        <f t="shared" ref="F86:O86" si="14">+F64</f>
        <v>3372736.5033779996</v>
      </c>
      <c r="G86" s="404">
        <f t="shared" si="14"/>
        <v>523918.55139200168</v>
      </c>
      <c r="H86" s="404">
        <f t="shared" si="14"/>
        <v>0</v>
      </c>
      <c r="I86" s="404">
        <f t="shared" si="14"/>
        <v>2172280.5635242877</v>
      </c>
      <c r="J86" s="404">
        <f t="shared" si="14"/>
        <v>225276.91216718371</v>
      </c>
      <c r="K86" s="404">
        <f t="shared" si="14"/>
        <v>0</v>
      </c>
      <c r="L86" s="404">
        <f t="shared" si="14"/>
        <v>222963.23332463572</v>
      </c>
      <c r="M86" s="404">
        <f t="shared" si="14"/>
        <v>207008.11112988458</v>
      </c>
      <c r="N86" s="375">
        <f t="shared" si="14"/>
        <v>0</v>
      </c>
      <c r="O86" s="375">
        <f t="shared" si="14"/>
        <v>21289.131840006292</v>
      </c>
      <c r="Q86" s="434">
        <f>F86-'Rev&amp;Expense'!D125</f>
        <v>0</v>
      </c>
      <c r="S86" s="434">
        <f>SUM(G86,J86,M86)-'G-6 Function Expense'!E113</f>
        <v>6.2436412554234266E-4</v>
      </c>
      <c r="T86" s="434">
        <f>SUM(H86,K86,N86)-'G-6 Function Expense'!F113</f>
        <v>0</v>
      </c>
      <c r="U86" s="434">
        <f>SUM(I86,L86,O86)-'G-6 Function Expense'!G113</f>
        <v>-6.2436424195766449E-4</v>
      </c>
    </row>
    <row r="87" spans="1:21" ht="11.25" customHeight="1">
      <c r="A87" s="320">
        <f t="shared" si="10"/>
        <v>27</v>
      </c>
      <c r="B87" s="385" t="s">
        <v>206</v>
      </c>
      <c r="C87" s="379" t="s">
        <v>207</v>
      </c>
      <c r="D87" s="305"/>
      <c r="E87" s="305"/>
      <c r="F87" s="393">
        <f t="shared" ref="F87:O87" si="15">+F66</f>
        <v>232461.63999999996</v>
      </c>
      <c r="G87" s="442">
        <f t="shared" si="15"/>
        <v>127369.28489761567</v>
      </c>
      <c r="H87" s="442">
        <f t="shared" si="15"/>
        <v>0</v>
      </c>
      <c r="I87" s="442">
        <f t="shared" si="15"/>
        <v>0</v>
      </c>
      <c r="J87" s="442">
        <f t="shared" si="15"/>
        <v>54766.832185005667</v>
      </c>
      <c r="K87" s="442">
        <f t="shared" si="15"/>
        <v>0</v>
      </c>
      <c r="L87" s="442">
        <f t="shared" si="15"/>
        <v>0</v>
      </c>
      <c r="M87" s="442">
        <f t="shared" si="15"/>
        <v>50325.52291737865</v>
      </c>
      <c r="N87" s="393">
        <f t="shared" si="15"/>
        <v>0</v>
      </c>
      <c r="O87" s="393">
        <f t="shared" si="15"/>
        <v>0</v>
      </c>
      <c r="Q87" s="434">
        <f>F87-'Rev&amp;Expense'!D126</f>
        <v>0</v>
      </c>
      <c r="S87" s="434">
        <f>SUM(G87,J87,M87)-'G-6 Function Expense'!E114</f>
        <v>0</v>
      </c>
      <c r="T87" s="434">
        <f>SUM(H87,K87,N87)-'G-6 Function Expense'!F114</f>
        <v>0</v>
      </c>
      <c r="U87" s="434">
        <f>SUM(I87,L87,O87)-'G-6 Function Expense'!G114</f>
        <v>0</v>
      </c>
    </row>
    <row r="88" spans="1:21" ht="11.25" customHeight="1">
      <c r="A88" s="320">
        <f t="shared" si="10"/>
        <v>28</v>
      </c>
      <c r="B88" s="385" t="s">
        <v>206</v>
      </c>
      <c r="C88" s="379" t="s">
        <v>80</v>
      </c>
      <c r="D88" s="305"/>
      <c r="E88" s="305"/>
      <c r="F88" s="393">
        <f t="shared" ref="F88:O88" si="16">+F81</f>
        <v>11803856.964308001</v>
      </c>
      <c r="G88" s="442">
        <f t="shared" si="16"/>
        <v>1502005.4877861033</v>
      </c>
      <c r="H88" s="442">
        <f t="shared" si="16"/>
        <v>0</v>
      </c>
      <c r="I88" s="442">
        <f t="shared" si="16"/>
        <v>8096201.767140191</v>
      </c>
      <c r="J88" s="442">
        <f t="shared" si="16"/>
        <v>645839.24261381326</v>
      </c>
      <c r="K88" s="442">
        <f t="shared" si="16"/>
        <v>0</v>
      </c>
      <c r="L88" s="442">
        <f t="shared" si="16"/>
        <v>892608.12378055754</v>
      </c>
      <c r="M88" s="442">
        <f t="shared" si="16"/>
        <v>593464.99164511729</v>
      </c>
      <c r="N88" s="393">
        <f t="shared" si="16"/>
        <v>0</v>
      </c>
      <c r="O88" s="393">
        <f t="shared" si="16"/>
        <v>73737.351342218099</v>
      </c>
      <c r="Q88" s="434">
        <f>F88-'Rev&amp;Expense'!D127</f>
        <v>0</v>
      </c>
      <c r="S88" s="434">
        <f>SUM(G88,J88,M88)-'G-6 Function Expense'!E115</f>
        <v>0</v>
      </c>
      <c r="T88" s="434">
        <f>SUM(H88,K88,N88)-'G-6 Function Expense'!F115</f>
        <v>0</v>
      </c>
      <c r="U88" s="434">
        <f>SUM(I88,L88,O88)-'G-6 Function Expense'!G115</f>
        <v>0</v>
      </c>
    </row>
    <row r="89" spans="1:21" ht="11.25" customHeight="1">
      <c r="A89" s="320">
        <f t="shared" si="10"/>
        <v>29</v>
      </c>
      <c r="B89" s="385" t="s">
        <v>206</v>
      </c>
      <c r="C89" s="379" t="s">
        <v>208</v>
      </c>
      <c r="D89" s="305"/>
      <c r="E89" s="305"/>
      <c r="F89" s="380">
        <f t="shared" ref="F89:O89" si="17">+F83</f>
        <v>2036007.2546829998</v>
      </c>
      <c r="G89" s="441">
        <f t="shared" si="17"/>
        <v>316271.95614859235</v>
      </c>
      <c r="H89" s="441">
        <f t="shared" si="17"/>
        <v>0</v>
      </c>
      <c r="I89" s="441">
        <f t="shared" si="17"/>
        <v>1311332.4987328965</v>
      </c>
      <c r="J89" s="441">
        <f t="shared" si="17"/>
        <v>135992.07261687648</v>
      </c>
      <c r="K89" s="441">
        <f t="shared" si="17"/>
        <v>0</v>
      </c>
      <c r="L89" s="441">
        <f t="shared" si="17"/>
        <v>134595.38274688032</v>
      </c>
      <c r="M89" s="441">
        <f t="shared" si="17"/>
        <v>124963.81369150596</v>
      </c>
      <c r="N89" s="380">
        <f t="shared" si="17"/>
        <v>0</v>
      </c>
      <c r="O89" s="380">
        <f t="shared" si="17"/>
        <v>12851.530746248092</v>
      </c>
      <c r="Q89" s="434">
        <f>F89-'Rev&amp;Expense'!D128</f>
        <v>0</v>
      </c>
      <c r="S89" s="434">
        <f>SUM(G89,J89,M89)-'G-6 Function Expense'!E116</f>
        <v>3.7690752651542425E-4</v>
      </c>
      <c r="T89" s="434">
        <f>SUM(H89,K89,N89)-'G-6 Function Expense'!F116</f>
        <v>0</v>
      </c>
      <c r="U89" s="434">
        <f>SUM(I89,L89,O89)-'G-6 Function Expense'!G116</f>
        <v>-3.7690741010010242E-4</v>
      </c>
    </row>
    <row r="90" spans="1:21" ht="11.25" customHeight="1">
      <c r="A90" s="320">
        <f t="shared" si="10"/>
        <v>30</v>
      </c>
      <c r="B90" s="386"/>
      <c r="C90" s="377" t="s">
        <v>209</v>
      </c>
      <c r="D90" s="305"/>
      <c r="E90" s="305"/>
      <c r="F90" s="378">
        <f t="shared" ref="F90:O90" si="18">SUM(F86:F89)</f>
        <v>17445062.362369001</v>
      </c>
      <c r="G90" s="435">
        <f t="shared" si="18"/>
        <v>2469565.280224313</v>
      </c>
      <c r="H90" s="435">
        <f t="shared" si="18"/>
        <v>0</v>
      </c>
      <c r="I90" s="435">
        <f t="shared" si="18"/>
        <v>11579814.829397375</v>
      </c>
      <c r="J90" s="435">
        <f t="shared" si="18"/>
        <v>1061875.0595828791</v>
      </c>
      <c r="K90" s="435">
        <f t="shared" si="18"/>
        <v>0</v>
      </c>
      <c r="L90" s="435">
        <f t="shared" si="18"/>
        <v>1250166.7398520736</v>
      </c>
      <c r="M90" s="435">
        <f t="shared" si="18"/>
        <v>975762.43938388652</v>
      </c>
      <c r="N90" s="378">
        <f t="shared" si="18"/>
        <v>0</v>
      </c>
      <c r="O90" s="378">
        <f t="shared" si="18"/>
        <v>107878.01392847247</v>
      </c>
      <c r="Q90" s="434">
        <f>F90-'Rev&amp;Expense'!D129</f>
        <v>0</v>
      </c>
      <c r="S90" s="434">
        <f>SUM(G90,J90,M90)-'G-6 Function Expense'!E117</f>
        <v>1.0012714192271233E-3</v>
      </c>
      <c r="T90" s="434">
        <f>SUM(H90,K90,N90)-'G-6 Function Expense'!F117</f>
        <v>0</v>
      </c>
      <c r="U90" s="434">
        <f>SUM(I90,L90,O90)-'G-6 Function Expense'!G117</f>
        <v>-1.0012742131948471E-3</v>
      </c>
    </row>
    <row r="91" spans="1:21" ht="11.25" customHeight="1">
      <c r="A91" s="320">
        <f t="shared" si="10"/>
        <v>31</v>
      </c>
      <c r="B91" s="374"/>
      <c r="C91" s="377"/>
      <c r="D91" s="328"/>
      <c r="E91" s="305"/>
      <c r="S91" s="434"/>
      <c r="T91" s="434"/>
      <c r="U91" s="434"/>
    </row>
    <row r="92" spans="1:21" ht="11.25" customHeight="1">
      <c r="A92" s="320">
        <f t="shared" si="10"/>
        <v>32</v>
      </c>
      <c r="B92" s="390">
        <v>431</v>
      </c>
      <c r="C92" s="377" t="s">
        <v>210</v>
      </c>
      <c r="D92" s="305" t="s">
        <v>211</v>
      </c>
      <c r="E92" s="305">
        <f>_xlfn.IFNA(VLOOKUP(D92,'G-7 Allocations'!$C$63:$D$106,2,),VLOOKUP(D92,'G-7 Allocations'!$C$10:$D$15,2,))</f>
        <v>16</v>
      </c>
      <c r="F92" s="394">
        <f>SUM(G92:O92)</f>
        <v>53976.839999999989</v>
      </c>
      <c r="G92" s="444">
        <f>+VLOOKUP($E$92,'G-7 Allocations'!$D$5:$N$106,G109,FALSE)*'G-6 Function Expense'!$D$121</f>
        <v>0</v>
      </c>
      <c r="H92" s="444">
        <f>+VLOOKUP($E$92,'G-7 Allocations'!$D$5:$N$106,H109,FALSE)*'G-6 Function Expense'!$D$121</f>
        <v>0</v>
      </c>
      <c r="I92" s="444">
        <f>+VLOOKUP($E$92,'G-7 Allocations'!$D$5:$N$106,I109,FALSE)*'G-6 Function Expense'!$D$121</f>
        <v>-1343.4163755143716</v>
      </c>
      <c r="J92" s="444">
        <f>+VLOOKUP($E$92,'G-7 Allocations'!$D$5:$N$106,J109,FALSE)*'G-6 Function Expense'!$D$121</f>
        <v>0</v>
      </c>
      <c r="K92" s="444">
        <f>+VLOOKUP($E$92,'G-7 Allocations'!$D$5:$N$106,K109,FALSE)*'G-6 Function Expense'!$D$121</f>
        <v>0</v>
      </c>
      <c r="L92" s="444">
        <f>+VLOOKUP($E$92,'G-7 Allocations'!$D$5:$N$106,L109,FALSE)*'G-6 Function Expense'!$D$121</f>
        <v>55320.256375514364</v>
      </c>
      <c r="M92" s="444">
        <f>+VLOOKUP($E$92,'G-7 Allocations'!$D$5:$N$106,M109,FALSE)*'G-6 Function Expense'!$D$121</f>
        <v>0</v>
      </c>
      <c r="N92" s="444">
        <f>+VLOOKUP($E$92,'G-7 Allocations'!$D$5:$N$106,N109,FALSE)*'G-6 Function Expense'!$D$121</f>
        <v>0</v>
      </c>
      <c r="O92" s="444">
        <f>+VLOOKUP($E$92,'G-7 Allocations'!$D$5:$N$106,O109,FALSE)*'G-6 Function Expense'!$D$121</f>
        <v>0</v>
      </c>
      <c r="P92" s="443"/>
      <c r="Q92" s="434">
        <f>F92-'Rev&amp;Expense'!D138</f>
        <v>0</v>
      </c>
      <c r="S92" s="434">
        <f>SUM(G92,J92,M92)-'G-6 Function Expense'!E120</f>
        <v>0</v>
      </c>
      <c r="T92" s="434">
        <f>SUM(H92,K92,N92)-'G-6 Function Expense'!F120</f>
        <v>0</v>
      </c>
      <c r="U92" s="434">
        <f>SUM(I92,L92,O92)-'G-6 Function Expense'!G120</f>
        <v>0</v>
      </c>
    </row>
    <row r="93" spans="1:21" ht="11.25" customHeight="1">
      <c r="A93" s="320">
        <f t="shared" si="10"/>
        <v>33</v>
      </c>
      <c r="B93" s="386"/>
      <c r="C93" s="387"/>
      <c r="D93" s="305"/>
      <c r="E93" s="305"/>
      <c r="S93" s="434"/>
      <c r="T93" s="434"/>
      <c r="U93" s="434"/>
    </row>
    <row r="94" spans="1:21" ht="11.25" customHeight="1">
      <c r="A94" s="320">
        <f t="shared" si="10"/>
        <v>34</v>
      </c>
      <c r="B94" s="386"/>
      <c r="C94" s="377" t="s">
        <v>212</v>
      </c>
      <c r="E94" s="305"/>
      <c r="S94" s="434"/>
      <c r="T94" s="434"/>
      <c r="U94" s="434"/>
    </row>
    <row r="95" spans="1:21" ht="11.25" customHeight="1">
      <c r="A95" s="320">
        <f t="shared" si="10"/>
        <v>35</v>
      </c>
      <c r="B95" s="385">
        <v>408</v>
      </c>
      <c r="C95" s="379" t="s">
        <v>213</v>
      </c>
      <c r="D95" s="305" t="s">
        <v>127</v>
      </c>
      <c r="E95" s="305">
        <f>_xlfn.IFNA(VLOOKUP(D95,'G-7 Allocations'!$C$63:$D$106,2,),VLOOKUP(D95,'G-7 Allocations'!$C$10:$D$15,2,))</f>
        <v>17</v>
      </c>
      <c r="F95" s="375">
        <f>SUM(G95:O95)</f>
        <v>4971210.869877005</v>
      </c>
      <c r="G95" s="404">
        <f>+VLOOKUP($E$95,'G-7 Allocations'!$D$5:$N$106,G109,FALSE)*'G-6 Function Expense'!$D$124</f>
        <v>772224.45186618017</v>
      </c>
      <c r="H95" s="404">
        <f>+VLOOKUP($E$95,'G-7 Allocations'!$D$5:$N$106,H109,FALSE)*'G-6 Function Expense'!$D$124</f>
        <v>0</v>
      </c>
      <c r="I95" s="404">
        <f>+VLOOKUP($E$95,'G-7 Allocations'!$D$5:$N$106,I109,FALSE)*'G-6 Function Expense'!$D$124</f>
        <v>3201810.9742634115</v>
      </c>
      <c r="J95" s="404">
        <f>+VLOOKUP($E$95,'G-7 Allocations'!$D$5:$N$106,J109,FALSE)*'G-6 Function Expense'!$D$124</f>
        <v>332044.62707839301</v>
      </c>
      <c r="K95" s="404">
        <f>+VLOOKUP($E$95,'G-7 Allocations'!$D$5:$N$106,K109,FALSE)*'G-6 Function Expense'!$D$124</f>
        <v>0</v>
      </c>
      <c r="L95" s="404">
        <f>+VLOOKUP($E$95,'G-7 Allocations'!$D$5:$N$106,L109,FALSE)*'G-6 Function Expense'!$D$124</f>
        <v>328634.40354033734</v>
      </c>
      <c r="M95" s="404">
        <f>+VLOOKUP($E$95,'G-7 Allocations'!$D$5:$N$106,M109,FALSE)*'G-6 Function Expense'!$D$124</f>
        <v>305117.51249197865</v>
      </c>
      <c r="N95" s="404">
        <f>+VLOOKUP($E$95,'G-7 Allocations'!$D$5:$N$106,N109,FALSE)*'G-6 Function Expense'!$D$124</f>
        <v>0</v>
      </c>
      <c r="O95" s="404">
        <f>+VLOOKUP($E$95,'G-7 Allocations'!$D$5:$N$106,O109,FALSE)*'G-6 Function Expense'!$D$124</f>
        <v>31378.900636704348</v>
      </c>
      <c r="Q95" s="434">
        <f>F95-'Rev&amp;Expense'!D132</f>
        <v>0</v>
      </c>
      <c r="S95" s="434">
        <f>SUM(G95,J95,M95)-'G-6 Function Expense'!E124</f>
        <v>9.2027522623538971E-4</v>
      </c>
      <c r="T95" s="434">
        <f>SUM(H95,K95,N95)-'G-6 Function Expense'!F124</f>
        <v>0</v>
      </c>
      <c r="U95" s="434">
        <f>SUM(I95,L95,O95)-'G-6 Function Expense'!G124</f>
        <v>-9.2027522623538971E-4</v>
      </c>
    </row>
    <row r="96" spans="1:21" ht="11.25" customHeight="1">
      <c r="A96" s="320">
        <f t="shared" si="10"/>
        <v>36</v>
      </c>
      <c r="B96" s="385">
        <v>408</v>
      </c>
      <c r="C96" s="381" t="s">
        <v>214</v>
      </c>
      <c r="D96" s="305" t="s">
        <v>127</v>
      </c>
      <c r="E96" s="305">
        <f>_xlfn.IFNA(VLOOKUP(D96,'G-7 Allocations'!$C$63:$D$106,2,),VLOOKUP(D96,'G-7 Allocations'!$C$10:$D$15,2,))</f>
        <v>17</v>
      </c>
      <c r="F96" s="380">
        <f>SUM(G96:O96)</f>
        <v>881569.91580000008</v>
      </c>
      <c r="G96" s="441">
        <f>+VLOOKUP($E$96,'G-7 Allocations'!$D$5:$N$106,G109,FALSE)*'G-6 Function Expense'!$D$125</f>
        <v>136942.45986133613</v>
      </c>
      <c r="H96" s="441">
        <f>+VLOOKUP($E$96,'G-7 Allocations'!$D$5:$N$106,H109,FALSE)*'G-6 Function Expense'!$D$125</f>
        <v>0</v>
      </c>
      <c r="I96" s="441">
        <f>+VLOOKUP($E$96,'G-7 Allocations'!$D$5:$N$106,I109,FALSE)*'G-6 Function Expense'!$D$125</f>
        <v>567793.3012442796</v>
      </c>
      <c r="J96" s="441">
        <f>+VLOOKUP($E$96,'G-7 Allocations'!$D$5:$N$106,J109,FALSE)*'G-6 Function Expense'!$D$125</f>
        <v>58883.149718930283</v>
      </c>
      <c r="K96" s="441">
        <f>+VLOOKUP($E$96,'G-7 Allocations'!$D$5:$N$106,K109,FALSE)*'G-6 Function Expense'!$D$125</f>
        <v>0</v>
      </c>
      <c r="L96" s="441">
        <f>+VLOOKUP($E$96,'G-7 Allocations'!$D$5:$N$106,L109,FALSE)*'G-6 Function Expense'!$D$125</f>
        <v>58278.397565783882</v>
      </c>
      <c r="M96" s="441">
        <f>+VLOOKUP($E$96,'G-7 Allocations'!$D$5:$N$106,M109,FALSE)*'G-6 Function Expense'!$D$125</f>
        <v>54108.028574397227</v>
      </c>
      <c r="N96" s="441">
        <f>+VLOOKUP($E$96,'G-7 Allocations'!$D$5:$N$106,N109,FALSE)*'G-6 Function Expense'!$D$125</f>
        <v>0</v>
      </c>
      <c r="O96" s="441">
        <f>+VLOOKUP($E$96,'G-7 Allocations'!$D$5:$N$106,O109,FALSE)*'G-6 Function Expense'!$D$125</f>
        <v>5564.5788352728714</v>
      </c>
      <c r="Q96" s="434">
        <f>F96-'Rev&amp;Expense'!D133</f>
        <v>0</v>
      </c>
      <c r="S96" s="434">
        <f>SUM(G96,J96,M96)-'G-6 Function Expense'!E125</f>
        <v>1.6319702262990177E-4</v>
      </c>
      <c r="T96" s="434">
        <f>SUM(H96,K96,N96)-'G-6 Function Expense'!F125</f>
        <v>0</v>
      </c>
      <c r="U96" s="434">
        <f>SUM(I96,L96,O96)-'G-6 Function Expense'!G125</f>
        <v>-1.6319705173373222E-4</v>
      </c>
    </row>
    <row r="97" spans="1:21" ht="11.25" customHeight="1">
      <c r="A97" s="320">
        <f t="shared" si="10"/>
        <v>37</v>
      </c>
      <c r="B97" s="386"/>
      <c r="C97" s="377" t="s">
        <v>215</v>
      </c>
      <c r="D97" s="305"/>
      <c r="E97" s="305"/>
      <c r="F97" s="378">
        <f t="shared" ref="F97:O97" si="19">SUM(F95:F96)</f>
        <v>5852780.7856770046</v>
      </c>
      <c r="G97" s="435">
        <f t="shared" si="19"/>
        <v>909166.91172751633</v>
      </c>
      <c r="H97" s="435">
        <f t="shared" si="19"/>
        <v>0</v>
      </c>
      <c r="I97" s="435">
        <f t="shared" si="19"/>
        <v>3769604.2755076913</v>
      </c>
      <c r="J97" s="435">
        <f t="shared" si="19"/>
        <v>390927.77679732331</v>
      </c>
      <c r="K97" s="435">
        <f t="shared" si="19"/>
        <v>0</v>
      </c>
      <c r="L97" s="435">
        <f t="shared" si="19"/>
        <v>386912.80110612122</v>
      </c>
      <c r="M97" s="435">
        <f t="shared" si="19"/>
        <v>359225.54106637585</v>
      </c>
      <c r="N97" s="378">
        <f t="shared" si="19"/>
        <v>0</v>
      </c>
      <c r="O97" s="378">
        <f t="shared" si="19"/>
        <v>36943.479471977218</v>
      </c>
      <c r="Q97" s="434">
        <f>F97-'Rev&amp;Expense'!D134</f>
        <v>0</v>
      </c>
      <c r="S97" s="434">
        <f>SUM(G97,J97,M97)-'G-6 Function Expense'!E126</f>
        <v>1.0834722779691219E-3</v>
      </c>
      <c r="T97" s="434">
        <f>SUM(H97,K97,N97)-'G-6 Function Expense'!F126</f>
        <v>0</v>
      </c>
      <c r="U97" s="434">
        <f>SUM(I97,L97,O97)-'G-6 Function Expense'!G126</f>
        <v>-1.0834718123078346E-3</v>
      </c>
    </row>
    <row r="98" spans="1:21" ht="11.25" customHeight="1">
      <c r="A98" s="320">
        <f t="shared" si="10"/>
        <v>38</v>
      </c>
      <c r="B98" s="386"/>
      <c r="C98" s="387"/>
      <c r="D98" s="305"/>
      <c r="E98" s="305"/>
      <c r="G98" s="442"/>
      <c r="H98" s="442"/>
      <c r="I98" s="442"/>
      <c r="J98" s="442"/>
      <c r="K98" s="442"/>
      <c r="L98" s="442"/>
      <c r="M98" s="442"/>
      <c r="N98" s="393"/>
      <c r="O98" s="393"/>
      <c r="S98" s="434"/>
      <c r="T98" s="434"/>
      <c r="U98" s="434"/>
    </row>
    <row r="99" spans="1:21" ht="11.25" customHeight="1">
      <c r="A99" s="320">
        <f t="shared" si="10"/>
        <v>39</v>
      </c>
      <c r="B99" s="385"/>
      <c r="C99" s="387" t="s">
        <v>216</v>
      </c>
      <c r="D99" s="305"/>
      <c r="E99" s="305"/>
      <c r="G99" s="442"/>
      <c r="H99" s="442"/>
      <c r="I99" s="442"/>
      <c r="J99" s="442"/>
      <c r="K99" s="442"/>
      <c r="L99" s="442"/>
      <c r="M99" s="442"/>
      <c r="N99" s="393"/>
      <c r="O99" s="393"/>
      <c r="S99" s="434"/>
      <c r="T99" s="434"/>
      <c r="U99" s="434"/>
    </row>
    <row r="100" spans="1:21" ht="11.25" customHeight="1">
      <c r="A100" s="320">
        <f t="shared" si="10"/>
        <v>40</v>
      </c>
      <c r="B100" s="385">
        <v>409</v>
      </c>
      <c r="C100" s="381" t="s">
        <v>217</v>
      </c>
      <c r="D100" s="305" t="s">
        <v>127</v>
      </c>
      <c r="E100" s="305">
        <f>_xlfn.IFNA(VLOOKUP(D100,'G-7 Allocations'!$C$63:$D$106,2,),VLOOKUP(D100,'G-7 Allocations'!$C$10:$D$15,2,))</f>
        <v>17</v>
      </c>
      <c r="F100" s="375">
        <f>SUM(G100:O100)</f>
        <v>1368864.2109483427</v>
      </c>
      <c r="G100" s="404">
        <f>+VLOOKUP($E$100,'G-7 Allocations'!$D$5:$N$106,G109,FALSE)*'G-6 Function Expense'!$D$131</f>
        <v>212638.41801282685</v>
      </c>
      <c r="H100" s="404">
        <f>+VLOOKUP($E$100,'G-7 Allocations'!$D$5:$N$106,H109,FALSE)*'G-6 Function Expense'!$D$131</f>
        <v>0</v>
      </c>
      <c r="I100" s="404">
        <f>+VLOOKUP($E$100,'G-7 Allocations'!$D$5:$N$106,I109,FALSE)*'G-6 Function Expense'!$D$131</f>
        <v>881645.250546225</v>
      </c>
      <c r="J100" s="404">
        <f>+VLOOKUP($E$100,'G-7 Allocations'!$D$5:$N$106,J109,FALSE)*'G-6 Function Expense'!$D$131</f>
        <v>91431.246499617249</v>
      </c>
      <c r="K100" s="404">
        <f>+VLOOKUP($E$100,'G-7 Allocations'!$D$5:$N$106,K109,FALSE)*'G-6 Function Expense'!$D$131</f>
        <v>0</v>
      </c>
      <c r="L100" s="404">
        <f>+VLOOKUP($E$100,'G-7 Allocations'!$D$5:$N$106,L109,FALSE)*'G-6 Function Expense'!$D$131</f>
        <v>90492.213118260494</v>
      </c>
      <c r="M100" s="404">
        <f>+VLOOKUP($E$100,'G-7 Allocations'!$D$5:$N$106,M109,FALSE)*'G-6 Function Expense'!$D$131</f>
        <v>84016.641803445978</v>
      </c>
      <c r="N100" s="404">
        <f>+VLOOKUP($E$100,'G-7 Allocations'!$D$5:$N$106,N109,FALSE)*'G-6 Function Expense'!$D$131</f>
        <v>0</v>
      </c>
      <c r="O100" s="404">
        <f>+VLOOKUP($E$100,'G-7 Allocations'!$D$5:$N$106,O109,FALSE)*'G-6 Function Expense'!$D$131</f>
        <v>8640.4409679671207</v>
      </c>
      <c r="Q100" s="434">
        <f>F100-'Rev&amp;Expense'!D141</f>
        <v>0</v>
      </c>
      <c r="S100" s="434">
        <f>SUM(G100,J100,M100)-'G-6 Function Expense'!E131</f>
        <v>2.5340542197227478E-4</v>
      </c>
      <c r="T100" s="434">
        <f>SUM(H100,K100,N100)-'G-6 Function Expense'!F131</f>
        <v>0</v>
      </c>
      <c r="U100" s="434">
        <f>SUM(I100,L100,O100)-'G-6 Function Expense'!G131</f>
        <v>-2.5340542197227478E-4</v>
      </c>
    </row>
    <row r="101" spans="1:21" ht="11.25" customHeight="1">
      <c r="A101" s="320">
        <f t="shared" si="10"/>
        <v>41</v>
      </c>
      <c r="B101" s="390">
        <v>410.1</v>
      </c>
      <c r="C101" s="379" t="s">
        <v>218</v>
      </c>
      <c r="D101" s="305" t="s">
        <v>127</v>
      </c>
      <c r="E101" s="305">
        <f>_xlfn.IFNA(VLOOKUP(D101,'G-7 Allocations'!$C$63:$D$106,2,),VLOOKUP(D101,'G-7 Allocations'!$C$10:$D$15,2,))</f>
        <v>17</v>
      </c>
      <c r="F101" s="369">
        <f>SUM(G101:O101)</f>
        <v>2527569.4974074755</v>
      </c>
      <c r="G101" s="442">
        <f>+VLOOKUP($E$101,'G-7 Allocations'!$D$5:$N$106,G109,FALSE)*'G-6 Function Expense'!$D$132</f>
        <v>392630.89431920554</v>
      </c>
      <c r="H101" s="442">
        <f>+VLOOKUP($E$101,'G-7 Allocations'!$D$5:$N$106,H109,FALSE)*'G-6 Function Expense'!$D$132</f>
        <v>0</v>
      </c>
      <c r="I101" s="442">
        <f>+VLOOKUP($E$101,'G-7 Allocations'!$D$5:$N$106,I109,FALSE)*'G-6 Function Expense'!$D$132</f>
        <v>1627933.3077683221</v>
      </c>
      <c r="J101" s="442">
        <f>+VLOOKUP($E$101,'G-7 Allocations'!$D$5:$N$106,J109,FALSE)*'G-6 Function Expense'!$D$132</f>
        <v>168825.24060021437</v>
      </c>
      <c r="K101" s="442">
        <f>+VLOOKUP($E$101,'G-7 Allocations'!$D$5:$N$106,K109,FALSE)*'G-6 Function Expense'!$D$132</f>
        <v>0</v>
      </c>
      <c r="L101" s="442">
        <f>+VLOOKUP($E$101,'G-7 Allocations'!$D$5:$N$106,L109,FALSE)*'G-6 Function Expense'!$D$132</f>
        <v>167091.34171325291</v>
      </c>
      <c r="M101" s="442">
        <f>+VLOOKUP($E$101,'G-7 Allocations'!$D$5:$N$106,M109,FALSE)*'G-6 Function Expense'!$D$132</f>
        <v>155134.38031218547</v>
      </c>
      <c r="N101" s="442">
        <f>+VLOOKUP($E$101,'G-7 Allocations'!$D$5:$N$106,N109,FALSE)*'G-6 Function Expense'!$D$132</f>
        <v>0</v>
      </c>
      <c r="O101" s="442">
        <f>+VLOOKUP($E$101,'G-7 Allocations'!$D$5:$N$106,O109,FALSE)*'G-6 Function Expense'!$D$132</f>
        <v>15954.332694295106</v>
      </c>
      <c r="Q101" s="434">
        <f>F101-'Rev&amp;Expense'!D142</f>
        <v>0</v>
      </c>
      <c r="S101" s="434">
        <f>SUM(G101,J101,M101)-'G-6 Function Expense'!E132</f>
        <v>4.6790589112788439E-4</v>
      </c>
      <c r="T101" s="434">
        <f>SUM(H101,K101,N101)-'G-6 Function Expense'!F132</f>
        <v>0</v>
      </c>
      <c r="U101" s="434">
        <f>SUM(I101,L101,O101)-'G-6 Function Expense'!G132</f>
        <v>-4.6790600754320621E-4</v>
      </c>
    </row>
    <row r="102" spans="1:21" ht="11.25" customHeight="1">
      <c r="A102" s="320">
        <f t="shared" si="10"/>
        <v>42</v>
      </c>
      <c r="B102" s="385">
        <v>411</v>
      </c>
      <c r="C102" s="379" t="s">
        <v>219</v>
      </c>
      <c r="D102" s="305" t="s">
        <v>127</v>
      </c>
      <c r="E102" s="305">
        <f>_xlfn.IFNA(VLOOKUP(D102,'G-7 Allocations'!$C$63:$D$106,2,),VLOOKUP(D102,'G-7 Allocations'!$C$10:$D$15,2,))</f>
        <v>17</v>
      </c>
      <c r="F102" s="380">
        <f>SUM(G102:O102)</f>
        <v>-2143670.7200000002</v>
      </c>
      <c r="G102" s="441">
        <f>+VLOOKUP($E$102,'G-7 Allocations'!$D$5:$N$106,G109,FALSE)*'G-6 Function Expense'!$D$133</f>
        <v>-332996.32424857019</v>
      </c>
      <c r="H102" s="441">
        <f>+VLOOKUP($E$102,'G-7 Allocations'!$D$5:$N$106,H109,FALSE)*'G-6 Function Expense'!$D$133</f>
        <v>0</v>
      </c>
      <c r="I102" s="441">
        <f>+VLOOKUP($E$102,'G-7 Allocations'!$D$5:$N$106,I109,FALSE)*'G-6 Function Expense'!$D$133</f>
        <v>-1380675.3759115764</v>
      </c>
      <c r="J102" s="441">
        <f>+VLOOKUP($E$102,'G-7 Allocations'!$D$5:$N$106,J109,FALSE)*'G-6 Function Expense'!$D$133</f>
        <v>-143183.29345358894</v>
      </c>
      <c r="K102" s="441">
        <f>+VLOOKUP($E$102,'G-7 Allocations'!$D$5:$N$106,K109,FALSE)*'G-6 Function Expense'!$D$133</f>
        <v>0</v>
      </c>
      <c r="L102" s="441">
        <f>+VLOOKUP($E$102,'G-7 Allocations'!$D$5:$N$106,L109,FALSE)*'G-6 Function Expense'!$D$133</f>
        <v>-141712.74703370518</v>
      </c>
      <c r="M102" s="441">
        <f>+VLOOKUP($E$102,'G-7 Allocations'!$D$5:$N$106,M109,FALSE)*'G-6 Function Expense'!$D$133</f>
        <v>-131571.86343706067</v>
      </c>
      <c r="N102" s="441">
        <f>+VLOOKUP($E$102,'G-7 Allocations'!$D$5:$N$106,N109,FALSE)*'G-6 Function Expense'!$D$133</f>
        <v>0</v>
      </c>
      <c r="O102" s="441">
        <f>+VLOOKUP($E$102,'G-7 Allocations'!$D$5:$N$106,O109,FALSE)*'G-6 Function Expense'!$D$133</f>
        <v>-13531.115915498618</v>
      </c>
      <c r="Q102" s="434">
        <f>F102-'Rev&amp;Expense'!D143</f>
        <v>0</v>
      </c>
      <c r="S102" s="434">
        <f>SUM(G102,J102,M102)-'G-6 Function Expense'!E133</f>
        <v>-3.968382952734828E-4</v>
      </c>
      <c r="T102" s="434">
        <f>SUM(H102,K102,N102)-'G-6 Function Expense'!F133</f>
        <v>0</v>
      </c>
      <c r="U102" s="434">
        <f>SUM(I102,L102,O102)-'G-6 Function Expense'!G133</f>
        <v>3.9683817885816097E-4</v>
      </c>
    </row>
    <row r="103" spans="1:21" ht="11.25" customHeight="1">
      <c r="A103" s="320">
        <f t="shared" si="10"/>
        <v>43</v>
      </c>
      <c r="B103" s="386"/>
      <c r="C103" s="377" t="s">
        <v>220</v>
      </c>
      <c r="D103" s="305"/>
      <c r="E103" s="305"/>
      <c r="F103" s="378">
        <f t="shared" ref="F103:O103" si="20">SUM(F100:F102)</f>
        <v>1752762.9883558177</v>
      </c>
      <c r="G103" s="435">
        <f t="shared" si="20"/>
        <v>272272.98808346217</v>
      </c>
      <c r="H103" s="435">
        <f t="shared" si="20"/>
        <v>0</v>
      </c>
      <c r="I103" s="435">
        <f t="shared" si="20"/>
        <v>1128903.1824029705</v>
      </c>
      <c r="J103" s="435">
        <f t="shared" si="20"/>
        <v>117073.1936462427</v>
      </c>
      <c r="K103" s="435">
        <f t="shared" si="20"/>
        <v>0</v>
      </c>
      <c r="L103" s="435">
        <f t="shared" si="20"/>
        <v>115870.80779780823</v>
      </c>
      <c r="M103" s="435">
        <f t="shared" si="20"/>
        <v>107579.15867857076</v>
      </c>
      <c r="N103" s="378">
        <f t="shared" si="20"/>
        <v>0</v>
      </c>
      <c r="O103" s="378">
        <f t="shared" si="20"/>
        <v>11063.657746763607</v>
      </c>
      <c r="Q103" s="434">
        <f>F103-'Rev&amp;Expense'!D144</f>
        <v>0</v>
      </c>
      <c r="S103" s="434">
        <f>SUM(G103,J103,M103)-'G-6 Function Expense'!E134</f>
        <v>3.2447290141135454E-4</v>
      </c>
      <c r="T103" s="434">
        <f>SUM(H103,K103,N103)-'G-6 Function Expense'!F134</f>
        <v>0</v>
      </c>
      <c r="U103" s="434">
        <f>SUM(I103,L103,O103)-'G-6 Function Expense'!G134</f>
        <v>-3.2447301782667637E-4</v>
      </c>
    </row>
    <row r="104" spans="1:21" ht="11.25" customHeight="1">
      <c r="A104" s="320">
        <f t="shared" si="10"/>
        <v>44</v>
      </c>
      <c r="B104" s="386"/>
      <c r="C104" s="377"/>
      <c r="D104" s="305"/>
      <c r="E104" s="305"/>
      <c r="Q104" s="434"/>
      <c r="S104" s="434"/>
      <c r="T104" s="434"/>
      <c r="U104" s="434"/>
    </row>
    <row r="105" spans="1:21" s="307" customFormat="1" ht="17.25" customHeight="1" thickBot="1">
      <c r="A105" s="320">
        <f t="shared" si="10"/>
        <v>45</v>
      </c>
      <c r="B105" s="440"/>
      <c r="C105" s="387" t="s">
        <v>221</v>
      </c>
      <c r="D105" s="320"/>
      <c r="E105" s="320"/>
      <c r="F105" s="438">
        <f t="shared" ref="F105:O105" si="21">+F97+F92+F90+F57</f>
        <v>52314640.538121127</v>
      </c>
      <c r="G105" s="439">
        <f t="shared" si="21"/>
        <v>6224193.0818431675</v>
      </c>
      <c r="H105" s="439">
        <f t="shared" si="21"/>
        <v>132112.30163736548</v>
      </c>
      <c r="I105" s="439">
        <f t="shared" si="21"/>
        <v>36847807.506012589</v>
      </c>
      <c r="J105" s="439">
        <f t="shared" si="21"/>
        <v>2676307.224984908</v>
      </c>
      <c r="K105" s="439">
        <f t="shared" si="21"/>
        <v>57073.347790640371</v>
      </c>
      <c r="L105" s="439">
        <f t="shared" si="21"/>
        <v>3630886.1881185947</v>
      </c>
      <c r="M105" s="439">
        <f t="shared" si="21"/>
        <v>2459272.4367839876</v>
      </c>
      <c r="N105" s="438">
        <f t="shared" si="21"/>
        <v>67105.185740407818</v>
      </c>
      <c r="O105" s="438">
        <f t="shared" si="21"/>
        <v>219883.26520947332</v>
      </c>
      <c r="Q105" s="434">
        <f>F105-'Rev&amp;Expense'!D148</f>
        <v>0</v>
      </c>
      <c r="S105" s="434">
        <f>SUM(G105,J105,M105)-'G-6 Function Expense'!E128</f>
        <v>6.2084708362817764E-2</v>
      </c>
      <c r="T105" s="434">
        <f>SUM(H105,K105,N105)-'G-6 Function Expense'!F128</f>
        <v>-5.9999965131282806E-2</v>
      </c>
      <c r="U105" s="434">
        <f>SUM(I105,L105,O105)-'G-6 Function Expense'!G128</f>
        <v>-2.0847395062446594E-3</v>
      </c>
    </row>
    <row r="106" spans="1:21" ht="11.25" customHeight="1" thickTop="1">
      <c r="A106" s="320">
        <f t="shared" si="10"/>
        <v>46</v>
      </c>
      <c r="B106" s="385"/>
      <c r="D106" s="305"/>
      <c r="E106" s="305"/>
      <c r="F106" s="375"/>
      <c r="G106" s="404"/>
      <c r="H106" s="404"/>
      <c r="I106" s="404"/>
      <c r="J106" s="404"/>
      <c r="K106" s="404"/>
      <c r="L106" s="404"/>
      <c r="M106" s="404"/>
      <c r="N106" s="375"/>
      <c r="O106" s="375"/>
      <c r="Q106" s="434"/>
      <c r="S106" s="434"/>
      <c r="T106" s="434"/>
      <c r="U106" s="434"/>
    </row>
    <row r="107" spans="1:21" s="307" customFormat="1" ht="17.25" customHeight="1" thickBot="1">
      <c r="A107" s="320">
        <f t="shared" si="10"/>
        <v>47</v>
      </c>
      <c r="C107" s="387" t="s">
        <v>222</v>
      </c>
      <c r="D107" s="327"/>
      <c r="E107" s="327"/>
      <c r="F107" s="436">
        <f t="shared" ref="F107:O107" si="22">+F103+F105</f>
        <v>54067403.526476942</v>
      </c>
      <c r="G107" s="437">
        <f t="shared" si="22"/>
        <v>6496466.0699266298</v>
      </c>
      <c r="H107" s="437">
        <f t="shared" si="22"/>
        <v>132112.30163736548</v>
      </c>
      <c r="I107" s="437">
        <f t="shared" si="22"/>
        <v>37976710.688415557</v>
      </c>
      <c r="J107" s="437">
        <f t="shared" si="22"/>
        <v>2793380.4186311509</v>
      </c>
      <c r="K107" s="437">
        <f t="shared" si="22"/>
        <v>57073.347790640371</v>
      </c>
      <c r="L107" s="437">
        <f t="shared" si="22"/>
        <v>3746756.9959164029</v>
      </c>
      <c r="M107" s="437">
        <f t="shared" si="22"/>
        <v>2566851.5954625583</v>
      </c>
      <c r="N107" s="436">
        <f t="shared" si="22"/>
        <v>67105.185740407818</v>
      </c>
      <c r="O107" s="436">
        <f t="shared" si="22"/>
        <v>230946.92295623693</v>
      </c>
      <c r="Q107" s="434">
        <f>F107-'Rev&amp;Expense'!D150</f>
        <v>0</v>
      </c>
      <c r="S107" s="434">
        <f>SUM(G107,J107,M107)-'G-6 Function Expense'!E136</f>
        <v>6.2409181147813797E-2</v>
      </c>
      <c r="T107" s="434">
        <f>SUM(H107,K107,N107)-'G-6 Function Expense'!F136</f>
        <v>-5.9999965131282806E-2</v>
      </c>
      <c r="U107" s="434">
        <f>SUM(I107,L107,O107)-'G-6 Function Expense'!G136</f>
        <v>-2.4092122912406921E-3</v>
      </c>
    </row>
    <row r="108" spans="1:21" s="307" customFormat="1" ht="17.25" customHeight="1" thickTop="1">
      <c r="A108" s="320"/>
      <c r="C108" s="387" t="s">
        <v>223</v>
      </c>
      <c r="D108" s="327"/>
      <c r="E108" s="327"/>
      <c r="F108" s="378">
        <f>'Schedule G-2 Proposed Rates'!$D$39</f>
        <v>4184258</v>
      </c>
      <c r="G108" s="435"/>
      <c r="H108" s="435"/>
      <c r="I108" s="435"/>
      <c r="J108" s="435"/>
      <c r="K108" s="435"/>
      <c r="L108" s="435"/>
      <c r="M108" s="435"/>
      <c r="N108" s="378"/>
      <c r="O108" s="378"/>
      <c r="Q108" s="434"/>
      <c r="S108" s="434"/>
      <c r="T108" s="434"/>
      <c r="U108" s="434"/>
    </row>
    <row r="109" spans="1:21" s="430" customFormat="1" ht="11.25" customHeight="1">
      <c r="C109" s="430" t="s">
        <v>224</v>
      </c>
      <c r="F109" s="433"/>
      <c r="G109" s="432">
        <v>3</v>
      </c>
      <c r="H109" s="432">
        <v>4</v>
      </c>
      <c r="I109" s="432">
        <v>5</v>
      </c>
      <c r="J109" s="432">
        <v>6</v>
      </c>
      <c r="K109" s="432">
        <v>7</v>
      </c>
      <c r="L109" s="432">
        <v>8</v>
      </c>
      <c r="M109" s="432">
        <v>9</v>
      </c>
      <c r="N109" s="431">
        <v>10</v>
      </c>
      <c r="O109" s="431">
        <v>11</v>
      </c>
    </row>
  </sheetData>
  <mergeCells count="3">
    <mergeCell ref="G1:I1"/>
    <mergeCell ref="J1:L1"/>
    <mergeCell ref="M1:O1"/>
  </mergeCells>
  <pageMargins left="0.7" right="0.7" top="1" bottom="0.75" header="0.55000000000000004" footer="0.3"/>
  <pageSetup scale="75" fitToHeight="0" pageOrder="overThenDown" orientation="landscape" r:id="rId1"/>
  <headerFooter>
    <oddHeader>&amp;C&amp;"Arial,Bold"&amp;10UNS GAS, INC.
CLASSIFICATION OF EXPENSE TO CLASS OF SERVICE
FOR THE TEST PERIOD ENDING JUNE 30, 2024&amp;R&amp;"Arial,Bold"&amp;10SCHEDULE G-4
SHEET &amp;P OF &amp;N</oddHeader>
  </headerFooter>
  <rowBreaks count="1" manualBreakCount="1">
    <brk id="57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8F247-3844-4474-8D8C-21D26005A7BD}">
  <sheetPr codeName="Sheet37">
    <tabColor theme="8" tint="0.59999389629810485"/>
  </sheetPr>
  <dimension ref="A1:AR280"/>
  <sheetViews>
    <sheetView zoomScaleNormal="100" workbookViewId="0">
      <selection activeCell="H7" sqref="H7"/>
    </sheetView>
  </sheetViews>
  <sheetFormatPr defaultColWidth="9.140625" defaultRowHeight="11.25"/>
  <cols>
    <col min="1" max="1" width="4.140625" style="365" customWidth="1"/>
    <col min="2" max="2" width="7.42578125" style="360" bestFit="1" customWidth="1"/>
    <col min="3" max="3" width="40" style="360" bestFit="1" customWidth="1"/>
    <col min="4" max="4" width="14.85546875" style="454" bestFit="1" customWidth="1"/>
    <col min="5" max="5" width="14.5703125" style="360" bestFit="1" customWidth="1"/>
    <col min="6" max="6" width="12.28515625" style="360" bestFit="1" customWidth="1"/>
    <col min="7" max="7" width="13.42578125" style="360" bestFit="1" customWidth="1"/>
    <col min="8" max="8" width="14.85546875" style="360" bestFit="1" customWidth="1"/>
    <col min="9" max="9" width="13.42578125" style="360" bestFit="1" customWidth="1"/>
    <col min="10" max="10" width="12.5703125" style="360" bestFit="1" customWidth="1"/>
    <col min="11" max="11" width="11.5703125" style="360" bestFit="1" customWidth="1"/>
    <col min="12" max="12" width="9.7109375" style="360" bestFit="1" customWidth="1"/>
    <col min="13" max="13" width="7.5703125" style="360" bestFit="1" customWidth="1"/>
    <col min="14" max="14" width="13.42578125" style="360" bestFit="1" customWidth="1"/>
    <col min="15" max="15" width="12.5703125" style="360" bestFit="1" customWidth="1"/>
    <col min="16" max="16" width="13" style="360" bestFit="1" customWidth="1"/>
    <col min="17" max="17" width="9.42578125" style="360" bestFit="1" customWidth="1"/>
    <col min="18" max="18" width="8.7109375" style="360" bestFit="1" customWidth="1"/>
    <col min="19" max="19" width="7.5703125" style="360" bestFit="1" customWidth="1"/>
    <col min="20" max="20" width="4.5703125" style="360" customWidth="1"/>
    <col min="21" max="21" width="10.140625" style="360" bestFit="1" customWidth="1"/>
    <col min="22" max="22" width="11" style="360" bestFit="1" customWidth="1"/>
    <col min="23" max="23" width="13.85546875" style="360" bestFit="1" customWidth="1"/>
    <col min="24" max="16384" width="9.140625" style="360"/>
  </cols>
  <sheetData>
    <row r="1" spans="1:23" ht="15" customHeight="1">
      <c r="A1" s="515"/>
      <c r="B1" s="519"/>
      <c r="C1" s="519"/>
      <c r="D1" s="518"/>
      <c r="E1" s="518"/>
      <c r="F1" s="517"/>
      <c r="G1" s="516"/>
      <c r="H1" s="775" t="s">
        <v>225</v>
      </c>
      <c r="I1" s="775"/>
      <c r="J1" s="775"/>
      <c r="K1" s="776"/>
      <c r="L1" s="781" t="s">
        <v>68</v>
      </c>
      <c r="M1" s="782"/>
      <c r="N1" s="774" t="s">
        <v>69</v>
      </c>
      <c r="O1" s="775"/>
      <c r="P1" s="775"/>
      <c r="Q1" s="775"/>
      <c r="R1" s="775"/>
      <c r="S1" s="776"/>
      <c r="U1" s="772" t="s">
        <v>6</v>
      </c>
    </row>
    <row r="2" spans="1:23" s="364" customFormat="1">
      <c r="A2" s="514" t="s">
        <v>226</v>
      </c>
      <c r="B2" s="365" t="s">
        <v>60</v>
      </c>
      <c r="D2" s="513" t="s">
        <v>2</v>
      </c>
      <c r="E2" s="513" t="s">
        <v>225</v>
      </c>
      <c r="F2" s="500" t="s">
        <v>68</v>
      </c>
      <c r="G2" s="512" t="s">
        <v>69</v>
      </c>
      <c r="H2" s="499" t="s">
        <v>227</v>
      </c>
      <c r="I2" s="777" t="s">
        <v>228</v>
      </c>
      <c r="J2" s="777"/>
      <c r="K2" s="778"/>
      <c r="L2" s="779"/>
      <c r="M2" s="780"/>
      <c r="N2" s="511"/>
      <c r="O2" s="499"/>
      <c r="P2" s="499"/>
      <c r="Q2" s="499" t="s">
        <v>229</v>
      </c>
      <c r="R2" s="499"/>
      <c r="S2" s="510"/>
      <c r="U2" s="772"/>
    </row>
    <row r="3" spans="1:23" s="364" customFormat="1" ht="12" thickBot="1">
      <c r="A3" s="509" t="s">
        <v>230</v>
      </c>
      <c r="B3" s="508" t="s">
        <v>231</v>
      </c>
      <c r="C3" s="507"/>
      <c r="D3" s="506" t="s">
        <v>66</v>
      </c>
      <c r="E3" s="506"/>
      <c r="F3" s="505"/>
      <c r="G3" s="504"/>
      <c r="H3" s="502" t="s">
        <v>127</v>
      </c>
      <c r="I3" s="502" t="s">
        <v>232</v>
      </c>
      <c r="J3" s="502" t="s">
        <v>233</v>
      </c>
      <c r="K3" s="501" t="s">
        <v>234</v>
      </c>
      <c r="L3" s="503" t="s">
        <v>235</v>
      </c>
      <c r="M3" s="501" t="s">
        <v>234</v>
      </c>
      <c r="N3" s="503" t="s">
        <v>236</v>
      </c>
      <c r="O3" s="502" t="s">
        <v>237</v>
      </c>
      <c r="P3" s="502" t="s">
        <v>238</v>
      </c>
      <c r="Q3" s="502" t="s">
        <v>239</v>
      </c>
      <c r="R3" s="502" t="s">
        <v>240</v>
      </c>
      <c r="S3" s="501" t="s">
        <v>234</v>
      </c>
      <c r="U3" s="773"/>
    </row>
    <row r="4" spans="1:23" s="364" customFormat="1">
      <c r="A4" s="365"/>
      <c r="B4" s="365"/>
      <c r="D4" s="500"/>
      <c r="H4" s="499"/>
      <c r="I4" s="499"/>
      <c r="J4" s="499"/>
      <c r="K4" s="499"/>
      <c r="L4" s="499"/>
      <c r="M4" s="499"/>
      <c r="N4" s="499"/>
      <c r="O4" s="499"/>
      <c r="P4" s="499"/>
      <c r="Q4" s="499"/>
      <c r="R4" s="499"/>
      <c r="S4" s="499"/>
      <c r="U4" s="496"/>
    </row>
    <row r="5" spans="1:23">
      <c r="B5" s="400"/>
      <c r="C5" s="416" t="s">
        <v>73</v>
      </c>
      <c r="D5" s="457"/>
      <c r="E5" s="464"/>
      <c r="F5" s="464"/>
      <c r="G5" s="464"/>
      <c r="H5" s="498"/>
      <c r="I5" s="464"/>
      <c r="J5" s="464"/>
      <c r="K5" s="464"/>
      <c r="L5" s="464"/>
      <c r="M5" s="464"/>
      <c r="N5" s="464"/>
      <c r="O5" s="464"/>
      <c r="P5" s="497"/>
      <c r="Q5" s="464"/>
      <c r="R5" s="464"/>
      <c r="S5" s="464"/>
      <c r="U5" s="496"/>
    </row>
    <row r="6" spans="1:23">
      <c r="B6" s="400"/>
      <c r="C6" s="377" t="s">
        <v>205</v>
      </c>
      <c r="D6" s="457"/>
      <c r="H6" s="484"/>
      <c r="I6" s="484"/>
      <c r="J6" s="484"/>
      <c r="K6" s="484"/>
      <c r="L6" s="484"/>
      <c r="M6" s="484"/>
      <c r="N6" s="484"/>
      <c r="O6" s="484"/>
      <c r="P6" s="484"/>
      <c r="Q6" s="484"/>
      <c r="R6" s="484"/>
      <c r="S6" s="484"/>
      <c r="U6" s="496"/>
    </row>
    <row r="7" spans="1:23">
      <c r="A7" s="365">
        <v>1</v>
      </c>
      <c r="B7" s="386">
        <v>302</v>
      </c>
      <c r="C7" s="379" t="s">
        <v>192</v>
      </c>
      <c r="D7" s="361">
        <f>SUM(E7:G7)</f>
        <v>349890</v>
      </c>
      <c r="E7" s="361">
        <f>ROUND(SUM(H7:K7),0)</f>
        <v>99197</v>
      </c>
      <c r="F7" s="361">
        <f>SUM(L7:M7)</f>
        <v>0</v>
      </c>
      <c r="G7" s="361">
        <f>ROUND(SUM(N7:S7),0)</f>
        <v>250693</v>
      </c>
      <c r="H7" s="361">
        <f>+('Rate Base'!$C$6)*'Function Allocators'!D11</f>
        <v>0</v>
      </c>
      <c r="I7" s="361">
        <f>+('Rate Base'!$C$6)*'Function Allocators'!E11</f>
        <v>90963.378527414141</v>
      </c>
      <c r="J7" s="361">
        <f>+('Rate Base'!$C$6)*'Function Allocators'!F11</f>
        <v>6448.8063594191099</v>
      </c>
      <c r="K7" s="361">
        <f>+('Rate Base'!$C$6)*'Function Allocators'!G11</f>
        <v>1785.055767078894</v>
      </c>
      <c r="L7" s="361">
        <f>+('Rate Base'!$C$6)*'Function Allocators'!H11</f>
        <v>0</v>
      </c>
      <c r="M7" s="361">
        <f>+('Rate Base'!$C$6)*'Function Allocators'!I11</f>
        <v>0</v>
      </c>
      <c r="N7" s="361">
        <f>+('Rate Base'!$C$6)*'Function Allocators'!J11</f>
        <v>203220.02838535092</v>
      </c>
      <c r="O7" s="361">
        <f>+('Rate Base'!$C$6)*'Function Allocators'!K11</f>
        <v>39127.956143386014</v>
      </c>
      <c r="P7" s="361">
        <f>+('Rate Base'!$C$6)*'Function Allocators'!L11</f>
        <v>8344.8648173509009</v>
      </c>
      <c r="Q7" s="361">
        <f>+('Rate Base'!$C$6)*'Function Allocators'!M11</f>
        <v>0</v>
      </c>
      <c r="R7" s="361">
        <f>+('Rate Base'!$C$6)*'Function Allocators'!N11</f>
        <v>0</v>
      </c>
      <c r="S7" s="361">
        <f>+('Rate Base'!$C$6)*'Function Allocators'!O11</f>
        <v>0</v>
      </c>
      <c r="U7" s="473">
        <f>D7-'Rate Base'!C6</f>
        <v>-9.0000000025611371E-2</v>
      </c>
    </row>
    <row r="8" spans="1:23">
      <c r="A8" s="365">
        <f t="shared" ref="A8:A54" si="0">+A7+1</f>
        <v>2</v>
      </c>
      <c r="B8" s="386">
        <v>303</v>
      </c>
      <c r="C8" s="379" t="s">
        <v>241</v>
      </c>
      <c r="D8" s="475">
        <f>SUM(E8:G8)</f>
        <v>1446737</v>
      </c>
      <c r="E8" s="475">
        <f>ROUND(SUM(H8:K8),0)</f>
        <v>410164</v>
      </c>
      <c r="F8" s="475">
        <f>SUM(L8:M8)</f>
        <v>0</v>
      </c>
      <c r="G8" s="475">
        <f>ROUND(SUM(N8:S8),0)</f>
        <v>1036573</v>
      </c>
      <c r="H8" s="475">
        <f>+('Rate Base'!$C$7)*'Function Allocators'!D12</f>
        <v>0</v>
      </c>
      <c r="I8" s="475">
        <f>+('Rate Base'!$C$7)*'Function Allocators'!E12</f>
        <v>376118.18421260722</v>
      </c>
      <c r="J8" s="475">
        <f>+('Rate Base'!$C$7)*'Function Allocators'!F12</f>
        <v>26664.723513017267</v>
      </c>
      <c r="K8" s="475">
        <f>+('Rate Base'!$C$7)*'Function Allocators'!G12</f>
        <v>7380.9036636608125</v>
      </c>
      <c r="L8" s="475">
        <f>+('Rate Base'!$C$7)*'Function Allocators'!H12</f>
        <v>0</v>
      </c>
      <c r="M8" s="475">
        <f>+('Rate Base'!$C$7)*'Function Allocators'!I12</f>
        <v>0</v>
      </c>
      <c r="N8" s="475">
        <f>+('Rate Base'!$C$7)*'Function Allocators'!J12</f>
        <v>840280.44372711075</v>
      </c>
      <c r="O8" s="475">
        <f>+('Rate Base'!$C$7)*'Function Allocators'!K12</f>
        <v>161787.48035579629</v>
      </c>
      <c r="P8" s="475">
        <f>+('Rate Base'!$C$7)*'Function Allocators'!L12</f>
        <v>34504.604527807605</v>
      </c>
      <c r="Q8" s="475">
        <f>+('Rate Base'!$C$7)*'Function Allocators'!M12</f>
        <v>0</v>
      </c>
      <c r="R8" s="475">
        <f>+('Rate Base'!$C$7)*'Function Allocators'!N12</f>
        <v>0</v>
      </c>
      <c r="S8" s="475">
        <f>+('Rate Base'!$C$7)*'Function Allocators'!O12</f>
        <v>0</v>
      </c>
      <c r="U8" s="473">
        <f>D8-'Rate Base'!C7</f>
        <v>0.65999999991618097</v>
      </c>
    </row>
    <row r="9" spans="1:23">
      <c r="A9" s="365">
        <f t="shared" si="0"/>
        <v>3</v>
      </c>
      <c r="B9" s="386"/>
      <c r="C9" s="377" t="s">
        <v>75</v>
      </c>
      <c r="D9" s="474">
        <f>SUM(D7:D8)</f>
        <v>1796627</v>
      </c>
      <c r="E9" s="474">
        <f>ROUND(SUM(E7:E8),0)</f>
        <v>509361</v>
      </c>
      <c r="F9" s="474">
        <f>ROUND(SUM(F7:F8),0)</f>
        <v>0</v>
      </c>
      <c r="G9" s="474">
        <f>ROUND(SUM(G7:G8),0)</f>
        <v>1287266</v>
      </c>
      <c r="H9" s="474">
        <f t="shared" ref="H9:S9" si="1">SUM(H7:H8)</f>
        <v>0</v>
      </c>
      <c r="I9" s="474">
        <f t="shared" si="1"/>
        <v>467081.56274002139</v>
      </c>
      <c r="J9" s="474">
        <f t="shared" si="1"/>
        <v>33113.529872436375</v>
      </c>
      <c r="K9" s="474">
        <f t="shared" si="1"/>
        <v>9165.9594307397056</v>
      </c>
      <c r="L9" s="474">
        <f t="shared" si="1"/>
        <v>0</v>
      </c>
      <c r="M9" s="474">
        <f t="shared" si="1"/>
        <v>0</v>
      </c>
      <c r="N9" s="474">
        <f t="shared" si="1"/>
        <v>1043500.4721124617</v>
      </c>
      <c r="O9" s="474">
        <f t="shared" si="1"/>
        <v>200915.43649918231</v>
      </c>
      <c r="P9" s="474">
        <f t="shared" si="1"/>
        <v>42849.469345158504</v>
      </c>
      <c r="Q9" s="474">
        <f t="shared" si="1"/>
        <v>0</v>
      </c>
      <c r="R9" s="474">
        <f t="shared" si="1"/>
        <v>0</v>
      </c>
      <c r="S9" s="474">
        <f t="shared" si="1"/>
        <v>0</v>
      </c>
      <c r="U9" s="473">
        <f>D9-'Rate Base'!C8</f>
        <v>0.56999999983236194</v>
      </c>
      <c r="V9" s="361"/>
      <c r="W9" s="468"/>
    </row>
    <row r="10" spans="1:23">
      <c r="A10" s="365">
        <f t="shared" si="0"/>
        <v>4</v>
      </c>
      <c r="B10" s="386"/>
      <c r="C10" s="377"/>
      <c r="D10" s="460"/>
      <c r="U10" s="473"/>
      <c r="V10" s="361"/>
      <c r="W10" s="468"/>
    </row>
    <row r="11" spans="1:23">
      <c r="A11" s="365">
        <f t="shared" si="0"/>
        <v>5</v>
      </c>
      <c r="B11" s="440"/>
      <c r="C11" s="377" t="s">
        <v>207</v>
      </c>
      <c r="D11" s="489"/>
      <c r="U11" s="473"/>
      <c r="V11" s="361"/>
      <c r="W11" s="468"/>
    </row>
    <row r="12" spans="1:23">
      <c r="A12" s="365">
        <f t="shared" si="0"/>
        <v>6</v>
      </c>
      <c r="B12" s="386">
        <v>365</v>
      </c>
      <c r="C12" s="379" t="s">
        <v>81</v>
      </c>
      <c r="D12" s="361">
        <f>SUM(E12:G12)</f>
        <v>88132.220000000016</v>
      </c>
      <c r="E12" s="361">
        <f>SUM(H12:K12)</f>
        <v>88132.220000000016</v>
      </c>
      <c r="F12" s="361">
        <f>SUM(L12:M12)</f>
        <v>0</v>
      </c>
      <c r="G12" s="361">
        <f>SUM(N12:S12)</f>
        <v>0</v>
      </c>
      <c r="H12" s="361">
        <f>+('Rate Base'!$C11)*'Function Allocators'!D16</f>
        <v>0</v>
      </c>
      <c r="I12" s="361">
        <f>+('Rate Base'!$C11)*'Function Allocators'!E16</f>
        <v>88132.220000000016</v>
      </c>
      <c r="J12" s="361">
        <v>0</v>
      </c>
      <c r="K12" s="361">
        <v>0</v>
      </c>
      <c r="L12" s="361">
        <v>0</v>
      </c>
      <c r="M12" s="361">
        <v>0</v>
      </c>
      <c r="N12" s="361">
        <f>+('Rate Base'!$C11)*'Function Allocators'!J16</f>
        <v>0</v>
      </c>
      <c r="O12" s="361">
        <v>0</v>
      </c>
      <c r="P12" s="361">
        <v>0</v>
      </c>
      <c r="Q12" s="361">
        <v>0</v>
      </c>
      <c r="R12" s="361">
        <v>0</v>
      </c>
      <c r="S12" s="361">
        <v>0</v>
      </c>
      <c r="U12" s="473">
        <f>D12-'Rate Base'!C11</f>
        <v>0</v>
      </c>
      <c r="V12" s="361"/>
      <c r="W12" s="468"/>
    </row>
    <row r="13" spans="1:23">
      <c r="A13" s="365">
        <f t="shared" si="0"/>
        <v>7</v>
      </c>
      <c r="B13" s="386">
        <v>366</v>
      </c>
      <c r="C13" s="379" t="s">
        <v>82</v>
      </c>
      <c r="D13" s="456">
        <f>SUM(E13:G13)</f>
        <v>20699.02</v>
      </c>
      <c r="E13" s="456">
        <f>SUM(H13:K13)</f>
        <v>20699.02</v>
      </c>
      <c r="F13" s="456">
        <f>SUM(L13:M13)</f>
        <v>0</v>
      </c>
      <c r="G13" s="456">
        <f>SUM(N13:S13)</f>
        <v>0</v>
      </c>
      <c r="H13" s="456">
        <f>+('Rate Base'!C12)*'Function Allocators'!D17</f>
        <v>0</v>
      </c>
      <c r="I13" s="361">
        <f>+('Rate Base'!$C12)*'Function Allocators'!E17</f>
        <v>20699.02</v>
      </c>
      <c r="J13" s="456">
        <v>0</v>
      </c>
      <c r="K13" s="456">
        <v>0</v>
      </c>
      <c r="L13" s="456">
        <v>0</v>
      </c>
      <c r="M13" s="456">
        <v>0</v>
      </c>
      <c r="N13" s="361">
        <f>+('Rate Base'!$C12)*'Function Allocators'!J17</f>
        <v>0</v>
      </c>
      <c r="O13" s="456">
        <v>0</v>
      </c>
      <c r="P13" s="456">
        <v>0</v>
      </c>
      <c r="Q13" s="456">
        <v>0</v>
      </c>
      <c r="R13" s="456">
        <v>0</v>
      </c>
      <c r="S13" s="456">
        <v>0</v>
      </c>
      <c r="U13" s="473">
        <f>D13-'Rate Base'!C12</f>
        <v>0</v>
      </c>
      <c r="V13" s="361"/>
      <c r="W13" s="468"/>
    </row>
    <row r="14" spans="1:23">
      <c r="A14" s="365">
        <f t="shared" si="0"/>
        <v>8</v>
      </c>
      <c r="B14" s="386">
        <v>367</v>
      </c>
      <c r="C14" s="379" t="s">
        <v>83</v>
      </c>
      <c r="D14" s="456">
        <f>SUM(E14:G14)</f>
        <v>17814114.489999995</v>
      </c>
      <c r="E14" s="456">
        <f>SUM(H14:K14)</f>
        <v>17814114.489999995</v>
      </c>
      <c r="F14" s="456">
        <f>SUM(L14:M14)</f>
        <v>0</v>
      </c>
      <c r="G14" s="456">
        <f>SUM(N14:S14)</f>
        <v>0</v>
      </c>
      <c r="H14" s="456">
        <f>+('Rate Base'!C13)*'Function Allocators'!D18</f>
        <v>0</v>
      </c>
      <c r="I14" s="361">
        <f>+('Rate Base'!$C13)*'Function Allocators'!E18</f>
        <v>17814114.489999995</v>
      </c>
      <c r="J14" s="456">
        <v>0</v>
      </c>
      <c r="K14" s="456">
        <v>0</v>
      </c>
      <c r="L14" s="456">
        <v>0</v>
      </c>
      <c r="M14" s="456">
        <v>0</v>
      </c>
      <c r="N14" s="361">
        <f>+('Rate Base'!$C13)*'Function Allocators'!J18</f>
        <v>0</v>
      </c>
      <c r="O14" s="456">
        <v>0</v>
      </c>
      <c r="P14" s="456">
        <v>0</v>
      </c>
      <c r="Q14" s="456">
        <v>0</v>
      </c>
      <c r="R14" s="456">
        <v>0</v>
      </c>
      <c r="S14" s="456">
        <v>0</v>
      </c>
      <c r="U14" s="473">
        <f>D14-'Rate Base'!C13</f>
        <v>0</v>
      </c>
      <c r="V14" s="361"/>
      <c r="W14" s="468"/>
    </row>
    <row r="15" spans="1:23">
      <c r="A15" s="365">
        <f t="shared" si="0"/>
        <v>9</v>
      </c>
      <c r="B15" s="386">
        <v>369</v>
      </c>
      <c r="C15" s="379" t="s">
        <v>242</v>
      </c>
      <c r="D15" s="456">
        <f>SUM(E15:G15)</f>
        <v>868641.52000000048</v>
      </c>
      <c r="E15" s="456">
        <f>SUM(H15:K15)</f>
        <v>868641.52000000048</v>
      </c>
      <c r="F15" s="456">
        <f>SUM(L15:M15)</f>
        <v>0</v>
      </c>
      <c r="G15" s="456">
        <f>SUM(N15:S15)</f>
        <v>0</v>
      </c>
      <c r="H15" s="456">
        <f>+('Rate Base'!C14)*'Function Allocators'!D19</f>
        <v>0</v>
      </c>
      <c r="I15" s="361">
        <f>+('Rate Base'!$C14)*'Function Allocators'!E19</f>
        <v>868641.52000000048</v>
      </c>
      <c r="J15" s="456">
        <v>0</v>
      </c>
      <c r="K15" s="456">
        <v>0</v>
      </c>
      <c r="L15" s="456">
        <v>0</v>
      </c>
      <c r="M15" s="456">
        <v>0</v>
      </c>
      <c r="N15" s="361">
        <f>+('Rate Base'!$C14)*'Function Allocators'!J19</f>
        <v>0</v>
      </c>
      <c r="O15" s="456">
        <v>0</v>
      </c>
      <c r="P15" s="456">
        <v>0</v>
      </c>
      <c r="Q15" s="456">
        <v>0</v>
      </c>
      <c r="R15" s="456">
        <v>0</v>
      </c>
      <c r="S15" s="456">
        <v>0</v>
      </c>
      <c r="U15" s="473">
        <f>D15-'Rate Base'!C14</f>
        <v>0</v>
      </c>
      <c r="V15" s="361"/>
      <c r="W15" s="468"/>
    </row>
    <row r="16" spans="1:23">
      <c r="A16" s="365">
        <f t="shared" si="0"/>
        <v>10</v>
      </c>
      <c r="B16" s="385">
        <v>371</v>
      </c>
      <c r="C16" s="379" t="s">
        <v>98</v>
      </c>
      <c r="D16" s="475">
        <f>SUM(E16:G16)</f>
        <v>0</v>
      </c>
      <c r="E16" s="475">
        <f>SUM(H16:K16)</f>
        <v>0</v>
      </c>
      <c r="F16" s="475">
        <f>SUM(L16:M16)</f>
        <v>0</v>
      </c>
      <c r="G16" s="475">
        <f>SUM(N16:S16)</f>
        <v>0</v>
      </c>
      <c r="H16" s="475">
        <f>+('Rate Base'!C15)*'Function Allocators'!D20</f>
        <v>0</v>
      </c>
      <c r="I16" s="361">
        <f>+('Rate Base'!$C15)*'Function Allocators'!E20</f>
        <v>0</v>
      </c>
      <c r="J16" s="475">
        <v>0</v>
      </c>
      <c r="K16" s="475">
        <v>0</v>
      </c>
      <c r="L16" s="475">
        <v>0</v>
      </c>
      <c r="M16" s="475">
        <v>0</v>
      </c>
      <c r="N16" s="720">
        <f>+('Rate Base'!$C15)*'Function Allocators'!J20</f>
        <v>0</v>
      </c>
      <c r="O16" s="475">
        <v>0</v>
      </c>
      <c r="P16" s="475">
        <v>0</v>
      </c>
      <c r="Q16" s="475">
        <v>0</v>
      </c>
      <c r="R16" s="475">
        <v>0</v>
      </c>
      <c r="S16" s="475">
        <v>0</v>
      </c>
      <c r="U16" s="473">
        <f>D16-'Rate Base'!C15</f>
        <v>0</v>
      </c>
      <c r="V16" s="361"/>
      <c r="W16" s="468"/>
    </row>
    <row r="17" spans="1:23">
      <c r="A17" s="365">
        <f t="shared" si="0"/>
        <v>11</v>
      </c>
      <c r="B17" s="374"/>
      <c r="C17" s="377" t="s">
        <v>78</v>
      </c>
      <c r="D17" s="474">
        <f t="shared" ref="D17:S17" si="2">SUM(D12:D16)</f>
        <v>18791587.249999993</v>
      </c>
      <c r="E17" s="474">
        <f t="shared" si="2"/>
        <v>18791587.249999993</v>
      </c>
      <c r="F17" s="474">
        <f t="shared" si="2"/>
        <v>0</v>
      </c>
      <c r="G17" s="474">
        <f t="shared" si="2"/>
        <v>0</v>
      </c>
      <c r="H17" s="474">
        <f t="shared" si="2"/>
        <v>0</v>
      </c>
      <c r="I17" s="474">
        <f t="shared" si="2"/>
        <v>18791587.249999993</v>
      </c>
      <c r="J17" s="474">
        <f t="shared" si="2"/>
        <v>0</v>
      </c>
      <c r="K17" s="474">
        <f t="shared" si="2"/>
        <v>0</v>
      </c>
      <c r="L17" s="474">
        <f t="shared" si="2"/>
        <v>0</v>
      </c>
      <c r="M17" s="474">
        <f t="shared" si="2"/>
        <v>0</v>
      </c>
      <c r="N17" s="474">
        <f t="shared" si="2"/>
        <v>0</v>
      </c>
      <c r="O17" s="474">
        <f t="shared" si="2"/>
        <v>0</v>
      </c>
      <c r="P17" s="474">
        <f t="shared" si="2"/>
        <v>0</v>
      </c>
      <c r="Q17" s="474">
        <f t="shared" si="2"/>
        <v>0</v>
      </c>
      <c r="R17" s="474">
        <f t="shared" si="2"/>
        <v>0</v>
      </c>
      <c r="S17" s="474">
        <f t="shared" si="2"/>
        <v>0</v>
      </c>
      <c r="U17" s="473">
        <f>D17-'Rate Base'!C16</f>
        <v>0</v>
      </c>
      <c r="V17" s="361"/>
      <c r="W17" s="468"/>
    </row>
    <row r="18" spans="1:23">
      <c r="A18" s="365">
        <f t="shared" si="0"/>
        <v>12</v>
      </c>
      <c r="B18" s="374"/>
      <c r="C18" s="377"/>
      <c r="D18" s="460"/>
      <c r="H18" s="456"/>
      <c r="U18" s="473"/>
      <c r="V18" s="361"/>
      <c r="W18" s="468"/>
    </row>
    <row r="19" spans="1:23">
      <c r="A19" s="365">
        <f t="shared" si="0"/>
        <v>13</v>
      </c>
      <c r="B19" s="374"/>
      <c r="C19" s="377" t="s">
        <v>80</v>
      </c>
      <c r="D19" s="457"/>
      <c r="H19" s="456"/>
      <c r="U19" s="473"/>
      <c r="V19" s="361"/>
      <c r="W19" s="468"/>
    </row>
    <row r="20" spans="1:23">
      <c r="A20" s="365">
        <f t="shared" si="0"/>
        <v>14</v>
      </c>
      <c r="B20" s="385">
        <v>374</v>
      </c>
      <c r="C20" s="379" t="s">
        <v>81</v>
      </c>
      <c r="D20" s="361">
        <f t="shared" ref="D20:D31" si="3">SUM(E20:G20)</f>
        <v>448524.97000000009</v>
      </c>
      <c r="E20" s="361">
        <f t="shared" ref="E20:E31" si="4">SUM(H20:K20)</f>
        <v>448524.97000000009</v>
      </c>
      <c r="F20" s="361">
        <f t="shared" ref="F20:F31" si="5">SUM(L20:M20)</f>
        <v>0</v>
      </c>
      <c r="G20" s="361">
        <f t="shared" ref="G20:G31" si="6">SUM(N20:S20)</f>
        <v>0</v>
      </c>
      <c r="H20" s="361">
        <v>0</v>
      </c>
      <c r="I20" s="456">
        <f>+('Rate Base'!C19)*'Function Allocators'!E24</f>
        <v>0</v>
      </c>
      <c r="J20" s="361">
        <v>0</v>
      </c>
      <c r="K20" s="361">
        <f>+('Rate Base'!C19)*'Function Allocators'!G24</f>
        <v>448524.97000000009</v>
      </c>
      <c r="L20" s="361">
        <v>0</v>
      </c>
      <c r="M20" s="361">
        <v>0</v>
      </c>
      <c r="N20" s="361">
        <v>0</v>
      </c>
      <c r="O20" s="361">
        <v>0</v>
      </c>
      <c r="P20" s="361">
        <v>0</v>
      </c>
      <c r="Q20" s="361">
        <v>0</v>
      </c>
      <c r="R20" s="361">
        <v>0</v>
      </c>
      <c r="S20" s="361">
        <v>0</v>
      </c>
      <c r="U20" s="473">
        <f>D20-'Rate Base'!C19</f>
        <v>0</v>
      </c>
      <c r="V20" s="361"/>
      <c r="W20" s="468"/>
    </row>
    <row r="21" spans="1:23">
      <c r="A21" s="365">
        <f t="shared" si="0"/>
        <v>15</v>
      </c>
      <c r="B21" s="386">
        <v>375</v>
      </c>
      <c r="C21" s="379" t="s">
        <v>82</v>
      </c>
      <c r="D21" s="456">
        <f t="shared" si="3"/>
        <v>181967.05000000002</v>
      </c>
      <c r="E21" s="456">
        <f t="shared" si="4"/>
        <v>181967.05000000002</v>
      </c>
      <c r="F21" s="456">
        <f t="shared" si="5"/>
        <v>0</v>
      </c>
      <c r="G21" s="456">
        <f t="shared" si="6"/>
        <v>0</v>
      </c>
      <c r="H21" s="456">
        <v>0</v>
      </c>
      <c r="I21" s="456">
        <f>+('Rate Base'!C20)*'Function Allocators'!E25</f>
        <v>0</v>
      </c>
      <c r="J21" s="456">
        <v>0</v>
      </c>
      <c r="K21" s="361">
        <f>+('Rate Base'!C20)*'Function Allocators'!G25</f>
        <v>181967.05000000002</v>
      </c>
      <c r="L21" s="456">
        <v>0</v>
      </c>
      <c r="M21" s="456">
        <v>0</v>
      </c>
      <c r="N21" s="456">
        <v>0</v>
      </c>
      <c r="O21" s="456">
        <v>0</v>
      </c>
      <c r="P21" s="456">
        <v>0</v>
      </c>
      <c r="Q21" s="456">
        <v>0</v>
      </c>
      <c r="R21" s="456">
        <v>0</v>
      </c>
      <c r="S21" s="456">
        <v>0</v>
      </c>
      <c r="U21" s="473">
        <f>D21-'Rate Base'!C20</f>
        <v>0</v>
      </c>
      <c r="V21" s="361"/>
      <c r="W21" s="468"/>
    </row>
    <row r="22" spans="1:23">
      <c r="A22" s="365">
        <f t="shared" si="0"/>
        <v>16</v>
      </c>
      <c r="B22" s="385">
        <v>376</v>
      </c>
      <c r="C22" s="379" t="s">
        <v>83</v>
      </c>
      <c r="D22" s="456">
        <f t="shared" si="3"/>
        <v>242676757.6768555</v>
      </c>
      <c r="E22" s="456">
        <f t="shared" si="4"/>
        <v>117664858.98482008</v>
      </c>
      <c r="F22" s="456">
        <f t="shared" si="5"/>
        <v>0</v>
      </c>
      <c r="G22" s="456">
        <f t="shared" si="6"/>
        <v>125011898.69203542</v>
      </c>
      <c r="H22" s="456">
        <v>0</v>
      </c>
      <c r="I22" s="456">
        <f>+('Rate Base'!C21)*'Function Allocators'!E26</f>
        <v>117664858.98482008</v>
      </c>
      <c r="J22" s="456">
        <v>0</v>
      </c>
      <c r="K22" s="361">
        <f>+('Rate Base'!C21)*'Function Allocators'!G26</f>
        <v>0</v>
      </c>
      <c r="L22" s="456">
        <v>0</v>
      </c>
      <c r="M22" s="456">
        <v>0</v>
      </c>
      <c r="N22" s="456">
        <f>('Rate Base'!C21)*'Function Allocators'!J26</f>
        <v>125011898.69203542</v>
      </c>
      <c r="O22" s="456">
        <v>0</v>
      </c>
      <c r="P22" s="456">
        <v>0</v>
      </c>
      <c r="Q22" s="456">
        <v>0</v>
      </c>
      <c r="R22" s="456">
        <v>0</v>
      </c>
      <c r="S22" s="456">
        <v>0</v>
      </c>
      <c r="U22" s="473">
        <f>D22-'Rate Base'!C21</f>
        <v>0</v>
      </c>
      <c r="V22" s="361"/>
      <c r="W22" s="468"/>
    </row>
    <row r="23" spans="1:23">
      <c r="A23" s="365">
        <f t="shared" si="0"/>
        <v>17</v>
      </c>
      <c r="B23" s="386">
        <v>378</v>
      </c>
      <c r="C23" s="379" t="s">
        <v>84</v>
      </c>
      <c r="D23" s="456">
        <f t="shared" si="3"/>
        <v>5189851.3</v>
      </c>
      <c r="E23" s="456">
        <f t="shared" si="4"/>
        <v>5189851.3</v>
      </c>
      <c r="F23" s="456">
        <f t="shared" si="5"/>
        <v>0</v>
      </c>
      <c r="G23" s="456">
        <f t="shared" si="6"/>
        <v>0</v>
      </c>
      <c r="H23" s="456">
        <v>0</v>
      </c>
      <c r="I23" s="456">
        <f>+('Rate Base'!C22)*'Function Allocators'!E27</f>
        <v>0</v>
      </c>
      <c r="J23" s="456">
        <f>+('Rate Base'!C22)*'Function Allocators'!F27</f>
        <v>5189851.3</v>
      </c>
      <c r="K23" s="361">
        <f>+('Rate Base'!C22)*'Function Allocators'!G27</f>
        <v>0</v>
      </c>
      <c r="L23" s="456">
        <v>0</v>
      </c>
      <c r="M23" s="456">
        <v>0</v>
      </c>
      <c r="N23" s="456">
        <v>0</v>
      </c>
      <c r="O23" s="456">
        <v>0</v>
      </c>
      <c r="P23" s="456">
        <v>0</v>
      </c>
      <c r="Q23" s="456">
        <v>0</v>
      </c>
      <c r="R23" s="456">
        <v>0</v>
      </c>
      <c r="S23" s="456">
        <v>0</v>
      </c>
      <c r="U23" s="473">
        <f>D23-'Rate Base'!C22</f>
        <v>0</v>
      </c>
      <c r="V23" s="361"/>
      <c r="W23" s="468"/>
    </row>
    <row r="24" spans="1:23">
      <c r="A24" s="365">
        <f t="shared" si="0"/>
        <v>18</v>
      </c>
      <c r="B24" s="386">
        <v>379</v>
      </c>
      <c r="C24" s="379" t="s">
        <v>85</v>
      </c>
      <c r="D24" s="456">
        <f t="shared" si="3"/>
        <v>4484164.9085957995</v>
      </c>
      <c r="E24" s="456">
        <f t="shared" si="4"/>
        <v>4484164.9085957995</v>
      </c>
      <c r="F24" s="456">
        <f t="shared" si="5"/>
        <v>0</v>
      </c>
      <c r="G24" s="456">
        <f t="shared" si="6"/>
        <v>0</v>
      </c>
      <c r="H24" s="456">
        <v>0</v>
      </c>
      <c r="I24" s="456">
        <f>+('Rate Base'!C23)*'Function Allocators'!E28</f>
        <v>0</v>
      </c>
      <c r="J24" s="456">
        <f>+('Rate Base'!C23)*'Function Allocators'!F28</f>
        <v>4484164.9085957995</v>
      </c>
      <c r="K24" s="361">
        <f>+('Rate Base'!C23)*'Function Allocators'!G28</f>
        <v>0</v>
      </c>
      <c r="L24" s="456">
        <v>0</v>
      </c>
      <c r="M24" s="456">
        <v>0</v>
      </c>
      <c r="N24" s="456">
        <v>0</v>
      </c>
      <c r="O24" s="456">
        <v>0</v>
      </c>
      <c r="P24" s="456">
        <v>0</v>
      </c>
      <c r="Q24" s="456">
        <v>0</v>
      </c>
      <c r="R24" s="456">
        <v>0</v>
      </c>
      <c r="S24" s="456">
        <v>0</v>
      </c>
      <c r="U24" s="473">
        <f>D24-'Rate Base'!C23</f>
        <v>0</v>
      </c>
      <c r="V24" s="361"/>
      <c r="W24" s="468"/>
    </row>
    <row r="25" spans="1:23">
      <c r="A25" s="365">
        <f t="shared" si="0"/>
        <v>19</v>
      </c>
      <c r="B25" s="386">
        <v>380</v>
      </c>
      <c r="C25" s="379" t="s">
        <v>86</v>
      </c>
      <c r="D25" s="456">
        <f t="shared" si="3"/>
        <v>179843564.31000003</v>
      </c>
      <c r="E25" s="456">
        <f t="shared" si="4"/>
        <v>0</v>
      </c>
      <c r="F25" s="456">
        <f t="shared" si="5"/>
        <v>0</v>
      </c>
      <c r="G25" s="456">
        <f t="shared" si="6"/>
        <v>179843564.31000003</v>
      </c>
      <c r="H25" s="456">
        <v>0</v>
      </c>
      <c r="I25" s="456">
        <f>+('Rate Base'!C24)*'Function Allocators'!E29</f>
        <v>0</v>
      </c>
      <c r="J25" s="456">
        <f>+('Rate Base'!C24)*'Function Allocators'!F29</f>
        <v>0</v>
      </c>
      <c r="K25" s="361">
        <f>+('Rate Base'!C24)*'Function Allocators'!G29</f>
        <v>0</v>
      </c>
      <c r="L25" s="456">
        <v>0</v>
      </c>
      <c r="M25" s="456">
        <v>0</v>
      </c>
      <c r="N25" s="456">
        <f>+('Rate Base'!C24)*'Function Allocators'!J29</f>
        <v>179843564.31000003</v>
      </c>
      <c r="O25" s="456">
        <v>0</v>
      </c>
      <c r="P25" s="456">
        <v>0</v>
      </c>
      <c r="Q25" s="456">
        <v>0</v>
      </c>
      <c r="R25" s="456">
        <v>0</v>
      </c>
      <c r="S25" s="456">
        <v>0</v>
      </c>
      <c r="U25" s="473">
        <f>D25-'Rate Base'!C24</f>
        <v>0</v>
      </c>
      <c r="V25" s="361"/>
      <c r="W25" s="468"/>
    </row>
    <row r="26" spans="1:23">
      <c r="A26" s="365">
        <f t="shared" si="0"/>
        <v>20</v>
      </c>
      <c r="B26" s="386">
        <v>381</v>
      </c>
      <c r="C26" s="379" t="s">
        <v>88</v>
      </c>
      <c r="D26" s="456">
        <f t="shared" si="3"/>
        <v>42960829.150000006</v>
      </c>
      <c r="E26" s="456">
        <f t="shared" si="4"/>
        <v>0</v>
      </c>
      <c r="F26" s="456">
        <f t="shared" si="5"/>
        <v>0</v>
      </c>
      <c r="G26" s="456">
        <f t="shared" si="6"/>
        <v>42960829.150000006</v>
      </c>
      <c r="H26" s="456">
        <v>0</v>
      </c>
      <c r="I26" s="456">
        <f>+('Rate Base'!C25)*'Function Allocators'!E30</f>
        <v>0</v>
      </c>
      <c r="J26" s="456">
        <f>+('Rate Base'!C25)*'Function Allocators'!F30</f>
        <v>0</v>
      </c>
      <c r="K26" s="361">
        <f>+('Rate Base'!C25)*'Function Allocators'!G30</f>
        <v>0</v>
      </c>
      <c r="L26" s="456">
        <v>0</v>
      </c>
      <c r="M26" s="456">
        <v>0</v>
      </c>
      <c r="N26" s="456">
        <v>0</v>
      </c>
      <c r="O26" s="456">
        <f>+('Rate Base'!C25)*'Function Allocators'!K30</f>
        <v>42960829.150000006</v>
      </c>
      <c r="P26" s="456">
        <v>0</v>
      </c>
      <c r="Q26" s="456">
        <v>0</v>
      </c>
      <c r="R26" s="456">
        <v>0</v>
      </c>
      <c r="S26" s="456">
        <v>0</v>
      </c>
      <c r="U26" s="473">
        <f>D26-'Rate Base'!C25</f>
        <v>0</v>
      </c>
      <c r="V26" s="361"/>
      <c r="W26" s="468"/>
    </row>
    <row r="27" spans="1:23">
      <c r="A27" s="365">
        <f t="shared" si="0"/>
        <v>21</v>
      </c>
      <c r="B27" s="386">
        <v>382</v>
      </c>
      <c r="C27" s="379" t="s">
        <v>90</v>
      </c>
      <c r="D27" s="456">
        <f t="shared" si="3"/>
        <v>15735999.51</v>
      </c>
      <c r="E27" s="456">
        <f t="shared" si="4"/>
        <v>0</v>
      </c>
      <c r="F27" s="456">
        <f t="shared" si="5"/>
        <v>0</v>
      </c>
      <c r="G27" s="456">
        <f t="shared" si="6"/>
        <v>15735999.51</v>
      </c>
      <c r="H27" s="456">
        <v>0</v>
      </c>
      <c r="I27" s="456">
        <f>+('Rate Base'!C26)*'Function Allocators'!E31</f>
        <v>0</v>
      </c>
      <c r="J27" s="456">
        <f>+('Rate Base'!C26)*'Function Allocators'!F31</f>
        <v>0</v>
      </c>
      <c r="K27" s="361">
        <f>+('Rate Base'!C26)*'Function Allocators'!G31</f>
        <v>0</v>
      </c>
      <c r="L27" s="456">
        <v>0</v>
      </c>
      <c r="M27" s="456">
        <v>0</v>
      </c>
      <c r="N27" s="456">
        <v>0</v>
      </c>
      <c r="O27" s="456">
        <f>+('Rate Base'!C26)*'Function Allocators'!K31</f>
        <v>15735999.51</v>
      </c>
      <c r="P27" s="456">
        <v>0</v>
      </c>
      <c r="Q27" s="456">
        <v>0</v>
      </c>
      <c r="R27" s="456">
        <v>0</v>
      </c>
      <c r="S27" s="456">
        <v>0</v>
      </c>
      <c r="U27" s="473">
        <f>D27-'Rate Base'!C26</f>
        <v>0</v>
      </c>
      <c r="V27" s="361"/>
      <c r="W27" s="468"/>
    </row>
    <row r="28" spans="1:23">
      <c r="A28" s="365">
        <f t="shared" si="0"/>
        <v>22</v>
      </c>
      <c r="B28" s="386">
        <v>383</v>
      </c>
      <c r="C28" s="379" t="s">
        <v>92</v>
      </c>
      <c r="D28" s="456">
        <f t="shared" si="3"/>
        <v>5257376.13</v>
      </c>
      <c r="E28" s="456">
        <f t="shared" si="4"/>
        <v>0</v>
      </c>
      <c r="F28" s="456">
        <f t="shared" si="5"/>
        <v>0</v>
      </c>
      <c r="G28" s="456">
        <f t="shared" si="6"/>
        <v>5257376.13</v>
      </c>
      <c r="H28" s="456">
        <v>0</v>
      </c>
      <c r="I28" s="456">
        <f>+('Rate Base'!C27)*'Function Allocators'!E32</f>
        <v>0</v>
      </c>
      <c r="J28" s="456">
        <f>+('Rate Base'!C27)*'Function Allocators'!F32</f>
        <v>0</v>
      </c>
      <c r="K28" s="361">
        <f>+('Rate Base'!C27)*'Function Allocators'!G32</f>
        <v>0</v>
      </c>
      <c r="L28" s="456">
        <v>0</v>
      </c>
      <c r="M28" s="456">
        <v>0</v>
      </c>
      <c r="N28" s="456">
        <v>0</v>
      </c>
      <c r="O28" s="456">
        <v>0</v>
      </c>
      <c r="P28" s="456">
        <f>+('Rate Base'!C27)*'Function Allocators'!L32</f>
        <v>5257376.13</v>
      </c>
      <c r="Q28" s="456">
        <v>0</v>
      </c>
      <c r="R28" s="456">
        <v>0</v>
      </c>
      <c r="S28" s="456">
        <v>0</v>
      </c>
      <c r="U28" s="473">
        <f>D28-'Rate Base'!C27</f>
        <v>0</v>
      </c>
      <c r="V28" s="361"/>
      <c r="W28" s="468"/>
    </row>
    <row r="29" spans="1:23">
      <c r="A29" s="365">
        <f t="shared" si="0"/>
        <v>23</v>
      </c>
      <c r="B29" s="386">
        <v>384</v>
      </c>
      <c r="C29" s="379" t="s">
        <v>94</v>
      </c>
      <c r="D29" s="456">
        <f t="shared" si="3"/>
        <v>4523983.3899999997</v>
      </c>
      <c r="E29" s="456">
        <f t="shared" si="4"/>
        <v>0</v>
      </c>
      <c r="F29" s="456">
        <f t="shared" si="5"/>
        <v>0</v>
      </c>
      <c r="G29" s="456">
        <f t="shared" si="6"/>
        <v>4523983.3899999997</v>
      </c>
      <c r="H29" s="456">
        <v>0</v>
      </c>
      <c r="I29" s="456">
        <f>+('Rate Base'!C28)*'Function Allocators'!E33</f>
        <v>0</v>
      </c>
      <c r="J29" s="456">
        <f>+('Rate Base'!C28)*'Function Allocators'!F33</f>
        <v>0</v>
      </c>
      <c r="K29" s="361">
        <f>+('Rate Base'!C28)*'Function Allocators'!G33</f>
        <v>0</v>
      </c>
      <c r="L29" s="456">
        <v>0</v>
      </c>
      <c r="M29" s="456">
        <v>0</v>
      </c>
      <c r="N29" s="456">
        <v>0</v>
      </c>
      <c r="O29" s="456">
        <v>0</v>
      </c>
      <c r="P29" s="456">
        <f>+('Rate Base'!C28)*'Function Allocators'!L33</f>
        <v>4523983.3899999997</v>
      </c>
      <c r="Q29" s="456">
        <v>0</v>
      </c>
      <c r="R29" s="456">
        <v>0</v>
      </c>
      <c r="S29" s="456">
        <v>0</v>
      </c>
      <c r="U29" s="473">
        <f>D29-'Rate Base'!C28</f>
        <v>0</v>
      </c>
      <c r="V29" s="361"/>
      <c r="W29" s="468"/>
    </row>
    <row r="30" spans="1:23">
      <c r="A30" s="365">
        <f t="shared" si="0"/>
        <v>24</v>
      </c>
      <c r="B30" s="386">
        <v>385</v>
      </c>
      <c r="C30" s="379" t="s">
        <v>96</v>
      </c>
      <c r="D30" s="456">
        <f t="shared" si="3"/>
        <v>2736981.55</v>
      </c>
      <c r="E30" s="456">
        <f t="shared" si="4"/>
        <v>0</v>
      </c>
      <c r="F30" s="456">
        <f t="shared" si="5"/>
        <v>0</v>
      </c>
      <c r="G30" s="456">
        <f t="shared" si="6"/>
        <v>2736981.55</v>
      </c>
      <c r="H30" s="456">
        <v>0</v>
      </c>
      <c r="I30" s="456">
        <f>+('Rate Base'!C29)*'Function Allocators'!E34</f>
        <v>0</v>
      </c>
      <c r="J30" s="456">
        <f>+('Rate Base'!C29)*'Function Allocators'!F34</f>
        <v>0</v>
      </c>
      <c r="K30" s="361">
        <f>+('Rate Base'!C29)*'Function Allocators'!G34</f>
        <v>0</v>
      </c>
      <c r="L30" s="456">
        <v>0</v>
      </c>
      <c r="M30" s="456">
        <v>0</v>
      </c>
      <c r="N30" s="456">
        <v>0</v>
      </c>
      <c r="O30" s="456">
        <v>0</v>
      </c>
      <c r="P30" s="456">
        <f>+('Rate Base'!C29)*'Function Allocators'!L34</f>
        <v>2736981.55</v>
      </c>
      <c r="Q30" s="456">
        <v>0</v>
      </c>
      <c r="R30" s="456">
        <v>0</v>
      </c>
      <c r="S30" s="456">
        <v>0</v>
      </c>
      <c r="U30" s="473">
        <f>D30-'Rate Base'!C29</f>
        <v>0</v>
      </c>
      <c r="V30" s="361"/>
      <c r="W30" s="468"/>
    </row>
    <row r="31" spans="1:23">
      <c r="A31" s="365">
        <f t="shared" si="0"/>
        <v>25</v>
      </c>
      <c r="B31" s="386">
        <v>387</v>
      </c>
      <c r="C31" s="379" t="s">
        <v>98</v>
      </c>
      <c r="D31" s="475">
        <f t="shared" si="3"/>
        <v>2047314.92</v>
      </c>
      <c r="E31" s="475">
        <f t="shared" si="4"/>
        <v>2047314.92</v>
      </c>
      <c r="F31" s="475">
        <f t="shared" si="5"/>
        <v>0</v>
      </c>
      <c r="G31" s="475">
        <f t="shared" si="6"/>
        <v>0</v>
      </c>
      <c r="H31" s="475">
        <v>0</v>
      </c>
      <c r="I31" s="456">
        <f>+('Rate Base'!C30)*'Function Allocators'!E35</f>
        <v>0</v>
      </c>
      <c r="J31" s="456">
        <f>+('Rate Base'!C30)*'Function Allocators'!F35</f>
        <v>0</v>
      </c>
      <c r="K31" s="361">
        <f>+('Rate Base'!C30)*'Function Allocators'!G35</f>
        <v>2047314.92</v>
      </c>
      <c r="L31" s="475">
        <v>0</v>
      </c>
      <c r="M31" s="475">
        <v>0</v>
      </c>
      <c r="N31" s="475">
        <v>0</v>
      </c>
      <c r="O31" s="475">
        <v>0</v>
      </c>
      <c r="P31" s="475">
        <v>0</v>
      </c>
      <c r="Q31" s="475">
        <v>0</v>
      </c>
      <c r="R31" s="475">
        <v>0</v>
      </c>
      <c r="S31" s="475">
        <v>0</v>
      </c>
      <c r="U31" s="473">
        <f>D31-'Rate Base'!C30</f>
        <v>0</v>
      </c>
      <c r="V31" s="361"/>
      <c r="W31" s="468"/>
    </row>
    <row r="32" spans="1:23">
      <c r="A32" s="365">
        <f t="shared" si="0"/>
        <v>26</v>
      </c>
      <c r="B32" s="374"/>
      <c r="C32" s="377" t="s">
        <v>100</v>
      </c>
      <c r="D32" s="474">
        <f t="shared" ref="D32:S32" si="7">SUM(D20:D31)</f>
        <v>506087314.86545134</v>
      </c>
      <c r="E32" s="474">
        <f t="shared" si="7"/>
        <v>130016682.13341588</v>
      </c>
      <c r="F32" s="474">
        <f t="shared" si="7"/>
        <v>0</v>
      </c>
      <c r="G32" s="474">
        <f t="shared" si="7"/>
        <v>376070632.73203546</v>
      </c>
      <c r="H32" s="474">
        <f t="shared" si="7"/>
        <v>0</v>
      </c>
      <c r="I32" s="474">
        <f t="shared" si="7"/>
        <v>117664858.98482008</v>
      </c>
      <c r="J32" s="474">
        <f t="shared" si="7"/>
        <v>9674016.2085957993</v>
      </c>
      <c r="K32" s="474">
        <f t="shared" si="7"/>
        <v>2677806.94</v>
      </c>
      <c r="L32" s="474">
        <f t="shared" si="7"/>
        <v>0</v>
      </c>
      <c r="M32" s="474">
        <f t="shared" si="7"/>
        <v>0</v>
      </c>
      <c r="N32" s="474">
        <f t="shared" si="7"/>
        <v>304855463.00203544</v>
      </c>
      <c r="O32" s="474">
        <f t="shared" si="7"/>
        <v>58696828.660000004</v>
      </c>
      <c r="P32" s="474">
        <f t="shared" si="7"/>
        <v>12518341.07</v>
      </c>
      <c r="Q32" s="474">
        <f t="shared" si="7"/>
        <v>0</v>
      </c>
      <c r="R32" s="474">
        <f t="shared" si="7"/>
        <v>0</v>
      </c>
      <c r="S32" s="474">
        <f t="shared" si="7"/>
        <v>0</v>
      </c>
      <c r="U32" s="473">
        <f>D32-'Rate Base'!C31</f>
        <v>0</v>
      </c>
      <c r="V32" s="361"/>
      <c r="W32" s="468"/>
    </row>
    <row r="33" spans="1:23">
      <c r="A33" s="365">
        <f t="shared" si="0"/>
        <v>27</v>
      </c>
      <c r="B33" s="374"/>
      <c r="C33" s="377"/>
      <c r="D33" s="495"/>
      <c r="E33" s="494"/>
      <c r="F33" s="494"/>
      <c r="G33" s="494"/>
      <c r="H33" s="494"/>
      <c r="I33" s="494"/>
      <c r="J33" s="494"/>
      <c r="K33" s="494"/>
      <c r="L33" s="494"/>
      <c r="M33" s="494"/>
      <c r="N33" s="494"/>
      <c r="O33" s="494"/>
      <c r="P33" s="494"/>
      <c r="Q33" s="494"/>
      <c r="R33" s="494"/>
      <c r="S33" s="494"/>
      <c r="U33" s="473"/>
      <c r="V33" s="361"/>
      <c r="W33" s="468"/>
    </row>
    <row r="34" spans="1:23">
      <c r="A34" s="365">
        <f t="shared" si="0"/>
        <v>28</v>
      </c>
      <c r="B34" s="386"/>
      <c r="C34" s="377" t="s">
        <v>243</v>
      </c>
      <c r="D34" s="474">
        <f t="shared" ref="D34:S34" si="8">SUM(D51:D52)</f>
        <v>524878902.11545134</v>
      </c>
      <c r="E34" s="474">
        <f t="shared" si="8"/>
        <v>148808269.38341588</v>
      </c>
      <c r="F34" s="474">
        <f t="shared" si="8"/>
        <v>0</v>
      </c>
      <c r="G34" s="474">
        <f t="shared" si="8"/>
        <v>376070632.73203546</v>
      </c>
      <c r="H34" s="474">
        <f t="shared" si="8"/>
        <v>0</v>
      </c>
      <c r="I34" s="474">
        <f t="shared" si="8"/>
        <v>136456446.23482007</v>
      </c>
      <c r="J34" s="474">
        <f t="shared" si="8"/>
        <v>9674016.2085957993</v>
      </c>
      <c r="K34" s="474">
        <f t="shared" si="8"/>
        <v>2677806.94</v>
      </c>
      <c r="L34" s="474">
        <f t="shared" si="8"/>
        <v>0</v>
      </c>
      <c r="M34" s="474">
        <f t="shared" si="8"/>
        <v>0</v>
      </c>
      <c r="N34" s="474">
        <f t="shared" si="8"/>
        <v>304855463.00203544</v>
      </c>
      <c r="O34" s="474">
        <f t="shared" si="8"/>
        <v>58696828.660000004</v>
      </c>
      <c r="P34" s="474">
        <f t="shared" si="8"/>
        <v>12518341.07</v>
      </c>
      <c r="Q34" s="474">
        <f t="shared" si="8"/>
        <v>0</v>
      </c>
      <c r="R34" s="474">
        <f t="shared" si="8"/>
        <v>0</v>
      </c>
      <c r="S34" s="474">
        <f t="shared" si="8"/>
        <v>0</v>
      </c>
      <c r="U34" s="473">
        <f>D34-SUM('Rate Base'!C48:C49)</f>
        <v>0</v>
      </c>
      <c r="V34" s="361"/>
      <c r="W34" s="468"/>
    </row>
    <row r="35" spans="1:23">
      <c r="A35" s="365">
        <f t="shared" si="0"/>
        <v>29</v>
      </c>
      <c r="B35" s="386"/>
      <c r="C35" s="377"/>
      <c r="D35" s="460"/>
      <c r="E35" s="460"/>
      <c r="F35" s="460"/>
      <c r="G35" s="460"/>
      <c r="H35" s="460"/>
      <c r="I35" s="460"/>
      <c r="J35" s="460"/>
      <c r="K35" s="460"/>
      <c r="L35" s="460"/>
      <c r="M35" s="460"/>
      <c r="N35" s="460"/>
      <c r="O35" s="460"/>
      <c r="P35" s="460"/>
      <c r="Q35" s="460"/>
      <c r="R35" s="460"/>
      <c r="S35" s="460"/>
      <c r="U35" s="473"/>
      <c r="V35" s="361"/>
      <c r="W35" s="468"/>
    </row>
    <row r="36" spans="1:23">
      <c r="A36" s="365">
        <f t="shared" si="0"/>
        <v>30</v>
      </c>
      <c r="B36" s="374"/>
      <c r="C36" s="377" t="s">
        <v>208</v>
      </c>
      <c r="D36" s="457"/>
      <c r="U36" s="473"/>
      <c r="V36" s="361"/>
      <c r="W36" s="468"/>
    </row>
    <row r="37" spans="1:23">
      <c r="A37" s="365">
        <f t="shared" si="0"/>
        <v>31</v>
      </c>
      <c r="B37" s="386">
        <v>389</v>
      </c>
      <c r="C37" s="379" t="s">
        <v>244</v>
      </c>
      <c r="D37" s="361">
        <f t="shared" ref="D37:D46" si="9">SUM(E37:G37)</f>
        <v>1381083.16</v>
      </c>
      <c r="E37" s="361">
        <f t="shared" ref="E37:E46" si="10">SUM(H37:K37)</f>
        <v>391550.49685912929</v>
      </c>
      <c r="F37" s="361">
        <f t="shared" ref="F37:F46" si="11">SUM(L37:M37)</f>
        <v>0</v>
      </c>
      <c r="G37" s="361">
        <f t="shared" ref="G37:G46" si="12">SUM(N37:S37)</f>
        <v>989532.66314087063</v>
      </c>
      <c r="H37" s="361">
        <f>+('Rate Base'!$C$34)*'Function Allocators'!D39</f>
        <v>0</v>
      </c>
      <c r="I37" s="361">
        <f>+('Rate Base'!$C$34)*'Function Allocators'!E39</f>
        <v>359049.86694798153</v>
      </c>
      <c r="J37" s="361">
        <f>+('Rate Base'!$C$34)*'Function Allocators'!F39</f>
        <v>25454.673109188774</v>
      </c>
      <c r="K37" s="361">
        <f>+('Rate Base'!$C$34)*'Function Allocators'!G39</f>
        <v>7045.9568019589888</v>
      </c>
      <c r="L37" s="361">
        <f>+('Rate Base'!$C$34)*'Function Allocators'!H39</f>
        <v>0</v>
      </c>
      <c r="M37" s="361">
        <f>+('Rate Base'!$C$34)*'Function Allocators'!I39</f>
        <v>0</v>
      </c>
      <c r="N37" s="361">
        <f>+('Rate Base'!$C$34)*'Function Allocators'!J39</f>
        <v>802148.35172305151</v>
      </c>
      <c r="O37" s="361">
        <f>+('Rate Base'!$C$34)*'Function Allocators'!K39</f>
        <v>154445.53263811779</v>
      </c>
      <c r="P37" s="361">
        <f>+('Rate Base'!$C$34)*'Function Allocators'!L39</f>
        <v>32938.778779701373</v>
      </c>
      <c r="Q37" s="361">
        <f>+('Rate Base'!$C$34)*'Function Allocators'!M39</f>
        <v>0</v>
      </c>
      <c r="R37" s="361">
        <f>+('Rate Base'!$C$34)*'Function Allocators'!N39</f>
        <v>0</v>
      </c>
      <c r="S37" s="361">
        <f>+('Rate Base'!$C$34)*'Function Allocators'!O39</f>
        <v>0</v>
      </c>
      <c r="U37" s="473">
        <f>D37-'Rate Base'!C34</f>
        <v>0</v>
      </c>
      <c r="V37" s="361"/>
      <c r="W37" s="468"/>
    </row>
    <row r="38" spans="1:23">
      <c r="A38" s="365">
        <f t="shared" si="0"/>
        <v>32</v>
      </c>
      <c r="B38" s="386">
        <v>390</v>
      </c>
      <c r="C38" s="379" t="s">
        <v>82</v>
      </c>
      <c r="D38" s="457">
        <f t="shared" si="9"/>
        <v>24503745.149999999</v>
      </c>
      <c r="E38" s="456">
        <f t="shared" si="10"/>
        <v>6947049.8709085546</v>
      </c>
      <c r="F38" s="456">
        <f t="shared" si="11"/>
        <v>0</v>
      </c>
      <c r="G38" s="456">
        <f t="shared" si="12"/>
        <v>17556695.279091444</v>
      </c>
      <c r="H38" s="493">
        <f>+('Rate Base'!$C$35)*'Function Allocators'!D40</f>
        <v>0</v>
      </c>
      <c r="I38" s="493">
        <f>+('Rate Base'!$C$35)*'Function Allocators'!E40</f>
        <v>6370410.3349104235</v>
      </c>
      <c r="J38" s="493">
        <f>+('Rate Base'!$C$35)*'Function Allocators'!F40</f>
        <v>451627.27401883586</v>
      </c>
      <c r="K38" s="493">
        <f>+('Rate Base'!$C$35)*'Function Allocators'!G40</f>
        <v>125012.26197929462</v>
      </c>
      <c r="L38" s="493">
        <f>+('Rate Base'!$C$35)*'Function Allocators'!H40</f>
        <v>0</v>
      </c>
      <c r="M38" s="493">
        <f>+('Rate Base'!$C$35)*'Function Allocators'!I40</f>
        <v>0</v>
      </c>
      <c r="N38" s="493">
        <f>+('Rate Base'!$C$35)*'Function Allocators'!J40</f>
        <v>14232045.797382843</v>
      </c>
      <c r="O38" s="493">
        <f>+('Rate Base'!$C$35)*'Function Allocators'!K40</f>
        <v>2740236.128373649</v>
      </c>
      <c r="P38" s="493">
        <f>+('Rate Base'!$C$35)*'Function Allocators'!L40</f>
        <v>584413.35333495075</v>
      </c>
      <c r="Q38" s="493">
        <f>+('Rate Base'!$C$35)*'Function Allocators'!M40</f>
        <v>0</v>
      </c>
      <c r="R38" s="493">
        <f>+('Rate Base'!$C$35)*'Function Allocators'!N40</f>
        <v>0</v>
      </c>
      <c r="S38" s="493">
        <f>+('Rate Base'!$C$35)*'Function Allocators'!O40</f>
        <v>0</v>
      </c>
      <c r="U38" s="473">
        <f>D38-'Rate Base'!C35</f>
        <v>0</v>
      </c>
      <c r="V38" s="361"/>
      <c r="W38" s="468"/>
    </row>
    <row r="39" spans="1:23">
      <c r="A39" s="365">
        <f t="shared" si="0"/>
        <v>33</v>
      </c>
      <c r="B39" s="386">
        <v>391</v>
      </c>
      <c r="C39" s="379" t="s">
        <v>245</v>
      </c>
      <c r="D39" s="457">
        <f t="shared" si="9"/>
        <v>5812745.9799999986</v>
      </c>
      <c r="E39" s="456">
        <f t="shared" si="10"/>
        <v>1647969.9720507096</v>
      </c>
      <c r="F39" s="456">
        <f t="shared" si="11"/>
        <v>0</v>
      </c>
      <c r="G39" s="456">
        <f t="shared" si="12"/>
        <v>4164776.0079492894</v>
      </c>
      <c r="H39" s="493">
        <f>+('Rate Base'!$C$36)*'Function Allocators'!D41</f>
        <v>0</v>
      </c>
      <c r="I39" s="493">
        <f>+('Rate Base'!$C$36)*'Function Allocators'!E41</f>
        <v>1511180.3048278526</v>
      </c>
      <c r="J39" s="493">
        <f>+('Rate Base'!$C$36)*'Function Allocators'!F41</f>
        <v>107134.42396014091</v>
      </c>
      <c r="K39" s="493">
        <f>+('Rate Base'!$C$36)*'Function Allocators'!G41</f>
        <v>29655.243262716172</v>
      </c>
      <c r="L39" s="493">
        <f>+('Rate Base'!$C$36)*'Function Allocators'!H41</f>
        <v>0</v>
      </c>
      <c r="M39" s="493">
        <f>+('Rate Base'!$C$36)*'Function Allocators'!I41</f>
        <v>0</v>
      </c>
      <c r="N39" s="493">
        <f>+('Rate Base'!$C$36)*'Function Allocators'!J41</f>
        <v>3376107.0599411214</v>
      </c>
      <c r="O39" s="493">
        <f>+('Rate Base'!$C$36)*'Function Allocators'!K41</f>
        <v>650035.18612968817</v>
      </c>
      <c r="P39" s="493">
        <f>+('Rate Base'!$C$36)*'Function Allocators'!L41</f>
        <v>138633.76187847983</v>
      </c>
      <c r="Q39" s="493">
        <f>+('Rate Base'!$C$36)*'Function Allocators'!M41</f>
        <v>0</v>
      </c>
      <c r="R39" s="493">
        <f>+('Rate Base'!$C$36)*'Function Allocators'!N41</f>
        <v>0</v>
      </c>
      <c r="S39" s="493">
        <f>+('Rate Base'!$C$36)*'Function Allocators'!O41</f>
        <v>0</v>
      </c>
      <c r="U39" s="473">
        <f>D39-'Rate Base'!C36</f>
        <v>0</v>
      </c>
      <c r="V39" s="361"/>
      <c r="W39" s="468"/>
    </row>
    <row r="40" spans="1:23">
      <c r="A40" s="365">
        <f t="shared" si="0"/>
        <v>34</v>
      </c>
      <c r="B40" s="386">
        <v>392</v>
      </c>
      <c r="C40" s="379" t="s">
        <v>246</v>
      </c>
      <c r="D40" s="457">
        <f t="shared" si="9"/>
        <v>17786454.299999997</v>
      </c>
      <c r="E40" s="456">
        <f t="shared" si="10"/>
        <v>5042632.6380861783</v>
      </c>
      <c r="F40" s="456">
        <f t="shared" si="11"/>
        <v>0</v>
      </c>
      <c r="G40" s="456">
        <f t="shared" si="12"/>
        <v>12743821.66191382</v>
      </c>
      <c r="H40" s="493">
        <f>+('Rate Base'!$C$37)*'Function Allocators'!D42</f>
        <v>0</v>
      </c>
      <c r="I40" s="493">
        <f>+('Rate Base'!$C$37)*'Function Allocators'!E42</f>
        <v>4624069.1616943274</v>
      </c>
      <c r="J40" s="493">
        <f>+('Rate Base'!$C$37)*'Function Allocators'!F42</f>
        <v>327821.22980778723</v>
      </c>
      <c r="K40" s="493">
        <f>+('Rate Base'!$C$37)*'Function Allocators'!G42</f>
        <v>90742.246584063556</v>
      </c>
      <c r="L40" s="493">
        <f>+('Rate Base'!$C$37)*'Function Allocators'!H42</f>
        <v>0</v>
      </c>
      <c r="M40" s="493">
        <f>+('Rate Base'!$C$37)*'Function Allocators'!I42</f>
        <v>0</v>
      </c>
      <c r="N40" s="493">
        <f>+('Rate Base'!$C$37)*'Function Allocators'!J42</f>
        <v>10330569.08734039</v>
      </c>
      <c r="O40" s="493">
        <f>+('Rate Base'!$C$37)*'Function Allocators'!K42</f>
        <v>1989046.3425149869</v>
      </c>
      <c r="P40" s="493">
        <f>+('Rate Base'!$C$37)*'Function Allocators'!L42</f>
        <v>424206.23205844336</v>
      </c>
      <c r="Q40" s="493">
        <f>+('Rate Base'!$C$37)*'Function Allocators'!M42</f>
        <v>0</v>
      </c>
      <c r="R40" s="493">
        <f>+('Rate Base'!$C$37)*'Function Allocators'!N42</f>
        <v>0</v>
      </c>
      <c r="S40" s="493">
        <f>+('Rate Base'!$C$37)*'Function Allocators'!O42</f>
        <v>0</v>
      </c>
      <c r="U40" s="473">
        <f>D40-'Rate Base'!C37</f>
        <v>0</v>
      </c>
      <c r="V40" s="361"/>
      <c r="W40" s="468"/>
    </row>
    <row r="41" spans="1:23">
      <c r="A41" s="365">
        <f t="shared" si="0"/>
        <v>35</v>
      </c>
      <c r="B41" s="386">
        <v>393</v>
      </c>
      <c r="C41" s="379" t="s">
        <v>247</v>
      </c>
      <c r="D41" s="457">
        <f t="shared" si="9"/>
        <v>333146.71000000002</v>
      </c>
      <c r="E41" s="456">
        <f t="shared" si="10"/>
        <v>94450.329716194829</v>
      </c>
      <c r="F41" s="456">
        <f t="shared" si="11"/>
        <v>0</v>
      </c>
      <c r="G41" s="456">
        <f t="shared" si="12"/>
        <v>238696.38028380519</v>
      </c>
      <c r="H41" s="493">
        <f>+('Rate Base'!$C$38)*'Function Allocators'!D43</f>
        <v>0</v>
      </c>
      <c r="I41" s="493">
        <f>+('Rate Base'!$C$38)*'Function Allocators'!E43</f>
        <v>86610.484700760368</v>
      </c>
      <c r="J41" s="493">
        <f>+('Rate Base'!$C$38)*'Function Allocators'!F43</f>
        <v>6140.2099787037523</v>
      </c>
      <c r="K41" s="493">
        <f>+('Rate Base'!$C$38)*'Function Allocators'!G43</f>
        <v>1699.6350367307055</v>
      </c>
      <c r="L41" s="493">
        <f>+('Rate Base'!$C$38)*'Function Allocators'!H43</f>
        <v>0</v>
      </c>
      <c r="M41" s="493">
        <f>+('Rate Base'!$C$38)*'Function Allocators'!I43</f>
        <v>0</v>
      </c>
      <c r="N41" s="493">
        <f>+('Rate Base'!$C$38)*'Function Allocators'!J43</f>
        <v>193495.28837094607</v>
      </c>
      <c r="O41" s="493">
        <f>+('Rate Base'!$C$38)*'Function Allocators'!K43</f>
        <v>37255.556046738391</v>
      </c>
      <c r="P41" s="493">
        <f>+('Rate Base'!$C$38)*'Function Allocators'!L43</f>
        <v>7945.5358661207101</v>
      </c>
      <c r="Q41" s="493">
        <f>+('Rate Base'!$C$38)*'Function Allocators'!M43</f>
        <v>0</v>
      </c>
      <c r="R41" s="493">
        <f>+('Rate Base'!$C$38)*'Function Allocators'!N43</f>
        <v>0</v>
      </c>
      <c r="S41" s="493">
        <f>+('Rate Base'!$C$38)*'Function Allocators'!O43</f>
        <v>0</v>
      </c>
      <c r="U41" s="473">
        <f>D41-'Rate Base'!C38</f>
        <v>0</v>
      </c>
      <c r="V41" s="361"/>
      <c r="W41" s="468"/>
    </row>
    <row r="42" spans="1:23">
      <c r="A42" s="365">
        <f t="shared" si="0"/>
        <v>36</v>
      </c>
      <c r="B42" s="386">
        <v>394</v>
      </c>
      <c r="C42" s="379" t="s">
        <v>248</v>
      </c>
      <c r="D42" s="457">
        <f t="shared" si="9"/>
        <v>7175365.2899999982</v>
      </c>
      <c r="E42" s="456">
        <f t="shared" si="10"/>
        <v>2034285.788008051</v>
      </c>
      <c r="F42" s="456">
        <f t="shared" si="11"/>
        <v>0</v>
      </c>
      <c r="G42" s="456">
        <f t="shared" si="12"/>
        <v>5141079.5019919472</v>
      </c>
      <c r="H42" s="493">
        <f>+('Rate Base'!$C$39)*'Function Allocators'!D44</f>
        <v>0</v>
      </c>
      <c r="I42" s="493">
        <f>+('Rate Base'!$C$39)*'Function Allocators'!E44</f>
        <v>1865429.995307208</v>
      </c>
      <c r="J42" s="493">
        <f>+('Rate Base'!$C$39)*'Function Allocators'!F44</f>
        <v>132248.79079400943</v>
      </c>
      <c r="K42" s="493">
        <f>+('Rate Base'!$C$39)*'Function Allocators'!G44</f>
        <v>36607.001906833706</v>
      </c>
      <c r="L42" s="493">
        <f>+('Rate Base'!$C$39)*'Function Allocators'!H44</f>
        <v>0</v>
      </c>
      <c r="M42" s="493">
        <f>+('Rate Base'!$C$39)*'Function Allocators'!I44</f>
        <v>0</v>
      </c>
      <c r="N42" s="493">
        <f>+('Rate Base'!$C$39)*'Function Allocators'!J44</f>
        <v>4167531.4036732549</v>
      </c>
      <c r="O42" s="493">
        <f>+('Rate Base'!$C$39)*'Function Allocators'!K44</f>
        <v>802415.91975324089</v>
      </c>
      <c r="P42" s="493">
        <f>+('Rate Base'!$C$39)*'Function Allocators'!L44</f>
        <v>171132.17856545129</v>
      </c>
      <c r="Q42" s="493">
        <f>+('Rate Base'!$C$39)*'Function Allocators'!M44</f>
        <v>0</v>
      </c>
      <c r="R42" s="493">
        <f>+('Rate Base'!$C$39)*'Function Allocators'!N44</f>
        <v>0</v>
      </c>
      <c r="S42" s="493">
        <f>+('Rate Base'!$C$39)*'Function Allocators'!O44</f>
        <v>0</v>
      </c>
      <c r="U42" s="473">
        <f>D42-'Rate Base'!C39</f>
        <v>0</v>
      </c>
      <c r="V42" s="361"/>
      <c r="W42" s="468"/>
    </row>
    <row r="43" spans="1:23">
      <c r="A43" s="365">
        <f t="shared" si="0"/>
        <v>37</v>
      </c>
      <c r="B43" s="386">
        <v>395</v>
      </c>
      <c r="C43" s="379" t="s">
        <v>249</v>
      </c>
      <c r="D43" s="457">
        <f t="shared" si="9"/>
        <v>90479.96</v>
      </c>
      <c r="E43" s="456">
        <f t="shared" si="10"/>
        <v>25651.947920206443</v>
      </c>
      <c r="F43" s="456">
        <f t="shared" si="11"/>
        <v>0</v>
      </c>
      <c r="G43" s="456">
        <f t="shared" si="12"/>
        <v>64828.01207979356</v>
      </c>
      <c r="H43" s="493">
        <f>+('Rate Base'!$C$40)*'Function Allocators'!D45</f>
        <v>0</v>
      </c>
      <c r="I43" s="493">
        <f>+('Rate Base'!$C$40)*'Function Allocators'!E45</f>
        <v>23522.709233134585</v>
      </c>
      <c r="J43" s="493">
        <f>+('Rate Base'!$C$40)*'Function Allocators'!F45</f>
        <v>1667.6315166513766</v>
      </c>
      <c r="K43" s="493">
        <f>+('Rate Base'!$C$40)*'Function Allocators'!G45</f>
        <v>461.60717042048157</v>
      </c>
      <c r="L43" s="493">
        <f>+('Rate Base'!$C$40)*'Function Allocators'!H45</f>
        <v>0</v>
      </c>
      <c r="M43" s="493">
        <f>+('Rate Base'!$C$40)*'Function Allocators'!I45</f>
        <v>0</v>
      </c>
      <c r="N43" s="493">
        <f>+('Rate Base'!$C$40)*'Function Allocators'!J45</f>
        <v>52551.760009851714</v>
      </c>
      <c r="O43" s="493">
        <f>+('Rate Base'!$C$40)*'Function Allocators'!K45</f>
        <v>10118.308600095879</v>
      </c>
      <c r="P43" s="493">
        <f>+('Rate Base'!$C$40)*'Function Allocators'!L45</f>
        <v>2157.9434698459645</v>
      </c>
      <c r="Q43" s="493">
        <f>+('Rate Base'!$C$40)*'Function Allocators'!M45</f>
        <v>0</v>
      </c>
      <c r="R43" s="493">
        <f>+('Rate Base'!$C$40)*'Function Allocators'!N45</f>
        <v>0</v>
      </c>
      <c r="S43" s="493">
        <f>+('Rate Base'!$C$40)*'Function Allocators'!O45</f>
        <v>0</v>
      </c>
      <c r="U43" s="473">
        <f>D43-'Rate Base'!C40</f>
        <v>0</v>
      </c>
      <c r="V43" s="361"/>
      <c r="W43" s="468"/>
    </row>
    <row r="44" spans="1:23">
      <c r="A44" s="365">
        <f t="shared" si="0"/>
        <v>38</v>
      </c>
      <c r="B44" s="386">
        <v>396</v>
      </c>
      <c r="C44" s="379" t="s">
        <v>250</v>
      </c>
      <c r="D44" s="457">
        <f t="shared" si="9"/>
        <v>4069513.6199999996</v>
      </c>
      <c r="E44" s="456">
        <f t="shared" si="10"/>
        <v>1153746.6577218953</v>
      </c>
      <c r="F44" s="456">
        <f t="shared" si="11"/>
        <v>0</v>
      </c>
      <c r="G44" s="456">
        <f t="shared" si="12"/>
        <v>2915766.9622781044</v>
      </c>
      <c r="H44" s="493">
        <f>+('Rate Base'!$C$41)*'Function Allocators'!D46</f>
        <v>0</v>
      </c>
      <c r="I44" s="493">
        <f>+('Rate Base'!$C$41)*'Function Allocators'!E46</f>
        <v>1057979.9726209089</v>
      </c>
      <c r="J44" s="493">
        <f>+('Rate Base'!$C$41)*'Function Allocators'!F46</f>
        <v>75004.997461913488</v>
      </c>
      <c r="K44" s="493">
        <f>+('Rate Base'!$C$41)*'Function Allocators'!G46</f>
        <v>20761.687639072905</v>
      </c>
      <c r="L44" s="493">
        <f>+('Rate Base'!$C$41)*'Function Allocators'!H46</f>
        <v>0</v>
      </c>
      <c r="M44" s="493">
        <f>+('Rate Base'!$C$41)*'Function Allocators'!I46</f>
        <v>0</v>
      </c>
      <c r="N44" s="493">
        <f>+('Rate Base'!$C$41)*'Function Allocators'!J46</f>
        <v>2363618.4533576593</v>
      </c>
      <c r="O44" s="493">
        <f>+('Rate Base'!$C$41)*'Function Allocators'!K46</f>
        <v>455090.76992798527</v>
      </c>
      <c r="P44" s="493">
        <f>+('Rate Base'!$C$41)*'Function Allocators'!L46</f>
        <v>97057.738992459883</v>
      </c>
      <c r="Q44" s="493">
        <f>+('Rate Base'!$C$41)*'Function Allocators'!M46</f>
        <v>0</v>
      </c>
      <c r="R44" s="493">
        <f>+('Rate Base'!$C$41)*'Function Allocators'!N46</f>
        <v>0</v>
      </c>
      <c r="S44" s="493">
        <f>+('Rate Base'!$C$41)*'Function Allocators'!O46</f>
        <v>0</v>
      </c>
      <c r="U44" s="473">
        <f>D44-'Rate Base'!C41</f>
        <v>0</v>
      </c>
      <c r="V44" s="361"/>
      <c r="W44" s="468"/>
    </row>
    <row r="45" spans="1:23">
      <c r="A45" s="365">
        <f t="shared" si="0"/>
        <v>39</v>
      </c>
      <c r="B45" s="386">
        <v>397</v>
      </c>
      <c r="C45" s="379" t="s">
        <v>251</v>
      </c>
      <c r="D45" s="457">
        <f t="shared" si="9"/>
        <v>4309880.4699999988</v>
      </c>
      <c r="E45" s="456">
        <f t="shared" si="10"/>
        <v>1221892.9955180665</v>
      </c>
      <c r="F45" s="456">
        <f t="shared" si="11"/>
        <v>0</v>
      </c>
      <c r="G45" s="456">
        <f t="shared" si="12"/>
        <v>3087987.4744819324</v>
      </c>
      <c r="H45" s="493">
        <f>+('Rate Base'!$C$42)*'Function Allocators'!D47</f>
        <v>0</v>
      </c>
      <c r="I45" s="493">
        <f>+('Rate Base'!$C$42)*'Function Allocators'!E47</f>
        <v>1120469.8269691477</v>
      </c>
      <c r="J45" s="493">
        <f>+('Rate Base'!$C$42)*'Function Allocators'!F47</f>
        <v>79435.186584656389</v>
      </c>
      <c r="K45" s="493">
        <f>+('Rate Base'!$C$42)*'Function Allocators'!G47</f>
        <v>21987.98196426253</v>
      </c>
      <c r="L45" s="493">
        <f>+('Rate Base'!$C$42)*'Function Allocators'!H47</f>
        <v>0</v>
      </c>
      <c r="M45" s="493">
        <f>+('Rate Base'!$C$42)*'Function Allocators'!I47</f>
        <v>0</v>
      </c>
      <c r="N45" s="493">
        <f>+('Rate Base'!$C$42)*'Function Allocators'!J47</f>
        <v>2503226.1743991361</v>
      </c>
      <c r="O45" s="493">
        <f>+('Rate Base'!$C$42)*'Function Allocators'!K47</f>
        <v>481970.82121815992</v>
      </c>
      <c r="P45" s="493">
        <f>+('Rate Base'!$C$42)*'Function Allocators'!L47</f>
        <v>102790.47886463648</v>
      </c>
      <c r="Q45" s="493">
        <f>+('Rate Base'!$C$42)*'Function Allocators'!M47</f>
        <v>0</v>
      </c>
      <c r="R45" s="493">
        <f>+('Rate Base'!$C$42)*'Function Allocators'!N47</f>
        <v>0</v>
      </c>
      <c r="S45" s="493">
        <f>+('Rate Base'!$C$42)*'Function Allocators'!O47</f>
        <v>0</v>
      </c>
      <c r="U45" s="473">
        <f>D45-'Rate Base'!C42</f>
        <v>0</v>
      </c>
      <c r="V45" s="361"/>
      <c r="W45" s="468"/>
    </row>
    <row r="46" spans="1:23">
      <c r="A46" s="365">
        <f t="shared" si="0"/>
        <v>40</v>
      </c>
      <c r="B46" s="386">
        <v>398</v>
      </c>
      <c r="C46" s="379" t="s">
        <v>252</v>
      </c>
      <c r="D46" s="476">
        <f t="shared" si="9"/>
        <v>414872.42000000004</v>
      </c>
      <c r="E46" s="475">
        <f t="shared" si="10"/>
        <v>117620.36268992622</v>
      </c>
      <c r="F46" s="475">
        <f t="shared" si="11"/>
        <v>0</v>
      </c>
      <c r="G46" s="475">
        <f t="shared" si="12"/>
        <v>297252.05731007381</v>
      </c>
      <c r="H46" s="492">
        <f>+('Rate Base'!$C$43)*'Function Allocators'!D48</f>
        <v>0</v>
      </c>
      <c r="I46" s="492">
        <f>+('Rate Base'!$C$43)*'Function Allocators'!E48</f>
        <v>107857.29021660588</v>
      </c>
      <c r="J46" s="492">
        <f>+('Rate Base'!$C$43)*'Function Allocators'!F48</f>
        <v>7646.4923611971872</v>
      </c>
      <c r="K46" s="492">
        <f>+('Rate Base'!$C$43)*'Function Allocators'!G48</f>
        <v>2116.5801121231448</v>
      </c>
      <c r="L46" s="492">
        <f>+('Rate Base'!$C$43)*'Function Allocators'!H48</f>
        <v>0</v>
      </c>
      <c r="M46" s="492">
        <f>+('Rate Base'!$C$43)*'Function Allocators'!I48</f>
        <v>0</v>
      </c>
      <c r="N46" s="492">
        <f>+('Rate Base'!$C$43)*'Function Allocators'!J48</f>
        <v>240962.48330068236</v>
      </c>
      <c r="O46" s="492">
        <f>+('Rate Base'!$C$43)*'Function Allocators'!K48</f>
        <v>46394.883189919514</v>
      </c>
      <c r="P46" s="492">
        <f>+('Rate Base'!$C$43)*'Function Allocators'!L48</f>
        <v>9894.6908194719854</v>
      </c>
      <c r="Q46" s="492">
        <f>+('Rate Base'!$C$43)*'Function Allocators'!M48</f>
        <v>0</v>
      </c>
      <c r="R46" s="492">
        <f>+('Rate Base'!$C$43)*'Function Allocators'!N48</f>
        <v>0</v>
      </c>
      <c r="S46" s="492">
        <f>+('Rate Base'!$C$43)*'Function Allocators'!O48</f>
        <v>0</v>
      </c>
      <c r="U46" s="473">
        <f>D46-'Rate Base'!C43</f>
        <v>0</v>
      </c>
      <c r="V46" s="361"/>
      <c r="W46" s="468"/>
    </row>
    <row r="47" spans="1:23">
      <c r="A47" s="365">
        <f t="shared" si="0"/>
        <v>41</v>
      </c>
      <c r="B47" s="374"/>
      <c r="C47" s="407" t="s">
        <v>102</v>
      </c>
      <c r="D47" s="474">
        <f t="shared" ref="D47:S47" si="13">SUM(D37:D46)</f>
        <v>65877287.059999995</v>
      </c>
      <c r="E47" s="474">
        <f t="shared" si="13"/>
        <v>18676851.059478913</v>
      </c>
      <c r="F47" s="474">
        <f t="shared" si="13"/>
        <v>0</v>
      </c>
      <c r="G47" s="474">
        <f t="shared" si="13"/>
        <v>47200436.000521079</v>
      </c>
      <c r="H47" s="474">
        <f t="shared" si="13"/>
        <v>0</v>
      </c>
      <c r="I47" s="474">
        <f t="shared" si="13"/>
        <v>17126579.947428349</v>
      </c>
      <c r="J47" s="474">
        <f t="shared" si="13"/>
        <v>1214180.9095930844</v>
      </c>
      <c r="K47" s="474">
        <f t="shared" si="13"/>
        <v>336090.20245747681</v>
      </c>
      <c r="L47" s="474">
        <f t="shared" si="13"/>
        <v>0</v>
      </c>
      <c r="M47" s="474">
        <f t="shared" si="13"/>
        <v>0</v>
      </c>
      <c r="N47" s="474">
        <f t="shared" si="13"/>
        <v>38262255.859498933</v>
      </c>
      <c r="O47" s="474">
        <f t="shared" si="13"/>
        <v>7367009.4483925821</v>
      </c>
      <c r="P47" s="474">
        <f t="shared" si="13"/>
        <v>1571170.6926295615</v>
      </c>
      <c r="Q47" s="474">
        <f t="shared" si="13"/>
        <v>0</v>
      </c>
      <c r="R47" s="474">
        <f t="shared" si="13"/>
        <v>0</v>
      </c>
      <c r="S47" s="474">
        <f t="shared" si="13"/>
        <v>0</v>
      </c>
      <c r="U47" s="473">
        <f>D47-'Rate Base'!C44</f>
        <v>0</v>
      </c>
      <c r="V47" s="361"/>
      <c r="W47" s="468"/>
    </row>
    <row r="48" spans="1:23">
      <c r="A48" s="365">
        <f t="shared" si="0"/>
        <v>42</v>
      </c>
      <c r="B48" s="374"/>
      <c r="C48" s="409"/>
      <c r="D48" s="460"/>
      <c r="U48" s="473"/>
      <c r="V48" s="361"/>
      <c r="W48" s="468"/>
    </row>
    <row r="49" spans="1:23">
      <c r="A49" s="365">
        <f t="shared" si="0"/>
        <v>43</v>
      </c>
      <c r="B49" s="386"/>
      <c r="C49" s="377" t="s">
        <v>253</v>
      </c>
      <c r="D49" s="460"/>
      <c r="U49" s="473"/>
      <c r="V49" s="361"/>
      <c r="W49" s="468"/>
    </row>
    <row r="50" spans="1:23">
      <c r="A50" s="365">
        <f t="shared" si="0"/>
        <v>44</v>
      </c>
      <c r="B50" s="386"/>
      <c r="C50" s="379" t="s">
        <v>205</v>
      </c>
      <c r="D50" s="491">
        <f t="shared" ref="D50:S50" si="14">+D9</f>
        <v>1796627</v>
      </c>
      <c r="E50" s="491">
        <f t="shared" si="14"/>
        <v>509361</v>
      </c>
      <c r="F50" s="491">
        <f t="shared" si="14"/>
        <v>0</v>
      </c>
      <c r="G50" s="491">
        <f t="shared" si="14"/>
        <v>1287266</v>
      </c>
      <c r="H50" s="491">
        <f t="shared" si="14"/>
        <v>0</v>
      </c>
      <c r="I50" s="491">
        <f t="shared" si="14"/>
        <v>467081.56274002139</v>
      </c>
      <c r="J50" s="491">
        <f t="shared" si="14"/>
        <v>33113.529872436375</v>
      </c>
      <c r="K50" s="491">
        <f t="shared" si="14"/>
        <v>9165.9594307397056</v>
      </c>
      <c r="L50" s="491">
        <f t="shared" si="14"/>
        <v>0</v>
      </c>
      <c r="M50" s="491">
        <f t="shared" si="14"/>
        <v>0</v>
      </c>
      <c r="N50" s="491">
        <f t="shared" si="14"/>
        <v>1043500.4721124617</v>
      </c>
      <c r="O50" s="491">
        <f t="shared" si="14"/>
        <v>200915.43649918231</v>
      </c>
      <c r="P50" s="491">
        <f t="shared" si="14"/>
        <v>42849.469345158504</v>
      </c>
      <c r="Q50" s="491">
        <f t="shared" si="14"/>
        <v>0</v>
      </c>
      <c r="R50" s="491">
        <f t="shared" si="14"/>
        <v>0</v>
      </c>
      <c r="S50" s="491">
        <f t="shared" si="14"/>
        <v>0</v>
      </c>
      <c r="U50" s="473">
        <f>D50-'Rate Base'!C47</f>
        <v>0.56999999983236194</v>
      </c>
      <c r="V50" s="361"/>
      <c r="W50" s="468"/>
    </row>
    <row r="51" spans="1:23">
      <c r="A51" s="365">
        <f t="shared" si="0"/>
        <v>45</v>
      </c>
      <c r="B51" s="386"/>
      <c r="C51" s="379" t="s">
        <v>207</v>
      </c>
      <c r="D51" s="478">
        <f t="shared" ref="D51:S51" si="15">+D17</f>
        <v>18791587.249999993</v>
      </c>
      <c r="E51" s="478">
        <f t="shared" si="15"/>
        <v>18791587.249999993</v>
      </c>
      <c r="F51" s="478">
        <f t="shared" si="15"/>
        <v>0</v>
      </c>
      <c r="G51" s="478">
        <f t="shared" si="15"/>
        <v>0</v>
      </c>
      <c r="H51" s="478">
        <f t="shared" si="15"/>
        <v>0</v>
      </c>
      <c r="I51" s="478">
        <f t="shared" si="15"/>
        <v>18791587.249999993</v>
      </c>
      <c r="J51" s="478">
        <f t="shared" si="15"/>
        <v>0</v>
      </c>
      <c r="K51" s="478">
        <f t="shared" si="15"/>
        <v>0</v>
      </c>
      <c r="L51" s="478">
        <f t="shared" si="15"/>
        <v>0</v>
      </c>
      <c r="M51" s="478">
        <f t="shared" si="15"/>
        <v>0</v>
      </c>
      <c r="N51" s="478">
        <f t="shared" si="15"/>
        <v>0</v>
      </c>
      <c r="O51" s="478">
        <f t="shared" si="15"/>
        <v>0</v>
      </c>
      <c r="P51" s="478">
        <f t="shared" si="15"/>
        <v>0</v>
      </c>
      <c r="Q51" s="478">
        <f t="shared" si="15"/>
        <v>0</v>
      </c>
      <c r="R51" s="478">
        <f t="shared" si="15"/>
        <v>0</v>
      </c>
      <c r="S51" s="478">
        <f t="shared" si="15"/>
        <v>0</v>
      </c>
      <c r="U51" s="473">
        <f>D51-'Rate Base'!C48</f>
        <v>0</v>
      </c>
      <c r="V51" s="361"/>
      <c r="W51" s="468"/>
    </row>
    <row r="52" spans="1:23">
      <c r="A52" s="365">
        <f t="shared" si="0"/>
        <v>46</v>
      </c>
      <c r="B52" s="386"/>
      <c r="C52" s="381" t="s">
        <v>80</v>
      </c>
      <c r="D52" s="478">
        <f t="shared" ref="D52:S52" si="16">+D32</f>
        <v>506087314.86545134</v>
      </c>
      <c r="E52" s="478">
        <f t="shared" si="16"/>
        <v>130016682.13341588</v>
      </c>
      <c r="F52" s="478">
        <f t="shared" si="16"/>
        <v>0</v>
      </c>
      <c r="G52" s="478">
        <f t="shared" si="16"/>
        <v>376070632.73203546</v>
      </c>
      <c r="H52" s="478">
        <f t="shared" si="16"/>
        <v>0</v>
      </c>
      <c r="I52" s="478">
        <f t="shared" si="16"/>
        <v>117664858.98482008</v>
      </c>
      <c r="J52" s="478">
        <f t="shared" si="16"/>
        <v>9674016.2085957993</v>
      </c>
      <c r="K52" s="478">
        <f t="shared" si="16"/>
        <v>2677806.94</v>
      </c>
      <c r="L52" s="478">
        <f t="shared" si="16"/>
        <v>0</v>
      </c>
      <c r="M52" s="478">
        <f t="shared" si="16"/>
        <v>0</v>
      </c>
      <c r="N52" s="478">
        <f t="shared" si="16"/>
        <v>304855463.00203544</v>
      </c>
      <c r="O52" s="478">
        <f t="shared" si="16"/>
        <v>58696828.660000004</v>
      </c>
      <c r="P52" s="478">
        <f t="shared" si="16"/>
        <v>12518341.07</v>
      </c>
      <c r="Q52" s="478">
        <f t="shared" si="16"/>
        <v>0</v>
      </c>
      <c r="R52" s="478">
        <f t="shared" si="16"/>
        <v>0</v>
      </c>
      <c r="S52" s="478">
        <f t="shared" si="16"/>
        <v>0</v>
      </c>
      <c r="U52" s="473">
        <f>D52-'Rate Base'!C49</f>
        <v>0</v>
      </c>
      <c r="V52" s="361"/>
      <c r="W52" s="468"/>
    </row>
    <row r="53" spans="1:23">
      <c r="A53" s="365">
        <f t="shared" si="0"/>
        <v>47</v>
      </c>
      <c r="B53" s="386"/>
      <c r="C53" s="379" t="s">
        <v>208</v>
      </c>
      <c r="D53" s="482">
        <f t="shared" ref="D53:S53" si="17">+D47</f>
        <v>65877287.059999995</v>
      </c>
      <c r="E53" s="482">
        <f t="shared" si="17"/>
        <v>18676851.059478913</v>
      </c>
      <c r="F53" s="482">
        <f t="shared" si="17"/>
        <v>0</v>
      </c>
      <c r="G53" s="482">
        <f t="shared" si="17"/>
        <v>47200436.000521079</v>
      </c>
      <c r="H53" s="482">
        <f t="shared" si="17"/>
        <v>0</v>
      </c>
      <c r="I53" s="482">
        <f t="shared" si="17"/>
        <v>17126579.947428349</v>
      </c>
      <c r="J53" s="482">
        <f t="shared" si="17"/>
        <v>1214180.9095930844</v>
      </c>
      <c r="K53" s="482">
        <f t="shared" si="17"/>
        <v>336090.20245747681</v>
      </c>
      <c r="L53" s="482">
        <f t="shared" si="17"/>
        <v>0</v>
      </c>
      <c r="M53" s="482">
        <f t="shared" si="17"/>
        <v>0</v>
      </c>
      <c r="N53" s="482">
        <f t="shared" si="17"/>
        <v>38262255.859498933</v>
      </c>
      <c r="O53" s="482">
        <f t="shared" si="17"/>
        <v>7367009.4483925821</v>
      </c>
      <c r="P53" s="482">
        <f t="shared" si="17"/>
        <v>1571170.6926295615</v>
      </c>
      <c r="Q53" s="482">
        <f t="shared" si="17"/>
        <v>0</v>
      </c>
      <c r="R53" s="482">
        <f t="shared" si="17"/>
        <v>0</v>
      </c>
      <c r="S53" s="482">
        <f t="shared" si="17"/>
        <v>0</v>
      </c>
      <c r="U53" s="473">
        <f>D53-'Rate Base'!C50</f>
        <v>0</v>
      </c>
      <c r="V53" s="361"/>
      <c r="W53" s="468"/>
    </row>
    <row r="54" spans="1:23" ht="17.25" customHeight="1" thickBot="1">
      <c r="A54" s="365">
        <f t="shared" si="0"/>
        <v>48</v>
      </c>
      <c r="B54" s="386"/>
      <c r="C54" s="377" t="s">
        <v>254</v>
      </c>
      <c r="D54" s="488">
        <f t="shared" ref="D54:S54" si="18">SUM(D50:D53)</f>
        <v>592552816.17545128</v>
      </c>
      <c r="E54" s="488">
        <f t="shared" si="18"/>
        <v>167994481.44289479</v>
      </c>
      <c r="F54" s="488">
        <f t="shared" si="18"/>
        <v>0</v>
      </c>
      <c r="G54" s="488">
        <f t="shared" si="18"/>
        <v>424558334.73255652</v>
      </c>
      <c r="H54" s="488">
        <f t="shared" si="18"/>
        <v>0</v>
      </c>
      <c r="I54" s="488">
        <f t="shared" si="18"/>
        <v>154050107.74498844</v>
      </c>
      <c r="J54" s="488">
        <f t="shared" si="18"/>
        <v>10921310.64806132</v>
      </c>
      <c r="K54" s="488">
        <f t="shared" si="18"/>
        <v>3023063.1018882166</v>
      </c>
      <c r="L54" s="488">
        <f t="shared" si="18"/>
        <v>0</v>
      </c>
      <c r="M54" s="488">
        <f t="shared" si="18"/>
        <v>0</v>
      </c>
      <c r="N54" s="488">
        <f t="shared" si="18"/>
        <v>344161219.33364683</v>
      </c>
      <c r="O54" s="488">
        <f t="shared" si="18"/>
        <v>66264753.544891775</v>
      </c>
      <c r="P54" s="488">
        <f t="shared" si="18"/>
        <v>14132361.231974719</v>
      </c>
      <c r="Q54" s="488">
        <f t="shared" si="18"/>
        <v>0</v>
      </c>
      <c r="R54" s="488">
        <f t="shared" si="18"/>
        <v>0</v>
      </c>
      <c r="S54" s="488">
        <f t="shared" si="18"/>
        <v>0</v>
      </c>
      <c r="U54" s="473">
        <f>D54-'Rate Base'!C51</f>
        <v>0.56999993324279785</v>
      </c>
      <c r="V54" s="361"/>
      <c r="W54" s="468"/>
    </row>
    <row r="55" spans="1:23" ht="12" thickTop="1">
      <c r="B55" s="374"/>
      <c r="C55" s="377"/>
      <c r="D55" s="460"/>
      <c r="U55" s="479"/>
      <c r="V55" s="361"/>
      <c r="W55" s="468"/>
    </row>
    <row r="56" spans="1:23" ht="32.25" customHeight="1">
      <c r="B56" s="382"/>
      <c r="C56" s="490" t="s">
        <v>105</v>
      </c>
      <c r="D56" s="490"/>
      <c r="E56" s="490"/>
      <c r="U56" s="479"/>
      <c r="V56" s="361"/>
      <c r="W56" s="468"/>
    </row>
    <row r="57" spans="1:23">
      <c r="B57" s="386"/>
      <c r="C57" s="377" t="s">
        <v>255</v>
      </c>
      <c r="D57" s="457"/>
      <c r="U57" s="479"/>
      <c r="V57" s="361"/>
      <c r="W57" s="468"/>
    </row>
    <row r="58" spans="1:23">
      <c r="A58" s="365">
        <v>1</v>
      </c>
      <c r="B58" s="386">
        <v>302</v>
      </c>
      <c r="C58" s="379" t="s">
        <v>256</v>
      </c>
      <c r="D58" s="477">
        <f>SUM(E58:G58)</f>
        <v>80651.846724924151</v>
      </c>
      <c r="E58" s="477">
        <f>SUM(H58:K58)</f>
        <v>22865.582299729431</v>
      </c>
      <c r="F58" s="477">
        <f>SUM(L58:M58)</f>
        <v>0</v>
      </c>
      <c r="G58" s="477">
        <f>SUM(N58:S58)</f>
        <v>57786.26442519472</v>
      </c>
      <c r="H58" s="477">
        <f>+('Rate Base'!$C$55)*'Function Allocators'!D54</f>
        <v>0</v>
      </c>
      <c r="I58" s="477">
        <f>+('Rate Base'!$C$55)*'Function Allocators'!E54</f>
        <v>20967.625755202906</v>
      </c>
      <c r="J58" s="477">
        <f>+('Rate Base'!$C$55)*'Function Allocators'!F54</f>
        <v>1486.4900633755767</v>
      </c>
      <c r="K58" s="477">
        <f>+('Rate Base'!$C$55)*'Function Allocators'!G54</f>
        <v>411.46648115094905</v>
      </c>
      <c r="L58" s="477">
        <f>+('Rate Base'!$C$55)*'Function Allocators'!H54</f>
        <v>0</v>
      </c>
      <c r="M58" s="477">
        <f>+('Rate Base'!$C$55)*'Function Allocators'!I54</f>
        <v>0</v>
      </c>
      <c r="N58" s="477">
        <f>+('Rate Base'!$C$55)*'Function Allocators'!J54</f>
        <v>46843.48328004963</v>
      </c>
      <c r="O58" s="477">
        <f>+('Rate Base'!$C$55)*'Function Allocators'!K54</f>
        <v>9019.2377884607231</v>
      </c>
      <c r="P58" s="477">
        <f>+('Rate Base'!$C$55)*'Function Allocators'!L54</f>
        <v>1923.5433566843719</v>
      </c>
      <c r="Q58" s="477">
        <f>+('Rate Base'!$C$55)*'Function Allocators'!M54</f>
        <v>0</v>
      </c>
      <c r="R58" s="477">
        <f>+('Rate Base'!$C$55)*'Function Allocators'!N54</f>
        <v>0</v>
      </c>
      <c r="S58" s="477">
        <f>+('Rate Base'!$C$55)*'Function Allocators'!O54</f>
        <v>0</v>
      </c>
      <c r="U58" s="473">
        <f>D58-'Rate Base'!C55</f>
        <v>0</v>
      </c>
      <c r="V58" s="361"/>
      <c r="W58" s="468"/>
    </row>
    <row r="59" spans="1:23">
      <c r="A59" s="365">
        <f t="shared" ref="A59:A90" si="19">+A58+1</f>
        <v>2</v>
      </c>
      <c r="B59" s="386">
        <v>303</v>
      </c>
      <c r="C59" s="379" t="s">
        <v>257</v>
      </c>
      <c r="D59" s="476">
        <f>SUM(E59:G59)</f>
        <v>297869.99</v>
      </c>
      <c r="E59" s="476">
        <f>SUM(H59:K59)</f>
        <v>84449.036786404555</v>
      </c>
      <c r="F59" s="476">
        <f>SUM(L59:M59)</f>
        <v>0</v>
      </c>
      <c r="G59" s="476">
        <f>SUM(N59:S59)</f>
        <v>213420.95321359541</v>
      </c>
      <c r="H59" s="476">
        <f>+('Rate Base'!$C$56)*'Function Allocators'!D55</f>
        <v>0</v>
      </c>
      <c r="I59" s="476">
        <f>+('Rate Base'!$C$56)*'Function Allocators'!E55</f>
        <v>77439.348603234408</v>
      </c>
      <c r="J59" s="476">
        <f>+('Rate Base'!$C$56)*'Function Allocators'!F55</f>
        <v>5490.0265560310854</v>
      </c>
      <c r="K59" s="476">
        <f>+('Rate Base'!$C$56)*'Function Allocators'!G55</f>
        <v>1519.6616271390608</v>
      </c>
      <c r="L59" s="476">
        <f>+('Rate Base'!$C$56)*'Function Allocators'!H55</f>
        <v>0</v>
      </c>
      <c r="M59" s="476">
        <f>+('Rate Base'!$C$56)*'Function Allocators'!I55</f>
        <v>0</v>
      </c>
      <c r="N59" s="476">
        <f>+('Rate Base'!$C$56)*'Function Allocators'!J55</f>
        <v>173006.17980619054</v>
      </c>
      <c r="O59" s="476">
        <f>+('Rate Base'!$C$56)*'Function Allocators'!K55</f>
        <v>33310.585918997676</v>
      </c>
      <c r="P59" s="476">
        <f>+('Rate Base'!$C$56)*'Function Allocators'!L55</f>
        <v>7104.1874884071858</v>
      </c>
      <c r="Q59" s="476">
        <f>+('Rate Base'!$C$56)*'Function Allocators'!M55</f>
        <v>0</v>
      </c>
      <c r="R59" s="476">
        <f>+('Rate Base'!$C$56)*'Function Allocators'!N55</f>
        <v>0</v>
      </c>
      <c r="S59" s="476">
        <f>+('Rate Base'!$C$56)*'Function Allocators'!O55</f>
        <v>0</v>
      </c>
      <c r="U59" s="473">
        <f>D59-'Rate Base'!C56</f>
        <v>0</v>
      </c>
      <c r="V59" s="361"/>
      <c r="W59" s="468"/>
    </row>
    <row r="60" spans="1:23">
      <c r="A60" s="365">
        <f t="shared" si="19"/>
        <v>3</v>
      </c>
      <c r="B60" s="386"/>
      <c r="C60" s="377" t="s">
        <v>106</v>
      </c>
      <c r="D60" s="474">
        <f t="shared" ref="D60:S60" si="20">SUM(D58:D59)</f>
        <v>378521.83672492416</v>
      </c>
      <c r="E60" s="474">
        <f t="shared" si="20"/>
        <v>107314.61908613399</v>
      </c>
      <c r="F60" s="474">
        <f t="shared" si="20"/>
        <v>0</v>
      </c>
      <c r="G60" s="474">
        <f t="shared" si="20"/>
        <v>271207.21763879014</v>
      </c>
      <c r="H60" s="474">
        <f t="shared" si="20"/>
        <v>0</v>
      </c>
      <c r="I60" s="474">
        <f t="shared" si="20"/>
        <v>98406.974358437321</v>
      </c>
      <c r="J60" s="474">
        <f t="shared" si="20"/>
        <v>6976.5166194066624</v>
      </c>
      <c r="K60" s="474">
        <f t="shared" si="20"/>
        <v>1931.1281082900098</v>
      </c>
      <c r="L60" s="474">
        <f t="shared" si="20"/>
        <v>0</v>
      </c>
      <c r="M60" s="474">
        <f t="shared" si="20"/>
        <v>0</v>
      </c>
      <c r="N60" s="474">
        <f t="shared" si="20"/>
        <v>219849.66308624018</v>
      </c>
      <c r="O60" s="474">
        <f t="shared" si="20"/>
        <v>42329.823707458403</v>
      </c>
      <c r="P60" s="474">
        <f t="shared" si="20"/>
        <v>9027.7308450915571</v>
      </c>
      <c r="Q60" s="474">
        <f t="shared" si="20"/>
        <v>0</v>
      </c>
      <c r="R60" s="474">
        <f t="shared" si="20"/>
        <v>0</v>
      </c>
      <c r="S60" s="474">
        <f t="shared" si="20"/>
        <v>0</v>
      </c>
      <c r="U60" s="473">
        <f>D60-'Rate Base'!C58</f>
        <v>0</v>
      </c>
      <c r="V60" s="361"/>
      <c r="W60" s="468"/>
    </row>
    <row r="61" spans="1:23">
      <c r="A61" s="365">
        <f t="shared" si="19"/>
        <v>4</v>
      </c>
      <c r="B61" s="386"/>
      <c r="C61" s="377"/>
      <c r="D61" s="460"/>
      <c r="U61" s="473"/>
      <c r="V61" s="361"/>
      <c r="W61" s="468"/>
    </row>
    <row r="62" spans="1:23">
      <c r="A62" s="365">
        <f t="shared" si="19"/>
        <v>5</v>
      </c>
      <c r="B62" s="440"/>
      <c r="C62" s="377" t="s">
        <v>258</v>
      </c>
      <c r="D62" s="489"/>
      <c r="U62" s="473"/>
      <c r="V62" s="361"/>
      <c r="W62" s="468"/>
    </row>
    <row r="63" spans="1:23">
      <c r="A63" s="365">
        <f t="shared" si="19"/>
        <v>6</v>
      </c>
      <c r="B63" s="386">
        <v>365</v>
      </c>
      <c r="C63" s="379" t="s">
        <v>244</v>
      </c>
      <c r="D63" s="477">
        <f>SUM(E63:G63)</f>
        <v>46426.032578184699</v>
      </c>
      <c r="E63" s="477">
        <f>SUM(H63:K63)</f>
        <v>46426.032578184699</v>
      </c>
      <c r="F63" s="477">
        <f>SUM(L63:M63)</f>
        <v>0</v>
      </c>
      <c r="G63" s="477">
        <f>SUM(N63:S63)</f>
        <v>0</v>
      </c>
      <c r="H63" s="477">
        <f>+('Rate Base'!$C61)*'Function Allocators'!D59</f>
        <v>0</v>
      </c>
      <c r="I63" s="477">
        <f>+('Rate Base'!$C61)*'Function Allocators'!E59</f>
        <v>46426.032578184699</v>
      </c>
      <c r="J63" s="477">
        <v>0</v>
      </c>
      <c r="K63" s="477">
        <v>0</v>
      </c>
      <c r="L63" s="477">
        <v>0</v>
      </c>
      <c r="M63" s="477">
        <v>0</v>
      </c>
      <c r="N63" s="477">
        <v>0</v>
      </c>
      <c r="O63" s="477">
        <v>0</v>
      </c>
      <c r="P63" s="477">
        <v>0</v>
      </c>
      <c r="Q63" s="477">
        <v>0</v>
      </c>
      <c r="R63" s="477">
        <v>0</v>
      </c>
      <c r="S63" s="477">
        <v>0</v>
      </c>
      <c r="U63" s="473">
        <f>D63-'Rate Base'!C61</f>
        <v>0</v>
      </c>
      <c r="V63" s="361"/>
      <c r="W63" s="468"/>
    </row>
    <row r="64" spans="1:23">
      <c r="A64" s="365">
        <f t="shared" si="19"/>
        <v>7</v>
      </c>
      <c r="B64" s="386">
        <v>366</v>
      </c>
      <c r="C64" s="379" t="s">
        <v>82</v>
      </c>
      <c r="D64" s="457">
        <f>SUM(E64:G64)</f>
        <v>8095.3994666966801</v>
      </c>
      <c r="E64" s="457">
        <f>SUM(H64:K64)</f>
        <v>8095.3994666966801</v>
      </c>
      <c r="F64" s="457">
        <f>SUM(L64:M64)</f>
        <v>0</v>
      </c>
      <c r="G64" s="457">
        <f>SUM(N64:S64)</f>
        <v>0</v>
      </c>
      <c r="H64" s="457">
        <f>+('Rate Base'!C62)*'Function Allocators'!D60</f>
        <v>0</v>
      </c>
      <c r="I64" s="477">
        <f>+('Rate Base'!$C62)*'Function Allocators'!E60</f>
        <v>8095.3994666966801</v>
      </c>
      <c r="J64" s="457">
        <v>0</v>
      </c>
      <c r="K64" s="457">
        <v>0</v>
      </c>
      <c r="L64" s="457">
        <v>0</v>
      </c>
      <c r="M64" s="457">
        <v>0</v>
      </c>
      <c r="N64" s="457">
        <v>0</v>
      </c>
      <c r="O64" s="457">
        <v>0</v>
      </c>
      <c r="P64" s="457">
        <v>0</v>
      </c>
      <c r="Q64" s="457">
        <v>0</v>
      </c>
      <c r="R64" s="457">
        <v>0</v>
      </c>
      <c r="S64" s="457">
        <v>0</v>
      </c>
      <c r="U64" s="473">
        <f>D64-'Rate Base'!C62</f>
        <v>0</v>
      </c>
      <c r="V64" s="361"/>
      <c r="W64" s="468"/>
    </row>
    <row r="65" spans="1:23">
      <c r="A65" s="365">
        <f t="shared" si="19"/>
        <v>8</v>
      </c>
      <c r="B65" s="386">
        <v>367</v>
      </c>
      <c r="C65" s="379" t="s">
        <v>83</v>
      </c>
      <c r="D65" s="457">
        <f>SUM(E65:G65)</f>
        <v>8842569.5002335012</v>
      </c>
      <c r="E65" s="457">
        <f>SUM(H65:K65)</f>
        <v>8842569.5002335012</v>
      </c>
      <c r="F65" s="457">
        <f>SUM(L65:M65)</f>
        <v>0</v>
      </c>
      <c r="G65" s="457">
        <f>SUM(N65:S65)</f>
        <v>0</v>
      </c>
      <c r="H65" s="457">
        <f>+('Rate Base'!C63)*'Function Allocators'!D61</f>
        <v>0</v>
      </c>
      <c r="I65" s="477">
        <f>+('Rate Base'!$C63)*'Function Allocators'!E61</f>
        <v>8842569.5002335012</v>
      </c>
      <c r="J65" s="457">
        <v>0</v>
      </c>
      <c r="K65" s="457">
        <v>0</v>
      </c>
      <c r="L65" s="457">
        <v>0</v>
      </c>
      <c r="M65" s="457">
        <v>0</v>
      </c>
      <c r="N65" s="457">
        <v>0</v>
      </c>
      <c r="O65" s="457">
        <v>0</v>
      </c>
      <c r="P65" s="457">
        <v>0</v>
      </c>
      <c r="Q65" s="457">
        <v>0</v>
      </c>
      <c r="R65" s="457">
        <v>0</v>
      </c>
      <c r="S65" s="457">
        <v>0</v>
      </c>
      <c r="U65" s="473">
        <f>D65-'Rate Base'!C63</f>
        <v>0</v>
      </c>
      <c r="V65" s="361"/>
      <c r="W65" s="468"/>
    </row>
    <row r="66" spans="1:23">
      <c r="A66" s="365">
        <f t="shared" si="19"/>
        <v>9</v>
      </c>
      <c r="B66" s="386">
        <v>369</v>
      </c>
      <c r="C66" s="379" t="s">
        <v>259</v>
      </c>
      <c r="D66" s="457">
        <f>SUM(E66:G66)</f>
        <v>783405.53523846227</v>
      </c>
      <c r="E66" s="457">
        <f>SUM(H66:K66)</f>
        <v>783405.53523846227</v>
      </c>
      <c r="F66" s="457">
        <f>SUM(L66:M66)</f>
        <v>0</v>
      </c>
      <c r="G66" s="457">
        <f>SUM(N66:S66)</f>
        <v>0</v>
      </c>
      <c r="H66" s="457">
        <f>+('Rate Base'!C64)*'Function Allocators'!D62</f>
        <v>0</v>
      </c>
      <c r="I66" s="477">
        <f>+('Rate Base'!$C64)*'Function Allocators'!E62</f>
        <v>783405.53523846227</v>
      </c>
      <c r="J66" s="457">
        <v>0</v>
      </c>
      <c r="K66" s="457">
        <v>0</v>
      </c>
      <c r="L66" s="457">
        <v>0</v>
      </c>
      <c r="M66" s="457">
        <v>0</v>
      </c>
      <c r="N66" s="457">
        <v>0</v>
      </c>
      <c r="O66" s="457">
        <v>0</v>
      </c>
      <c r="P66" s="457">
        <v>0</v>
      </c>
      <c r="Q66" s="457">
        <v>0</v>
      </c>
      <c r="R66" s="457">
        <v>0</v>
      </c>
      <c r="S66" s="457">
        <v>0</v>
      </c>
      <c r="U66" s="473">
        <f>D66-'Rate Base'!C64</f>
        <v>0</v>
      </c>
      <c r="V66" s="361"/>
      <c r="W66" s="468"/>
    </row>
    <row r="67" spans="1:23">
      <c r="A67" s="365">
        <f t="shared" si="19"/>
        <v>10</v>
      </c>
      <c r="B67" s="386">
        <v>371</v>
      </c>
      <c r="C67" s="379" t="s">
        <v>98</v>
      </c>
      <c r="D67" s="476">
        <f>SUM(E67:G67)</f>
        <v>9251.5862531429157</v>
      </c>
      <c r="E67" s="476">
        <f>SUM(H67:K67)</f>
        <v>9251.5862531429157</v>
      </c>
      <c r="F67" s="476">
        <f>SUM(L67:M67)</f>
        <v>0</v>
      </c>
      <c r="G67" s="476">
        <f>SUM(N67:S67)</f>
        <v>0</v>
      </c>
      <c r="H67" s="476">
        <f>+('Rate Base'!C65)*'Function Allocators'!D63</f>
        <v>0</v>
      </c>
      <c r="I67" s="477">
        <f>+('Rate Base'!$C65)*'Function Allocators'!E63</f>
        <v>9251.5862531429157</v>
      </c>
      <c r="J67" s="476">
        <v>0</v>
      </c>
      <c r="K67" s="476">
        <v>0</v>
      </c>
      <c r="L67" s="476">
        <v>0</v>
      </c>
      <c r="M67" s="476">
        <v>0</v>
      </c>
      <c r="N67" s="476">
        <v>0</v>
      </c>
      <c r="O67" s="476">
        <v>0</v>
      </c>
      <c r="P67" s="476">
        <v>0</v>
      </c>
      <c r="Q67" s="476">
        <v>0</v>
      </c>
      <c r="R67" s="476">
        <v>0</v>
      </c>
      <c r="S67" s="476">
        <v>0</v>
      </c>
      <c r="U67" s="473">
        <f>D67-'Rate Base'!C65</f>
        <v>0</v>
      </c>
      <c r="V67" s="361"/>
      <c r="W67" s="468"/>
    </row>
    <row r="68" spans="1:23">
      <c r="A68" s="365">
        <f t="shared" si="19"/>
        <v>11</v>
      </c>
      <c r="B68" s="374"/>
      <c r="C68" s="377" t="s">
        <v>107</v>
      </c>
      <c r="D68" s="474">
        <f t="shared" ref="D68:S68" si="21">SUM(D63:D67)</f>
        <v>9689748.0537699871</v>
      </c>
      <c r="E68" s="474">
        <f t="shared" si="21"/>
        <v>9689748.0537699871</v>
      </c>
      <c r="F68" s="474">
        <f t="shared" si="21"/>
        <v>0</v>
      </c>
      <c r="G68" s="474">
        <f t="shared" si="21"/>
        <v>0</v>
      </c>
      <c r="H68" s="474">
        <f t="shared" si="21"/>
        <v>0</v>
      </c>
      <c r="I68" s="474">
        <f t="shared" si="21"/>
        <v>9689748.0537699871</v>
      </c>
      <c r="J68" s="474">
        <f t="shared" si="21"/>
        <v>0</v>
      </c>
      <c r="K68" s="474">
        <f t="shared" si="21"/>
        <v>0</v>
      </c>
      <c r="L68" s="474">
        <f t="shared" si="21"/>
        <v>0</v>
      </c>
      <c r="M68" s="474">
        <f t="shared" si="21"/>
        <v>0</v>
      </c>
      <c r="N68" s="474">
        <f t="shared" si="21"/>
        <v>0</v>
      </c>
      <c r="O68" s="474">
        <f t="shared" si="21"/>
        <v>0</v>
      </c>
      <c r="P68" s="474">
        <f t="shared" si="21"/>
        <v>0</v>
      </c>
      <c r="Q68" s="474">
        <f t="shared" si="21"/>
        <v>0</v>
      </c>
      <c r="R68" s="474">
        <f t="shared" si="21"/>
        <v>0</v>
      </c>
      <c r="S68" s="474">
        <f t="shared" si="21"/>
        <v>0</v>
      </c>
      <c r="U68" s="473">
        <f>D68-'Rate Base'!C66</f>
        <v>0</v>
      </c>
      <c r="V68" s="361"/>
      <c r="W68" s="468"/>
    </row>
    <row r="69" spans="1:23">
      <c r="A69" s="365">
        <f t="shared" si="19"/>
        <v>12</v>
      </c>
      <c r="B69" s="374"/>
      <c r="C69" s="377"/>
      <c r="D69" s="460"/>
      <c r="H69" s="456"/>
      <c r="U69" s="479"/>
      <c r="V69" s="361"/>
      <c r="W69" s="468"/>
    </row>
    <row r="70" spans="1:23">
      <c r="A70" s="365">
        <f t="shared" si="19"/>
        <v>13</v>
      </c>
      <c r="B70" s="374"/>
      <c r="C70" s="377" t="s">
        <v>260</v>
      </c>
      <c r="D70" s="457"/>
      <c r="H70" s="456"/>
      <c r="U70" s="479"/>
      <c r="V70" s="361"/>
      <c r="W70" s="468"/>
    </row>
    <row r="71" spans="1:23">
      <c r="A71" s="365">
        <f t="shared" si="19"/>
        <v>14</v>
      </c>
      <c r="B71" s="386">
        <v>374.1</v>
      </c>
      <c r="C71" s="379" t="s">
        <v>81</v>
      </c>
      <c r="D71" s="477">
        <f t="shared" ref="D71:D82" si="22">SUM(E71:G71)</f>
        <v>-92336.965428911208</v>
      </c>
      <c r="E71" s="361">
        <f t="shared" ref="E71:E82" si="23">SUM(H71:K71)</f>
        <v>-92336.965428911208</v>
      </c>
      <c r="F71" s="477">
        <f t="shared" ref="F71:F82" si="24">SUM(L71:M71)</f>
        <v>0</v>
      </c>
      <c r="G71" s="477">
        <f t="shared" ref="G71:G82" si="25">SUM(N71:S71)</f>
        <v>0</v>
      </c>
      <c r="H71" s="477">
        <f>+('Rate Base'!C69)*'Function Allocators'!D67</f>
        <v>0</v>
      </c>
      <c r="I71" s="477">
        <f>+('Rate Base'!$C$69)*'Function Allocators'!E67</f>
        <v>0</v>
      </c>
      <c r="J71" s="477">
        <f>+('Rate Base'!$C$69)*'Function Allocators'!F67</f>
        <v>0</v>
      </c>
      <c r="K71" s="477">
        <f>+('Rate Base'!$C$69)*'Function Allocators'!G67</f>
        <v>-92336.965428911208</v>
      </c>
      <c r="L71" s="477">
        <f>+('Rate Base'!$C$69)*'Function Allocators'!H67</f>
        <v>0</v>
      </c>
      <c r="M71" s="477">
        <f>+('Rate Base'!$C$69)*'Function Allocators'!I67</f>
        <v>0</v>
      </c>
      <c r="N71" s="477">
        <f>+('Rate Base'!$C$69)*'Function Allocators'!J67</f>
        <v>0</v>
      </c>
      <c r="O71" s="477">
        <f>+('Rate Base'!$C$69)*'Function Allocators'!K67</f>
        <v>0</v>
      </c>
      <c r="P71" s="477">
        <f>+('Rate Base'!$C$69)*'Function Allocators'!L67</f>
        <v>0</v>
      </c>
      <c r="Q71" s="477">
        <f>+('Rate Base'!$C$69)*'Function Allocators'!M67</f>
        <v>0</v>
      </c>
      <c r="R71" s="477">
        <f>+('Rate Base'!$C$69)*'Function Allocators'!N67</f>
        <v>0</v>
      </c>
      <c r="S71" s="477">
        <f>+('Rate Base'!$C$69)*'Function Allocators'!O67</f>
        <v>0</v>
      </c>
      <c r="U71" s="473">
        <f>D71-'Rate Base'!C69</f>
        <v>0</v>
      </c>
      <c r="V71" s="361"/>
      <c r="W71" s="468"/>
    </row>
    <row r="72" spans="1:23">
      <c r="A72" s="365">
        <f t="shared" si="19"/>
        <v>15</v>
      </c>
      <c r="B72" s="386">
        <v>375.1</v>
      </c>
      <c r="C72" s="379" t="s">
        <v>82</v>
      </c>
      <c r="D72" s="457">
        <f t="shared" si="22"/>
        <v>22598.333404365083</v>
      </c>
      <c r="E72" s="457">
        <f t="shared" si="23"/>
        <v>22598.333404365083</v>
      </c>
      <c r="F72" s="457">
        <f t="shared" si="24"/>
        <v>0</v>
      </c>
      <c r="G72" s="457">
        <f t="shared" si="25"/>
        <v>0</v>
      </c>
      <c r="H72" s="457">
        <f>+('Rate Base'!$C$70)*'Function Allocators'!D68</f>
        <v>0</v>
      </c>
      <c r="I72" s="457">
        <f>+('Rate Base'!$C$70)*'Function Allocators'!E68</f>
        <v>0</v>
      </c>
      <c r="J72" s="457">
        <f>+('Rate Base'!$C$70)*'Function Allocators'!F68</f>
        <v>0</v>
      </c>
      <c r="K72" s="457">
        <f>+('Rate Base'!$C$70)*'Function Allocators'!G68</f>
        <v>22598.333404365083</v>
      </c>
      <c r="L72" s="457">
        <f>+('Rate Base'!$C$70)*'Function Allocators'!H68</f>
        <v>0</v>
      </c>
      <c r="M72" s="457">
        <f>+('Rate Base'!$C$70)*'Function Allocators'!I68</f>
        <v>0</v>
      </c>
      <c r="N72" s="457">
        <f>+('Rate Base'!$C$70)*'Function Allocators'!J68</f>
        <v>0</v>
      </c>
      <c r="O72" s="457">
        <f>+('Rate Base'!$C$70)*'Function Allocators'!K68</f>
        <v>0</v>
      </c>
      <c r="P72" s="457">
        <f>+('Rate Base'!$C$70)*'Function Allocators'!L68</f>
        <v>0</v>
      </c>
      <c r="Q72" s="457">
        <f>+('Rate Base'!$C$70)*'Function Allocators'!M68</f>
        <v>0</v>
      </c>
      <c r="R72" s="457">
        <f>+('Rate Base'!$C$70)*'Function Allocators'!N68</f>
        <v>0</v>
      </c>
      <c r="S72" s="457">
        <f>+('Rate Base'!$C$70)*'Function Allocators'!O68</f>
        <v>0</v>
      </c>
      <c r="U72" s="473">
        <f>D72-'Rate Base'!C70</f>
        <v>0</v>
      </c>
      <c r="V72" s="361"/>
      <c r="W72" s="468"/>
    </row>
    <row r="73" spans="1:23">
      <c r="A73" s="365">
        <f t="shared" si="19"/>
        <v>16</v>
      </c>
      <c r="B73" s="386">
        <v>376.1</v>
      </c>
      <c r="C73" s="379" t="s">
        <v>83</v>
      </c>
      <c r="D73" s="457">
        <f t="shared" si="22"/>
        <v>101785637.01979342</v>
      </c>
      <c r="E73" s="457">
        <f t="shared" si="23"/>
        <v>49352038.247362427</v>
      </c>
      <c r="F73" s="457">
        <f t="shared" si="24"/>
        <v>0</v>
      </c>
      <c r="G73" s="457">
        <f t="shared" si="25"/>
        <v>52433598.772430994</v>
      </c>
      <c r="H73" s="457">
        <f>+('Rate Base'!$C$71)*'Function Allocators'!D69</f>
        <v>0</v>
      </c>
      <c r="I73" s="457">
        <f>+('Rate Base'!$C$71)*'Function Allocators'!E69</f>
        <v>49352038.247362427</v>
      </c>
      <c r="J73" s="457">
        <f>+('Rate Base'!$C$71)*'Function Allocators'!F69</f>
        <v>0</v>
      </c>
      <c r="K73" s="457">
        <f>+('Rate Base'!$C$71)*'Function Allocators'!G69</f>
        <v>0</v>
      </c>
      <c r="L73" s="457">
        <f>+('Rate Base'!$C$71)*'Function Allocators'!H69</f>
        <v>0</v>
      </c>
      <c r="M73" s="457">
        <f>+('Rate Base'!$C$71)*'Function Allocators'!I69</f>
        <v>0</v>
      </c>
      <c r="N73" s="457">
        <f>+('Rate Base'!$C$71)*'Function Allocators'!J69</f>
        <v>52433598.772430994</v>
      </c>
      <c r="O73" s="457">
        <f>+('Rate Base'!$C$71)*'Function Allocators'!K69</f>
        <v>0</v>
      </c>
      <c r="P73" s="457">
        <f>+('Rate Base'!$C$71)*'Function Allocators'!L69</f>
        <v>0</v>
      </c>
      <c r="Q73" s="457">
        <f>+('Rate Base'!$C$71)*'Function Allocators'!M69</f>
        <v>0</v>
      </c>
      <c r="R73" s="457">
        <f>+('Rate Base'!$C$71)*'Function Allocators'!N69</f>
        <v>0</v>
      </c>
      <c r="S73" s="457">
        <f>+('Rate Base'!$C$71)*'Function Allocators'!O69</f>
        <v>0</v>
      </c>
      <c r="U73" s="473">
        <f>D73-'Rate Base'!C71</f>
        <v>0</v>
      </c>
      <c r="V73" s="361"/>
      <c r="W73" s="468"/>
    </row>
    <row r="74" spans="1:23">
      <c r="A74" s="365">
        <f t="shared" si="19"/>
        <v>17</v>
      </c>
      <c r="B74" s="386">
        <v>378</v>
      </c>
      <c r="C74" s="379" t="s">
        <v>84</v>
      </c>
      <c r="D74" s="457">
        <f t="shared" si="22"/>
        <v>2284171.1606795238</v>
      </c>
      <c r="E74" s="457">
        <f t="shared" si="23"/>
        <v>2284171.1606795238</v>
      </c>
      <c r="F74" s="457">
        <f t="shared" si="24"/>
        <v>0</v>
      </c>
      <c r="G74" s="457">
        <f t="shared" si="25"/>
        <v>0</v>
      </c>
      <c r="H74" s="457">
        <f>+('Rate Base'!$C$72)*'Function Allocators'!D70</f>
        <v>0</v>
      </c>
      <c r="I74" s="457">
        <f>+('Rate Base'!$C$72)*'Function Allocators'!E70</f>
        <v>0</v>
      </c>
      <c r="J74" s="457">
        <f>+('Rate Base'!$C$72)*'Function Allocators'!F70</f>
        <v>2284171.1606795238</v>
      </c>
      <c r="K74" s="457">
        <f>+('Rate Base'!$C$72)*'Function Allocators'!G70</f>
        <v>0</v>
      </c>
      <c r="L74" s="457">
        <f>+('Rate Base'!$C$72)*'Function Allocators'!H70</f>
        <v>0</v>
      </c>
      <c r="M74" s="457">
        <f>+('Rate Base'!$C$72)*'Function Allocators'!I70</f>
        <v>0</v>
      </c>
      <c r="N74" s="457">
        <f>+('Rate Base'!$C$72)*'Function Allocators'!J70</f>
        <v>0</v>
      </c>
      <c r="O74" s="457">
        <f>+('Rate Base'!$C$72)*'Function Allocators'!K70</f>
        <v>0</v>
      </c>
      <c r="P74" s="457">
        <f>+('Rate Base'!$C$72)*'Function Allocators'!L70</f>
        <v>0</v>
      </c>
      <c r="Q74" s="457">
        <f>+('Rate Base'!$C$72)*'Function Allocators'!M70</f>
        <v>0</v>
      </c>
      <c r="R74" s="457">
        <f>+('Rate Base'!$C$72)*'Function Allocators'!N70</f>
        <v>0</v>
      </c>
      <c r="S74" s="457">
        <f>+('Rate Base'!$C$72)*'Function Allocators'!O70</f>
        <v>0</v>
      </c>
      <c r="U74" s="473">
        <f>D74-'Rate Base'!C72</f>
        <v>0</v>
      </c>
      <c r="V74" s="361"/>
      <c r="W74" s="468"/>
    </row>
    <row r="75" spans="1:23">
      <c r="A75" s="365">
        <f t="shared" si="19"/>
        <v>18</v>
      </c>
      <c r="B75" s="386">
        <v>379</v>
      </c>
      <c r="C75" s="379" t="s">
        <v>85</v>
      </c>
      <c r="D75" s="457">
        <f t="shared" si="22"/>
        <v>1501138.1757369672</v>
      </c>
      <c r="E75" s="457">
        <f t="shared" si="23"/>
        <v>1501138.1757369672</v>
      </c>
      <c r="F75" s="457">
        <f t="shared" si="24"/>
        <v>0</v>
      </c>
      <c r="G75" s="457">
        <f t="shared" si="25"/>
        <v>0</v>
      </c>
      <c r="H75" s="457">
        <f>+('Rate Base'!$C$73)*'Function Allocators'!D71</f>
        <v>0</v>
      </c>
      <c r="I75" s="457">
        <f>+('Rate Base'!$C$73)*'Function Allocators'!E71</f>
        <v>0</v>
      </c>
      <c r="J75" s="457">
        <f>+('Rate Base'!$C$73)*'Function Allocators'!F71</f>
        <v>1501138.1757369672</v>
      </c>
      <c r="K75" s="457">
        <f>+('Rate Base'!$C$73)*'Function Allocators'!G71</f>
        <v>0</v>
      </c>
      <c r="L75" s="457">
        <f>+('Rate Base'!$C$73)*'Function Allocators'!H71</f>
        <v>0</v>
      </c>
      <c r="M75" s="457">
        <f>+('Rate Base'!$C$73)*'Function Allocators'!I71</f>
        <v>0</v>
      </c>
      <c r="N75" s="457">
        <f>+('Rate Base'!$C$73)*'Function Allocators'!J71</f>
        <v>0</v>
      </c>
      <c r="O75" s="457">
        <f>+('Rate Base'!$C$73)*'Function Allocators'!K71</f>
        <v>0</v>
      </c>
      <c r="P75" s="457">
        <f>+('Rate Base'!$C$73)*'Function Allocators'!L71</f>
        <v>0</v>
      </c>
      <c r="Q75" s="457">
        <f>+('Rate Base'!$C$73)*'Function Allocators'!M71</f>
        <v>0</v>
      </c>
      <c r="R75" s="457">
        <f>+('Rate Base'!$C$73)*'Function Allocators'!N71</f>
        <v>0</v>
      </c>
      <c r="S75" s="457">
        <f>+('Rate Base'!$C$73)*'Function Allocators'!O71</f>
        <v>0</v>
      </c>
      <c r="U75" s="473">
        <f>D75-'Rate Base'!C73</f>
        <v>0</v>
      </c>
      <c r="V75" s="361"/>
      <c r="W75" s="468"/>
    </row>
    <row r="76" spans="1:23">
      <c r="A76" s="365">
        <f t="shared" si="19"/>
        <v>19</v>
      </c>
      <c r="B76" s="386">
        <v>380</v>
      </c>
      <c r="C76" s="379" t="s">
        <v>86</v>
      </c>
      <c r="D76" s="457">
        <f t="shared" si="22"/>
        <v>74196129.296303719</v>
      </c>
      <c r="E76" s="457">
        <f t="shared" si="23"/>
        <v>0</v>
      </c>
      <c r="F76" s="457">
        <f t="shared" si="24"/>
        <v>0</v>
      </c>
      <c r="G76" s="457">
        <f t="shared" si="25"/>
        <v>74196129.296303719</v>
      </c>
      <c r="H76" s="457">
        <f>+('Rate Base'!$C$74)*'Function Allocators'!D72</f>
        <v>0</v>
      </c>
      <c r="I76" s="457">
        <f>+('Rate Base'!$C$74)*'Function Allocators'!E72</f>
        <v>0</v>
      </c>
      <c r="J76" s="457">
        <f>+('Rate Base'!$C$74)*'Function Allocators'!F72</f>
        <v>0</v>
      </c>
      <c r="K76" s="457">
        <f>+('Rate Base'!$C$74)*'Function Allocators'!G72</f>
        <v>0</v>
      </c>
      <c r="L76" s="457">
        <f>+('Rate Base'!$C$74)*'Function Allocators'!H72</f>
        <v>0</v>
      </c>
      <c r="M76" s="457">
        <f>+('Rate Base'!$C$74)*'Function Allocators'!I72</f>
        <v>0</v>
      </c>
      <c r="N76" s="457">
        <f>+('Rate Base'!$C$74)*'Function Allocators'!J72</f>
        <v>74196129.296303719</v>
      </c>
      <c r="O76" s="457">
        <f>+('Rate Base'!$C$74)*'Function Allocators'!K72</f>
        <v>0</v>
      </c>
      <c r="P76" s="457">
        <f>+('Rate Base'!$C$74)*'Function Allocators'!L72</f>
        <v>0</v>
      </c>
      <c r="Q76" s="457">
        <f>+('Rate Base'!$C$74)*'Function Allocators'!M72</f>
        <v>0</v>
      </c>
      <c r="R76" s="457">
        <f>+('Rate Base'!$C$74)*'Function Allocators'!N72</f>
        <v>0</v>
      </c>
      <c r="S76" s="457">
        <f>+('Rate Base'!$C$74)*'Function Allocators'!O72</f>
        <v>0</v>
      </c>
      <c r="U76" s="473">
        <f>D76-'Rate Base'!C74</f>
        <v>0</v>
      </c>
      <c r="V76" s="361"/>
      <c r="W76" s="468"/>
    </row>
    <row r="77" spans="1:23">
      <c r="A77" s="365">
        <f t="shared" si="19"/>
        <v>20</v>
      </c>
      <c r="B77" s="386">
        <v>381</v>
      </c>
      <c r="C77" s="379" t="s">
        <v>88</v>
      </c>
      <c r="D77" s="457">
        <f t="shared" si="22"/>
        <v>7955789.7595603261</v>
      </c>
      <c r="E77" s="457">
        <f t="shared" si="23"/>
        <v>0</v>
      </c>
      <c r="F77" s="457">
        <f t="shared" si="24"/>
        <v>0</v>
      </c>
      <c r="G77" s="457">
        <f t="shared" si="25"/>
        <v>7955789.7595603261</v>
      </c>
      <c r="H77" s="457">
        <f>+('Rate Base'!$C$75)*'Function Allocators'!D73</f>
        <v>0</v>
      </c>
      <c r="I77" s="457">
        <f>+('Rate Base'!$C$75)*'Function Allocators'!E73</f>
        <v>0</v>
      </c>
      <c r="J77" s="457">
        <f>+('Rate Base'!$C$75)*'Function Allocators'!F73</f>
        <v>0</v>
      </c>
      <c r="K77" s="457">
        <f>+('Rate Base'!$C$75)*'Function Allocators'!G73</f>
        <v>0</v>
      </c>
      <c r="L77" s="457">
        <f>+('Rate Base'!$C$75)*'Function Allocators'!H73</f>
        <v>0</v>
      </c>
      <c r="M77" s="457">
        <f>+('Rate Base'!$C$75)*'Function Allocators'!I73</f>
        <v>0</v>
      </c>
      <c r="N77" s="457">
        <f>+('Rate Base'!$C$75)*'Function Allocators'!J73</f>
        <v>0</v>
      </c>
      <c r="O77" s="457">
        <f>+('Rate Base'!$C$75)*'Function Allocators'!K73</f>
        <v>7955789.7595603261</v>
      </c>
      <c r="P77" s="457">
        <f>+('Rate Base'!$C$75)*'Function Allocators'!L73</f>
        <v>0</v>
      </c>
      <c r="Q77" s="457">
        <f>+('Rate Base'!$C$75)*'Function Allocators'!M73</f>
        <v>0</v>
      </c>
      <c r="R77" s="457">
        <f>+('Rate Base'!$C$75)*'Function Allocators'!N73</f>
        <v>0</v>
      </c>
      <c r="S77" s="457">
        <f>+('Rate Base'!$C$75)*'Function Allocators'!O73</f>
        <v>0</v>
      </c>
      <c r="U77" s="473">
        <f>D77-'Rate Base'!C75</f>
        <v>0</v>
      </c>
      <c r="V77" s="361"/>
      <c r="W77" s="468"/>
    </row>
    <row r="78" spans="1:23">
      <c r="A78" s="365">
        <f t="shared" si="19"/>
        <v>21</v>
      </c>
      <c r="B78" s="386">
        <v>382</v>
      </c>
      <c r="C78" s="379" t="s">
        <v>90</v>
      </c>
      <c r="D78" s="457">
        <f t="shared" si="22"/>
        <v>2202668.2624319443</v>
      </c>
      <c r="E78" s="457">
        <f t="shared" si="23"/>
        <v>0</v>
      </c>
      <c r="F78" s="457">
        <f t="shared" si="24"/>
        <v>0</v>
      </c>
      <c r="G78" s="457">
        <f t="shared" si="25"/>
        <v>2202668.2624319443</v>
      </c>
      <c r="H78" s="457">
        <f>+('Rate Base'!$C$76)*'Function Allocators'!D74</f>
        <v>0</v>
      </c>
      <c r="I78" s="457">
        <f>+('Rate Base'!$C$76)*'Function Allocators'!E74</f>
        <v>0</v>
      </c>
      <c r="J78" s="457">
        <f>+('Rate Base'!$C$76)*'Function Allocators'!F74</f>
        <v>0</v>
      </c>
      <c r="K78" s="457">
        <f>+('Rate Base'!$C$76)*'Function Allocators'!G74</f>
        <v>0</v>
      </c>
      <c r="L78" s="457">
        <f>+('Rate Base'!$C$76)*'Function Allocators'!H74</f>
        <v>0</v>
      </c>
      <c r="M78" s="457">
        <f>+('Rate Base'!$C$76)*'Function Allocators'!I74</f>
        <v>0</v>
      </c>
      <c r="N78" s="457">
        <f>+('Rate Base'!$C$76)*'Function Allocators'!J74</f>
        <v>0</v>
      </c>
      <c r="O78" s="457">
        <f>+('Rate Base'!$C$76)*'Function Allocators'!K74</f>
        <v>2202668.2624319443</v>
      </c>
      <c r="P78" s="457">
        <f>+('Rate Base'!$C$76)*'Function Allocators'!L74</f>
        <v>0</v>
      </c>
      <c r="Q78" s="457">
        <f>+('Rate Base'!$C$76)*'Function Allocators'!M74</f>
        <v>0</v>
      </c>
      <c r="R78" s="457">
        <f>+('Rate Base'!$C$76)*'Function Allocators'!N74</f>
        <v>0</v>
      </c>
      <c r="S78" s="457">
        <f>+('Rate Base'!$C$76)*'Function Allocators'!O74</f>
        <v>0</v>
      </c>
      <c r="U78" s="473">
        <f>D78-'Rate Base'!C76</f>
        <v>0</v>
      </c>
      <c r="V78" s="361"/>
      <c r="W78" s="468"/>
    </row>
    <row r="79" spans="1:23">
      <c r="A79" s="365">
        <f t="shared" si="19"/>
        <v>22</v>
      </c>
      <c r="B79" s="386">
        <v>383</v>
      </c>
      <c r="C79" s="379" t="s">
        <v>92</v>
      </c>
      <c r="D79" s="457">
        <f t="shared" si="22"/>
        <v>2760214.253748354</v>
      </c>
      <c r="E79" s="457">
        <f t="shared" si="23"/>
        <v>0</v>
      </c>
      <c r="F79" s="457">
        <f t="shared" si="24"/>
        <v>0</v>
      </c>
      <c r="G79" s="457">
        <f t="shared" si="25"/>
        <v>2760214.253748354</v>
      </c>
      <c r="H79" s="457">
        <f>+('Rate Base'!$C$77)*'Function Allocators'!D75</f>
        <v>0</v>
      </c>
      <c r="I79" s="457">
        <f>+('Rate Base'!$C$77)*'Function Allocators'!E75</f>
        <v>0</v>
      </c>
      <c r="J79" s="457">
        <f>+('Rate Base'!$C$77)*'Function Allocators'!F75</f>
        <v>0</v>
      </c>
      <c r="K79" s="457">
        <f>+('Rate Base'!$C$77)*'Function Allocators'!G75</f>
        <v>0</v>
      </c>
      <c r="L79" s="457">
        <f>+('Rate Base'!$C$77)*'Function Allocators'!H75</f>
        <v>0</v>
      </c>
      <c r="M79" s="457">
        <f>+('Rate Base'!$C$77)*'Function Allocators'!I75</f>
        <v>0</v>
      </c>
      <c r="N79" s="457">
        <f>+('Rate Base'!$C$77)*'Function Allocators'!J75</f>
        <v>0</v>
      </c>
      <c r="O79" s="457">
        <f>+('Rate Base'!$C$77)*'Function Allocators'!K75</f>
        <v>0</v>
      </c>
      <c r="P79" s="457">
        <f>+('Rate Base'!$C$77)*'Function Allocators'!L75</f>
        <v>2760214.253748354</v>
      </c>
      <c r="Q79" s="457">
        <f>+('Rate Base'!$C$77)*'Function Allocators'!M75</f>
        <v>0</v>
      </c>
      <c r="R79" s="457">
        <f>+('Rate Base'!$C$77)*'Function Allocators'!N75</f>
        <v>0</v>
      </c>
      <c r="S79" s="457">
        <f>+('Rate Base'!$C$77)*'Function Allocators'!O75</f>
        <v>0</v>
      </c>
      <c r="U79" s="473">
        <f>D79-'Rate Base'!C77</f>
        <v>0</v>
      </c>
      <c r="V79" s="361"/>
      <c r="W79" s="468"/>
    </row>
    <row r="80" spans="1:23">
      <c r="A80" s="365">
        <f t="shared" si="19"/>
        <v>23</v>
      </c>
      <c r="B80" s="386">
        <v>384</v>
      </c>
      <c r="C80" s="379" t="s">
        <v>109</v>
      </c>
      <c r="D80" s="457">
        <f t="shared" si="22"/>
        <v>1602310.7255132014</v>
      </c>
      <c r="E80" s="457">
        <f t="shared" si="23"/>
        <v>0</v>
      </c>
      <c r="F80" s="457">
        <f t="shared" si="24"/>
        <v>0</v>
      </c>
      <c r="G80" s="457">
        <f t="shared" si="25"/>
        <v>1602310.7255132014</v>
      </c>
      <c r="H80" s="457">
        <f>+('Rate Base'!$C$78)*'Function Allocators'!D76</f>
        <v>0</v>
      </c>
      <c r="I80" s="457">
        <f>+('Rate Base'!$C$78)*'Function Allocators'!E76</f>
        <v>0</v>
      </c>
      <c r="J80" s="457">
        <f>+('Rate Base'!$C$78)*'Function Allocators'!F76</f>
        <v>0</v>
      </c>
      <c r="K80" s="457">
        <f>+('Rate Base'!$C$78)*'Function Allocators'!G76</f>
        <v>0</v>
      </c>
      <c r="L80" s="457">
        <f>+('Rate Base'!$C$78)*'Function Allocators'!H76</f>
        <v>0</v>
      </c>
      <c r="M80" s="457">
        <f>+('Rate Base'!$C$78)*'Function Allocators'!I76</f>
        <v>0</v>
      </c>
      <c r="N80" s="457">
        <f>+('Rate Base'!$C$78)*'Function Allocators'!J76</f>
        <v>0</v>
      </c>
      <c r="O80" s="457">
        <f>+('Rate Base'!$C$78)*'Function Allocators'!K76</f>
        <v>0</v>
      </c>
      <c r="P80" s="457">
        <f>+('Rate Base'!$C$78)*'Function Allocators'!L76</f>
        <v>1602310.7255132014</v>
      </c>
      <c r="Q80" s="457">
        <f>+('Rate Base'!$C$78)*'Function Allocators'!M76</f>
        <v>0</v>
      </c>
      <c r="R80" s="457">
        <f>+('Rate Base'!$C$78)*'Function Allocators'!N76</f>
        <v>0</v>
      </c>
      <c r="S80" s="457">
        <f>+('Rate Base'!$C$78)*'Function Allocators'!O76</f>
        <v>0</v>
      </c>
      <c r="U80" s="473">
        <f>D80-'Rate Base'!C78</f>
        <v>0</v>
      </c>
      <c r="V80" s="361"/>
      <c r="W80" s="468"/>
    </row>
    <row r="81" spans="1:23">
      <c r="A81" s="365">
        <f t="shared" si="19"/>
        <v>24</v>
      </c>
      <c r="B81" s="386">
        <v>385</v>
      </c>
      <c r="C81" s="379" t="s">
        <v>96</v>
      </c>
      <c r="D81" s="457">
        <f t="shared" si="22"/>
        <v>1086037.8183738508</v>
      </c>
      <c r="E81" s="457">
        <f t="shared" si="23"/>
        <v>0</v>
      </c>
      <c r="F81" s="457">
        <f t="shared" si="24"/>
        <v>0</v>
      </c>
      <c r="G81" s="457">
        <f t="shared" si="25"/>
        <v>1086037.8183738508</v>
      </c>
      <c r="H81" s="457">
        <f>+('Rate Base'!$C$79)*'Function Allocators'!D77</f>
        <v>0</v>
      </c>
      <c r="I81" s="457">
        <f>+('Rate Base'!$C$79)*'Function Allocators'!E77</f>
        <v>0</v>
      </c>
      <c r="J81" s="457">
        <f>+('Rate Base'!$C$79)*'Function Allocators'!F77</f>
        <v>0</v>
      </c>
      <c r="K81" s="457">
        <f>+('Rate Base'!$C$79)*'Function Allocators'!G77</f>
        <v>0</v>
      </c>
      <c r="L81" s="457">
        <f>+('Rate Base'!$C$79)*'Function Allocators'!H77</f>
        <v>0</v>
      </c>
      <c r="M81" s="457">
        <f>+('Rate Base'!$C$79)*'Function Allocators'!I77</f>
        <v>0</v>
      </c>
      <c r="N81" s="457">
        <f>+('Rate Base'!$C$79)*'Function Allocators'!J77</f>
        <v>0</v>
      </c>
      <c r="O81" s="457">
        <f>+('Rate Base'!$C$79)*'Function Allocators'!K77</f>
        <v>0</v>
      </c>
      <c r="P81" s="457">
        <f>+('Rate Base'!$C$79)*'Function Allocators'!L77</f>
        <v>1086037.8183738508</v>
      </c>
      <c r="Q81" s="457">
        <f>+('Rate Base'!$C$79)*'Function Allocators'!M77</f>
        <v>0</v>
      </c>
      <c r="R81" s="457">
        <f>+('Rate Base'!$C$79)*'Function Allocators'!N77</f>
        <v>0</v>
      </c>
      <c r="S81" s="457">
        <f>+('Rate Base'!$C$79)*'Function Allocators'!O77</f>
        <v>0</v>
      </c>
      <c r="U81" s="473">
        <f>D81-'Rate Base'!C79</f>
        <v>0</v>
      </c>
      <c r="V81" s="361"/>
      <c r="W81" s="468"/>
    </row>
    <row r="82" spans="1:23">
      <c r="A82" s="365">
        <f t="shared" si="19"/>
        <v>25</v>
      </c>
      <c r="B82" s="386">
        <v>387</v>
      </c>
      <c r="C82" s="379" t="s">
        <v>98</v>
      </c>
      <c r="D82" s="476">
        <f t="shared" si="22"/>
        <v>1443407.5796437112</v>
      </c>
      <c r="E82" s="476">
        <f t="shared" si="23"/>
        <v>1443407.5796437112</v>
      </c>
      <c r="F82" s="476">
        <f t="shared" si="24"/>
        <v>0</v>
      </c>
      <c r="G82" s="476">
        <f t="shared" si="25"/>
        <v>0</v>
      </c>
      <c r="H82" s="476">
        <f>+('Rate Base'!$C$80)*'Function Allocators'!D78</f>
        <v>0</v>
      </c>
      <c r="I82" s="476">
        <f>+('Rate Base'!$C$80)*'Function Allocators'!E78</f>
        <v>0</v>
      </c>
      <c r="J82" s="476">
        <f>+('Rate Base'!$C$80)*'Function Allocators'!F78</f>
        <v>0</v>
      </c>
      <c r="K82" s="476">
        <f>+('Rate Base'!$C$80)*'Function Allocators'!G78</f>
        <v>1443407.5796437112</v>
      </c>
      <c r="L82" s="476">
        <f>+('Rate Base'!$C$80)*'Function Allocators'!H78</f>
        <v>0</v>
      </c>
      <c r="M82" s="476">
        <f>+('Rate Base'!$C$80)*'Function Allocators'!I78</f>
        <v>0</v>
      </c>
      <c r="N82" s="476">
        <f>+('Rate Base'!$C$80)*'Function Allocators'!J78</f>
        <v>0</v>
      </c>
      <c r="O82" s="476">
        <f>+('Rate Base'!$C$80)*'Function Allocators'!K78</f>
        <v>0</v>
      </c>
      <c r="P82" s="476">
        <f>+('Rate Base'!$C$80)*'Function Allocators'!L78</f>
        <v>0</v>
      </c>
      <c r="Q82" s="476">
        <f>+('Rate Base'!$C$80)*'Function Allocators'!M78</f>
        <v>0</v>
      </c>
      <c r="R82" s="476">
        <f>+('Rate Base'!$C$80)*'Function Allocators'!N78</f>
        <v>0</v>
      </c>
      <c r="S82" s="476">
        <f>+('Rate Base'!$C$80)*'Function Allocators'!O78</f>
        <v>0</v>
      </c>
      <c r="U82" s="473">
        <f>D82-'Rate Base'!C80</f>
        <v>0</v>
      </c>
      <c r="V82" s="361"/>
      <c r="W82" s="468"/>
    </row>
    <row r="83" spans="1:23">
      <c r="A83" s="365">
        <f t="shared" si="19"/>
        <v>26</v>
      </c>
      <c r="B83" s="374"/>
      <c r="C83" s="377" t="s">
        <v>110</v>
      </c>
      <c r="D83" s="474">
        <f t="shared" ref="D83:S83" si="26">SUM(D71:D82)</f>
        <v>196747765.41976047</v>
      </c>
      <c r="E83" s="474">
        <f t="shared" si="26"/>
        <v>54511016.53139808</v>
      </c>
      <c r="F83" s="474">
        <f t="shared" si="26"/>
        <v>0</v>
      </c>
      <c r="G83" s="474">
        <f t="shared" si="26"/>
        <v>142236748.88836238</v>
      </c>
      <c r="H83" s="474">
        <f t="shared" si="26"/>
        <v>0</v>
      </c>
      <c r="I83" s="474">
        <f t="shared" si="26"/>
        <v>49352038.247362427</v>
      </c>
      <c r="J83" s="474">
        <f t="shared" si="26"/>
        <v>3785309.3364164913</v>
      </c>
      <c r="K83" s="474">
        <f t="shared" si="26"/>
        <v>1373668.9476191651</v>
      </c>
      <c r="L83" s="474">
        <f t="shared" si="26"/>
        <v>0</v>
      </c>
      <c r="M83" s="474">
        <f t="shared" si="26"/>
        <v>0</v>
      </c>
      <c r="N83" s="474">
        <f t="shared" si="26"/>
        <v>126629728.06873471</v>
      </c>
      <c r="O83" s="474">
        <f t="shared" si="26"/>
        <v>10158458.02199227</v>
      </c>
      <c r="P83" s="474">
        <f t="shared" si="26"/>
        <v>5448562.7976354063</v>
      </c>
      <c r="Q83" s="474">
        <f t="shared" si="26"/>
        <v>0</v>
      </c>
      <c r="R83" s="474">
        <f t="shared" si="26"/>
        <v>0</v>
      </c>
      <c r="S83" s="474">
        <f t="shared" si="26"/>
        <v>0</v>
      </c>
      <c r="U83" s="473">
        <f>D83-'Rate Base'!C82</f>
        <v>0</v>
      </c>
      <c r="V83" s="361"/>
      <c r="W83" s="468"/>
    </row>
    <row r="84" spans="1:23">
      <c r="A84" s="365">
        <f t="shared" si="19"/>
        <v>27</v>
      </c>
      <c r="B84" s="374"/>
      <c r="C84" s="377"/>
      <c r="D84" s="460"/>
      <c r="U84" s="479"/>
      <c r="V84" s="361"/>
      <c r="W84" s="468"/>
    </row>
    <row r="85" spans="1:23">
      <c r="A85" s="365">
        <f t="shared" si="19"/>
        <v>28</v>
      </c>
      <c r="B85" s="386"/>
      <c r="C85" s="377" t="s">
        <v>261</v>
      </c>
      <c r="D85" s="457"/>
      <c r="U85" s="479"/>
      <c r="V85" s="361"/>
      <c r="W85" s="468"/>
    </row>
    <row r="86" spans="1:23">
      <c r="A86" s="365">
        <f t="shared" si="19"/>
        <v>29</v>
      </c>
      <c r="B86" s="386">
        <v>389</v>
      </c>
      <c r="C86" s="379" t="s">
        <v>244</v>
      </c>
      <c r="D86" s="477">
        <f t="shared" ref="D86:D95" si="27">SUM(E86:G86)</f>
        <v>53808.33626118012</v>
      </c>
      <c r="E86" s="361">
        <f t="shared" ref="E86:E95" si="28">SUM(H86:K86)</f>
        <v>15255.186225156911</v>
      </c>
      <c r="F86" s="477">
        <f t="shared" ref="F86:F95" si="29">SUM(L86:M86)</f>
        <v>0</v>
      </c>
      <c r="G86" s="477">
        <f t="shared" ref="G86:G95" si="30">SUM(N86:S86)</f>
        <v>38553.150036023209</v>
      </c>
      <c r="H86" s="477">
        <f>+('Rate Base'!$C$85)*'Function Allocators'!D82</f>
        <v>0</v>
      </c>
      <c r="I86" s="477">
        <f>+('Rate Base'!$C$85)*'Function Allocators'!E82</f>
        <v>13988.930235938125</v>
      </c>
      <c r="J86" s="477">
        <f>+('Rate Base'!$C$85)*'Function Allocators'!F82</f>
        <v>991.73869448791834</v>
      </c>
      <c r="K86" s="477">
        <f>+('Rate Base'!$C$85)*'Function Allocators'!G82</f>
        <v>274.51729473086806</v>
      </c>
      <c r="L86" s="477">
        <f>+('Rate Base'!$C$85)*'Function Allocators'!H82</f>
        <v>0</v>
      </c>
      <c r="M86" s="477">
        <f>+('Rate Base'!$C$85)*'Function Allocators'!I82</f>
        <v>0</v>
      </c>
      <c r="N86" s="477">
        <f>+('Rate Base'!$C$85)*'Function Allocators'!J82</f>
        <v>31252.475948562969</v>
      </c>
      <c r="O86" s="477">
        <f>+('Rate Base'!$C$85)*'Function Allocators'!K82</f>
        <v>6017.3473943661093</v>
      </c>
      <c r="P86" s="477">
        <f>+('Rate Base'!$C$85)*'Function Allocators'!L82</f>
        <v>1283.3266930941334</v>
      </c>
      <c r="Q86" s="477">
        <f>+('Rate Base'!$C$85)*'Function Allocators'!M82</f>
        <v>0</v>
      </c>
      <c r="R86" s="477">
        <f>+('Rate Base'!$C$85)*'Function Allocators'!N82</f>
        <v>0</v>
      </c>
      <c r="S86" s="477">
        <f>+('Rate Base'!$C$85)*'Function Allocators'!O82</f>
        <v>0</v>
      </c>
      <c r="U86" s="473">
        <f>D86-'Rate Base'!C85</f>
        <v>0</v>
      </c>
      <c r="V86" s="361"/>
      <c r="W86" s="468"/>
    </row>
    <row r="87" spans="1:23">
      <c r="A87" s="365">
        <f t="shared" si="19"/>
        <v>30</v>
      </c>
      <c r="B87" s="386">
        <v>390</v>
      </c>
      <c r="C87" s="379" t="s">
        <v>82</v>
      </c>
      <c r="D87" s="457">
        <f t="shared" si="27"/>
        <v>5018337.2304815482</v>
      </c>
      <c r="E87" s="457">
        <f t="shared" si="28"/>
        <v>1422747.371709113</v>
      </c>
      <c r="F87" s="457">
        <f t="shared" si="29"/>
        <v>0</v>
      </c>
      <c r="G87" s="457">
        <f t="shared" si="30"/>
        <v>3595589.8587724348</v>
      </c>
      <c r="H87" s="457">
        <f>+('Rate Base'!$C$86)*'Function Allocators'!D83</f>
        <v>0</v>
      </c>
      <c r="I87" s="457">
        <f>+('Rate Base'!$C$86)*'Function Allocators'!E83</f>
        <v>1304652.2954522895</v>
      </c>
      <c r="J87" s="457">
        <f>+('Rate Base'!$C$86)*'Function Allocators'!F83</f>
        <v>92492.716914729099</v>
      </c>
      <c r="K87" s="457">
        <f>+('Rate Base'!$C$86)*'Function Allocators'!G83</f>
        <v>25602.359342094576</v>
      </c>
      <c r="L87" s="457">
        <f>+('Rate Base'!$C$86)*'Function Allocators'!H83</f>
        <v>0</v>
      </c>
      <c r="M87" s="457">
        <f>+('Rate Base'!$C$86)*'Function Allocators'!I83</f>
        <v>0</v>
      </c>
      <c r="N87" s="457">
        <f>+('Rate Base'!$C$86)*'Function Allocators'!J83</f>
        <v>2914705.684935871</v>
      </c>
      <c r="O87" s="457">
        <f>+('Rate Base'!$C$86)*'Function Allocators'!K83</f>
        <v>561197.02923567581</v>
      </c>
      <c r="P87" s="457">
        <f>+('Rate Base'!$C$86)*'Function Allocators'!L83</f>
        <v>119687.14460088774</v>
      </c>
      <c r="Q87" s="457">
        <f>+('Rate Base'!$C$86)*'Function Allocators'!M83</f>
        <v>0</v>
      </c>
      <c r="R87" s="457">
        <f>+('Rate Base'!$C$86)*'Function Allocators'!N83</f>
        <v>0</v>
      </c>
      <c r="S87" s="457">
        <f>+('Rate Base'!$C$86)*'Function Allocators'!O83</f>
        <v>0</v>
      </c>
      <c r="U87" s="473">
        <f>D87-'Rate Base'!C86</f>
        <v>0</v>
      </c>
      <c r="V87" s="361"/>
      <c r="W87" s="468"/>
    </row>
    <row r="88" spans="1:23">
      <c r="A88" s="365">
        <f t="shared" si="19"/>
        <v>31</v>
      </c>
      <c r="B88" s="386">
        <v>391</v>
      </c>
      <c r="C88" s="379" t="s">
        <v>262</v>
      </c>
      <c r="D88" s="457">
        <f t="shared" si="27"/>
        <v>2674621.9000000004</v>
      </c>
      <c r="E88" s="457">
        <f t="shared" si="28"/>
        <v>758281.29991484969</v>
      </c>
      <c r="F88" s="457">
        <f t="shared" si="29"/>
        <v>0</v>
      </c>
      <c r="G88" s="457">
        <f t="shared" si="30"/>
        <v>1916340.6000851505</v>
      </c>
      <c r="H88" s="457">
        <f>+('Rate Base'!$C$87)*'Function Allocators'!D84</f>
        <v>0</v>
      </c>
      <c r="I88" s="457">
        <f>+('Rate Base'!$C$87)*'Function Allocators'!E84</f>
        <v>695340.19756721787</v>
      </c>
      <c r="J88" s="457">
        <f>+('Rate Base'!$C$87)*'Function Allocators'!F84</f>
        <v>49295.819489376285</v>
      </c>
      <c r="K88" s="457">
        <f>+('Rate Base'!$C$87)*'Function Allocators'!G84</f>
        <v>13645.282858255599</v>
      </c>
      <c r="L88" s="457">
        <f>+('Rate Base'!$C$87)*'Function Allocators'!H84</f>
        <v>0</v>
      </c>
      <c r="M88" s="457">
        <f>+('Rate Base'!$C$87)*'Function Allocators'!I84</f>
        <v>0</v>
      </c>
      <c r="N88" s="457">
        <f>+('Rate Base'!$C$87)*'Function Allocators'!J84</f>
        <v>1553449.9374877445</v>
      </c>
      <c r="O88" s="457">
        <f>+('Rate Base'!$C$87)*'Function Allocators'!K84</f>
        <v>299101.03599487426</v>
      </c>
      <c r="P88" s="457">
        <f>+('Rate Base'!$C$87)*'Function Allocators'!L84</f>
        <v>63789.626602531724</v>
      </c>
      <c r="Q88" s="457">
        <f>+('Rate Base'!$C$87)*'Function Allocators'!M84</f>
        <v>0</v>
      </c>
      <c r="R88" s="457">
        <f>+('Rate Base'!$C$87)*'Function Allocators'!N84</f>
        <v>0</v>
      </c>
      <c r="S88" s="457">
        <f>+('Rate Base'!$C$87)*'Function Allocators'!O84</f>
        <v>0</v>
      </c>
      <c r="U88" s="473">
        <f>D88-'Rate Base'!C87</f>
        <v>0</v>
      </c>
      <c r="V88" s="361"/>
      <c r="W88" s="468"/>
    </row>
    <row r="89" spans="1:23">
      <c r="A89" s="365">
        <f t="shared" si="19"/>
        <v>32</v>
      </c>
      <c r="B89" s="386">
        <v>392</v>
      </c>
      <c r="C89" s="379" t="s">
        <v>246</v>
      </c>
      <c r="D89" s="457">
        <f t="shared" si="27"/>
        <v>9526985.8599999994</v>
      </c>
      <c r="E89" s="457">
        <f t="shared" si="28"/>
        <v>2700993.0720268129</v>
      </c>
      <c r="F89" s="457">
        <f t="shared" si="29"/>
        <v>0</v>
      </c>
      <c r="G89" s="457">
        <f t="shared" si="30"/>
        <v>6825992.787973186</v>
      </c>
      <c r="H89" s="457">
        <f>+('Rate Base'!$C$88)*'Function Allocators'!D85</f>
        <v>0</v>
      </c>
      <c r="I89" s="457">
        <f>+('Rate Base'!$C$88)*'Function Allocators'!E85</f>
        <v>2476797.2737052999</v>
      </c>
      <c r="J89" s="457">
        <f>+('Rate Base'!$C$88)*'Function Allocators'!F85</f>
        <v>175591.38928474346</v>
      </c>
      <c r="K89" s="457">
        <f>+('Rate Base'!$C$88)*'Function Allocators'!G85</f>
        <v>48604.409036769444</v>
      </c>
      <c r="L89" s="457">
        <f>+('Rate Base'!$C$88)*'Function Allocators'!H85</f>
        <v>0</v>
      </c>
      <c r="M89" s="457">
        <f>+('Rate Base'!$C$88)*'Function Allocators'!I85</f>
        <v>0</v>
      </c>
      <c r="N89" s="457">
        <f>+('Rate Base'!$C$88)*'Function Allocators'!J85</f>
        <v>5533378.6015375191</v>
      </c>
      <c r="O89" s="457">
        <f>+('Rate Base'!$C$88)*'Function Allocators'!K85</f>
        <v>1065395.950221793</v>
      </c>
      <c r="P89" s="457">
        <f>+('Rate Base'!$C$88)*'Function Allocators'!L85</f>
        <v>227218.23621387361</v>
      </c>
      <c r="Q89" s="457">
        <f>+('Rate Base'!$C$88)*'Function Allocators'!M85</f>
        <v>0</v>
      </c>
      <c r="R89" s="457">
        <f>+('Rate Base'!$C$88)*'Function Allocators'!N85</f>
        <v>0</v>
      </c>
      <c r="S89" s="457">
        <f>+('Rate Base'!$C$88)*'Function Allocators'!O85</f>
        <v>0</v>
      </c>
      <c r="U89" s="473">
        <f>D89-'Rate Base'!C88</f>
        <v>0</v>
      </c>
      <c r="V89" s="361"/>
      <c r="W89" s="468"/>
    </row>
    <row r="90" spans="1:23">
      <c r="A90" s="365">
        <f t="shared" si="19"/>
        <v>33</v>
      </c>
      <c r="B90" s="386">
        <v>393</v>
      </c>
      <c r="C90" s="379" t="s">
        <v>247</v>
      </c>
      <c r="D90" s="457">
        <f t="shared" si="27"/>
        <v>164097.41788302996</v>
      </c>
      <c r="E90" s="457">
        <f t="shared" si="28"/>
        <v>46523.212624937478</v>
      </c>
      <c r="F90" s="457">
        <f t="shared" si="29"/>
        <v>0</v>
      </c>
      <c r="G90" s="457">
        <f t="shared" si="30"/>
        <v>117574.20525809248</v>
      </c>
      <c r="H90" s="457">
        <f>+('Rate Base'!$C$89)*'Function Allocators'!D86</f>
        <v>0</v>
      </c>
      <c r="I90" s="457">
        <f>+('Rate Base'!$C$89)*'Function Allocators'!E86</f>
        <v>42661.555628126858</v>
      </c>
      <c r="J90" s="457">
        <f>+('Rate Base'!$C$89)*'Function Allocators'!F86</f>
        <v>3024.4711189400609</v>
      </c>
      <c r="K90" s="457">
        <f>+('Rate Base'!$C$89)*'Function Allocators'!G86</f>
        <v>837.18587787055594</v>
      </c>
      <c r="L90" s="457">
        <f>+('Rate Base'!$C$89)*'Function Allocators'!H86</f>
        <v>0</v>
      </c>
      <c r="M90" s="457">
        <f>+('Rate Base'!$C$89)*'Function Allocators'!I86</f>
        <v>0</v>
      </c>
      <c r="N90" s="457">
        <f>+('Rate Base'!$C$89)*'Function Allocators'!J86</f>
        <v>95309.592564202481</v>
      </c>
      <c r="O90" s="457">
        <f>+('Rate Base'!$C$89)*'Function Allocators'!K86</f>
        <v>18350.895763209766</v>
      </c>
      <c r="P90" s="457">
        <f>+('Rate Base'!$C$89)*'Function Allocators'!L86</f>
        <v>3913.7169306802175</v>
      </c>
      <c r="Q90" s="457">
        <f>+('Rate Base'!$C$89)*'Function Allocators'!M86</f>
        <v>0</v>
      </c>
      <c r="R90" s="457">
        <f>+('Rate Base'!$C$89)*'Function Allocators'!N86</f>
        <v>0</v>
      </c>
      <c r="S90" s="457">
        <f>+('Rate Base'!$C$89)*'Function Allocators'!O86</f>
        <v>0</v>
      </c>
      <c r="U90" s="473">
        <f>D90-'Rate Base'!C89</f>
        <v>0</v>
      </c>
      <c r="V90" s="361"/>
      <c r="W90" s="468"/>
    </row>
    <row r="91" spans="1:23">
      <c r="A91" s="365">
        <f t="shared" ref="A91:A123" si="31">+A90+1</f>
        <v>34</v>
      </c>
      <c r="B91" s="386">
        <v>394</v>
      </c>
      <c r="C91" s="379" t="s">
        <v>248</v>
      </c>
      <c r="D91" s="457">
        <f t="shared" si="27"/>
        <v>2546006.1231774464</v>
      </c>
      <c r="E91" s="457">
        <f t="shared" si="28"/>
        <v>721817.47733171587</v>
      </c>
      <c r="F91" s="457">
        <f t="shared" si="29"/>
        <v>0</v>
      </c>
      <c r="G91" s="457">
        <f t="shared" si="30"/>
        <v>1824188.6458457303</v>
      </c>
      <c r="H91" s="457">
        <f>+('Rate Base'!$C$90)*'Function Allocators'!D87</f>
        <v>0</v>
      </c>
      <c r="I91" s="457">
        <f>+('Rate Base'!$C$90)*'Function Allocators'!E87</f>
        <v>661903.05280067876</v>
      </c>
      <c r="J91" s="457">
        <f>+('Rate Base'!$C$90)*'Function Allocators'!F87</f>
        <v>46925.308682697214</v>
      </c>
      <c r="K91" s="457">
        <f>+('Rate Base'!$C$90)*'Function Allocators'!G87</f>
        <v>12989.115848339909</v>
      </c>
      <c r="L91" s="457">
        <f>+('Rate Base'!$C$90)*'Function Allocators'!H87</f>
        <v>0</v>
      </c>
      <c r="M91" s="457">
        <f>+('Rate Base'!$C$90)*'Function Allocators'!I87</f>
        <v>0</v>
      </c>
      <c r="N91" s="457">
        <f>+('Rate Base'!$C$90)*'Function Allocators'!J87</f>
        <v>1478748.4739033275</v>
      </c>
      <c r="O91" s="457">
        <f>+('Rate Base'!$C$90)*'Function Allocators'!K87</f>
        <v>284718.02653364482</v>
      </c>
      <c r="P91" s="457">
        <f>+('Rate Base'!$C$90)*'Function Allocators'!L87</f>
        <v>60722.145408758028</v>
      </c>
      <c r="Q91" s="457">
        <f>+('Rate Base'!$C$90)*'Function Allocators'!M87</f>
        <v>0</v>
      </c>
      <c r="R91" s="457">
        <f>+('Rate Base'!$C$90)*'Function Allocators'!N87</f>
        <v>0</v>
      </c>
      <c r="S91" s="457">
        <f>+('Rate Base'!$C$90)*'Function Allocators'!O87</f>
        <v>0</v>
      </c>
      <c r="U91" s="473">
        <f>D91-'Rate Base'!C90</f>
        <v>0</v>
      </c>
      <c r="V91" s="361"/>
      <c r="W91" s="468"/>
    </row>
    <row r="92" spans="1:23">
      <c r="A92" s="365">
        <f t="shared" si="31"/>
        <v>35</v>
      </c>
      <c r="B92" s="386">
        <v>395</v>
      </c>
      <c r="C92" s="379" t="s">
        <v>249</v>
      </c>
      <c r="D92" s="457">
        <f t="shared" si="27"/>
        <v>53093.94</v>
      </c>
      <c r="E92" s="457">
        <f t="shared" si="28"/>
        <v>15052.647942799331</v>
      </c>
      <c r="F92" s="457">
        <f t="shared" si="29"/>
        <v>0</v>
      </c>
      <c r="G92" s="457">
        <f t="shared" si="30"/>
        <v>38041.29205720067</v>
      </c>
      <c r="H92" s="457">
        <f>+('Rate Base'!$C$91)*'Function Allocators'!D88</f>
        <v>0</v>
      </c>
      <c r="I92" s="457">
        <f>+('Rate Base'!$C$91)*'Function Allocators'!E88</f>
        <v>13803.203633837744</v>
      </c>
      <c r="J92" s="457">
        <f>+('Rate Base'!$C$91)*'Function Allocators'!F88</f>
        <v>978.57169352414837</v>
      </c>
      <c r="K92" s="457">
        <f>+('Rate Base'!$C$91)*'Function Allocators'!G88</f>
        <v>270.87261543743858</v>
      </c>
      <c r="L92" s="457">
        <f>+('Rate Base'!$C$91)*'Function Allocators'!H88</f>
        <v>0</v>
      </c>
      <c r="M92" s="457">
        <f>+('Rate Base'!$C$91)*'Function Allocators'!I88</f>
        <v>0</v>
      </c>
      <c r="N92" s="457">
        <f>+('Rate Base'!$C$91)*'Function Allocators'!J88</f>
        <v>30837.546710425893</v>
      </c>
      <c r="O92" s="457">
        <f>+('Rate Base'!$C$91)*'Function Allocators'!K88</f>
        <v>5937.4569762738029</v>
      </c>
      <c r="P92" s="457">
        <f>+('Rate Base'!$C$91)*'Function Allocators'!L88</f>
        <v>1266.2883705009756</v>
      </c>
      <c r="Q92" s="457">
        <f>+('Rate Base'!$C$91)*'Function Allocators'!M88</f>
        <v>0</v>
      </c>
      <c r="R92" s="457">
        <f>+('Rate Base'!$C$91)*'Function Allocators'!N88</f>
        <v>0</v>
      </c>
      <c r="S92" s="457">
        <f>+('Rate Base'!$C$91)*'Function Allocators'!O88</f>
        <v>0</v>
      </c>
      <c r="U92" s="473">
        <f>D92-'Rate Base'!C91</f>
        <v>0</v>
      </c>
      <c r="V92" s="361"/>
      <c r="W92" s="468"/>
    </row>
    <row r="93" spans="1:23">
      <c r="A93" s="365">
        <f t="shared" si="31"/>
        <v>36</v>
      </c>
      <c r="B93" s="386">
        <v>396</v>
      </c>
      <c r="C93" s="379" t="s">
        <v>250</v>
      </c>
      <c r="D93" s="457">
        <f t="shared" si="27"/>
        <v>1864718.6499999994</v>
      </c>
      <c r="E93" s="457">
        <f t="shared" si="28"/>
        <v>528665.858115296</v>
      </c>
      <c r="F93" s="457">
        <f t="shared" si="29"/>
        <v>0</v>
      </c>
      <c r="G93" s="457">
        <f t="shared" si="30"/>
        <v>1336052.7918847036</v>
      </c>
      <c r="H93" s="457">
        <f>+('Rate Base'!$C$92)*'Function Allocators'!D89</f>
        <v>0</v>
      </c>
      <c r="I93" s="457">
        <f>+('Rate Base'!$C$92)*'Function Allocators'!E89</f>
        <v>484783.97432484775</v>
      </c>
      <c r="J93" s="457">
        <f>+('Rate Base'!$C$92)*'Function Allocators'!F89</f>
        <v>34368.534097800301</v>
      </c>
      <c r="K93" s="457">
        <f>+('Rate Base'!$C$92)*'Function Allocators'!G89</f>
        <v>9513.3496926479656</v>
      </c>
      <c r="L93" s="457">
        <f>+('Rate Base'!$C$92)*'Function Allocators'!H89</f>
        <v>0</v>
      </c>
      <c r="M93" s="457">
        <f>+('Rate Base'!$C$92)*'Function Allocators'!I89</f>
        <v>0</v>
      </c>
      <c r="N93" s="457">
        <f>+('Rate Base'!$C$92)*'Function Allocators'!J89</f>
        <v>1083049.1854847709</v>
      </c>
      <c r="O93" s="457">
        <f>+('Rate Base'!$C$92)*'Function Allocators'!K89</f>
        <v>208530.14029906926</v>
      </c>
      <c r="P93" s="457">
        <f>+('Rate Base'!$C$92)*'Function Allocators'!L89</f>
        <v>44473.466100863458</v>
      </c>
      <c r="Q93" s="457">
        <f>+('Rate Base'!$C$92)*'Function Allocators'!M89</f>
        <v>0</v>
      </c>
      <c r="R93" s="457">
        <f>+('Rate Base'!$C$92)*'Function Allocators'!N89</f>
        <v>0</v>
      </c>
      <c r="S93" s="457">
        <f>+('Rate Base'!$C$92)*'Function Allocators'!O89</f>
        <v>0</v>
      </c>
      <c r="U93" s="473">
        <f>D93-'Rate Base'!C92</f>
        <v>0</v>
      </c>
      <c r="V93" s="361"/>
      <c r="W93" s="468"/>
    </row>
    <row r="94" spans="1:23">
      <c r="A94" s="365">
        <f t="shared" si="31"/>
        <v>37</v>
      </c>
      <c r="B94" s="386">
        <v>397</v>
      </c>
      <c r="C94" s="379" t="s">
        <v>251</v>
      </c>
      <c r="D94" s="457">
        <f t="shared" si="27"/>
        <v>1508713.88</v>
      </c>
      <c r="E94" s="457">
        <f t="shared" si="28"/>
        <v>427735.04626054864</v>
      </c>
      <c r="F94" s="457">
        <f t="shared" si="29"/>
        <v>0</v>
      </c>
      <c r="G94" s="457">
        <f t="shared" si="30"/>
        <v>1080978.8337394511</v>
      </c>
      <c r="H94" s="457">
        <f>+('Rate Base'!$C$93)*'Function Allocators'!D90</f>
        <v>0</v>
      </c>
      <c r="I94" s="457">
        <f>+('Rate Base'!$C$93)*'Function Allocators'!E90</f>
        <v>392230.91958964505</v>
      </c>
      <c r="J94" s="457">
        <f>+('Rate Base'!$C$93)*'Function Allocators'!F90</f>
        <v>27807.028383935882</v>
      </c>
      <c r="K94" s="457">
        <f>+('Rate Base'!$C$93)*'Function Allocators'!G90</f>
        <v>7697.0982869677</v>
      </c>
      <c r="L94" s="457">
        <f>+('Rate Base'!$C$93)*'Function Allocators'!H90</f>
        <v>0</v>
      </c>
      <c r="M94" s="457">
        <f>+('Rate Base'!$C$93)*'Function Allocators'!I90</f>
        <v>0</v>
      </c>
      <c r="N94" s="457">
        <f>+('Rate Base'!$C$93)*'Function Allocators'!J90</f>
        <v>876277.68342616654</v>
      </c>
      <c r="O94" s="457">
        <f>+('Rate Base'!$C$93)*'Function Allocators'!K90</f>
        <v>168718.38390609392</v>
      </c>
      <c r="P94" s="457">
        <f>+('Rate Base'!$C$93)*'Function Allocators'!L90</f>
        <v>35982.766407190808</v>
      </c>
      <c r="Q94" s="457">
        <f>+('Rate Base'!$C$93)*'Function Allocators'!M90</f>
        <v>0</v>
      </c>
      <c r="R94" s="457">
        <f>+('Rate Base'!$C$93)*'Function Allocators'!N90</f>
        <v>0</v>
      </c>
      <c r="S94" s="457">
        <f>+('Rate Base'!$C$93)*'Function Allocators'!O90</f>
        <v>0</v>
      </c>
      <c r="U94" s="473">
        <f>D94-'Rate Base'!C93</f>
        <v>0</v>
      </c>
      <c r="V94" s="361"/>
      <c r="W94" s="468"/>
    </row>
    <row r="95" spans="1:23">
      <c r="A95" s="365">
        <f t="shared" si="31"/>
        <v>38</v>
      </c>
      <c r="B95" s="386">
        <v>398</v>
      </c>
      <c r="C95" s="379" t="s">
        <v>252</v>
      </c>
      <c r="D95" s="476">
        <f t="shared" si="27"/>
        <v>285726.95542065037</v>
      </c>
      <c r="E95" s="476">
        <f t="shared" si="28"/>
        <v>81006.368480375895</v>
      </c>
      <c r="F95" s="476">
        <f t="shared" si="29"/>
        <v>0</v>
      </c>
      <c r="G95" s="476">
        <f t="shared" si="30"/>
        <v>204720.58694027449</v>
      </c>
      <c r="H95" s="476">
        <f>+('Rate Base'!$C$94)*'Function Allocators'!D91</f>
        <v>0</v>
      </c>
      <c r="I95" s="476">
        <f>+('Rate Base'!$C$94)*'Function Allocators'!E91</f>
        <v>74282.438812183012</v>
      </c>
      <c r="J95" s="476">
        <f>+('Rate Base'!$C$94)*'Function Allocators'!F91</f>
        <v>5266.2189065547718</v>
      </c>
      <c r="K95" s="476">
        <f>+('Rate Base'!$C$94)*'Function Allocators'!G91</f>
        <v>1457.7107616381077</v>
      </c>
      <c r="L95" s="476">
        <f>+('Rate Base'!$C$94)*'Function Allocators'!H91</f>
        <v>0</v>
      </c>
      <c r="M95" s="476">
        <f>+('Rate Base'!$C$94)*'Function Allocators'!I91</f>
        <v>0</v>
      </c>
      <c r="N95" s="476">
        <f>+('Rate Base'!$C$94)*'Function Allocators'!J91</f>
        <v>165953.37121735705</v>
      </c>
      <c r="O95" s="476">
        <f>+('Rate Base'!$C$94)*'Function Allocators'!K91</f>
        <v>31952.639129283198</v>
      </c>
      <c r="P95" s="476">
        <f>+('Rate Base'!$C$94)*'Function Allocators'!L91</f>
        <v>6814.5765936342314</v>
      </c>
      <c r="Q95" s="476">
        <f>+('Rate Base'!$C$94)*'Function Allocators'!M91</f>
        <v>0</v>
      </c>
      <c r="R95" s="476">
        <f>+('Rate Base'!$C$94)*'Function Allocators'!N91</f>
        <v>0</v>
      </c>
      <c r="S95" s="476">
        <f>+('Rate Base'!$C$94)*'Function Allocators'!O91</f>
        <v>0</v>
      </c>
      <c r="U95" s="473">
        <f>D95-'Rate Base'!C94</f>
        <v>0</v>
      </c>
      <c r="V95" s="361"/>
      <c r="W95" s="468"/>
    </row>
    <row r="96" spans="1:23">
      <c r="A96" s="365">
        <f t="shared" si="31"/>
        <v>39</v>
      </c>
      <c r="B96" s="386"/>
      <c r="C96" s="377" t="s">
        <v>111</v>
      </c>
      <c r="D96" s="474">
        <f t="shared" ref="D96:S96" si="32">SUM(D86:D95)</f>
        <v>23696110.293223854</v>
      </c>
      <c r="E96" s="474">
        <f t="shared" si="32"/>
        <v>6718077.5406316053</v>
      </c>
      <c r="F96" s="474">
        <f t="shared" si="32"/>
        <v>0</v>
      </c>
      <c r="G96" s="474">
        <f t="shared" si="32"/>
        <v>16978032.752592247</v>
      </c>
      <c r="H96" s="474">
        <f t="shared" si="32"/>
        <v>0</v>
      </c>
      <c r="I96" s="474">
        <f t="shared" si="32"/>
        <v>6160443.8417500639</v>
      </c>
      <c r="J96" s="474">
        <f t="shared" si="32"/>
        <v>436741.79726678913</v>
      </c>
      <c r="K96" s="474">
        <f t="shared" si="32"/>
        <v>120891.90161475216</v>
      </c>
      <c r="L96" s="474">
        <f t="shared" si="32"/>
        <v>0</v>
      </c>
      <c r="M96" s="474">
        <f t="shared" si="32"/>
        <v>0</v>
      </c>
      <c r="N96" s="474">
        <f t="shared" si="32"/>
        <v>13762962.553215949</v>
      </c>
      <c r="O96" s="474">
        <f t="shared" si="32"/>
        <v>2649918.9054542845</v>
      </c>
      <c r="P96" s="474">
        <f t="shared" si="32"/>
        <v>565151.29392201488</v>
      </c>
      <c r="Q96" s="474">
        <f t="shared" si="32"/>
        <v>0</v>
      </c>
      <c r="R96" s="474">
        <f t="shared" si="32"/>
        <v>0</v>
      </c>
      <c r="S96" s="474">
        <f t="shared" si="32"/>
        <v>0</v>
      </c>
      <c r="U96" s="473">
        <f>D96-'Rate Base'!C96</f>
        <v>0</v>
      </c>
      <c r="V96" s="361"/>
      <c r="W96" s="468"/>
    </row>
    <row r="97" spans="1:23">
      <c r="A97" s="365">
        <f t="shared" si="31"/>
        <v>40</v>
      </c>
      <c r="B97" s="381"/>
      <c r="C97" s="381"/>
      <c r="D97" s="478"/>
      <c r="U97" s="479"/>
      <c r="V97" s="361"/>
      <c r="W97" s="468"/>
    </row>
    <row r="98" spans="1:23">
      <c r="A98" s="365">
        <f t="shared" si="31"/>
        <v>41</v>
      </c>
      <c r="B98" s="386"/>
      <c r="C98" s="377" t="s">
        <v>263</v>
      </c>
      <c r="D98" s="478"/>
      <c r="U98" s="479"/>
      <c r="V98" s="361"/>
      <c r="W98" s="468"/>
    </row>
    <row r="99" spans="1:23">
      <c r="A99" s="365">
        <f t="shared" si="31"/>
        <v>42</v>
      </c>
      <c r="B99" s="386">
        <v>115</v>
      </c>
      <c r="C99" s="379" t="s">
        <v>264</v>
      </c>
      <c r="D99" s="477">
        <f t="shared" ref="D99:S99" si="33">+D60</f>
        <v>378521.83672492416</v>
      </c>
      <c r="E99" s="361">
        <f t="shared" si="33"/>
        <v>107314.61908613399</v>
      </c>
      <c r="F99" s="477">
        <f t="shared" si="33"/>
        <v>0</v>
      </c>
      <c r="G99" s="477">
        <f t="shared" si="33"/>
        <v>271207.21763879014</v>
      </c>
      <c r="H99" s="477">
        <f t="shared" si="33"/>
        <v>0</v>
      </c>
      <c r="I99" s="477">
        <f t="shared" si="33"/>
        <v>98406.974358437321</v>
      </c>
      <c r="J99" s="477">
        <f t="shared" si="33"/>
        <v>6976.5166194066624</v>
      </c>
      <c r="K99" s="477">
        <f t="shared" si="33"/>
        <v>1931.1281082900098</v>
      </c>
      <c r="L99" s="477">
        <f t="shared" si="33"/>
        <v>0</v>
      </c>
      <c r="M99" s="477">
        <f t="shared" si="33"/>
        <v>0</v>
      </c>
      <c r="N99" s="477">
        <f t="shared" si="33"/>
        <v>219849.66308624018</v>
      </c>
      <c r="O99" s="477">
        <f t="shared" si="33"/>
        <v>42329.823707458403</v>
      </c>
      <c r="P99" s="477">
        <f t="shared" si="33"/>
        <v>9027.7308450915571</v>
      </c>
      <c r="Q99" s="477">
        <f t="shared" si="33"/>
        <v>0</v>
      </c>
      <c r="R99" s="477">
        <f t="shared" si="33"/>
        <v>0</v>
      </c>
      <c r="S99" s="477">
        <f t="shared" si="33"/>
        <v>0</v>
      </c>
      <c r="U99" s="473">
        <f>D99-'Rate Base'!C99</f>
        <v>0</v>
      </c>
      <c r="V99" s="361"/>
      <c r="W99" s="468"/>
    </row>
    <row r="100" spans="1:23">
      <c r="A100" s="365">
        <f t="shared" si="31"/>
        <v>43</v>
      </c>
      <c r="B100" s="386">
        <v>115</v>
      </c>
      <c r="C100" s="379" t="s">
        <v>265</v>
      </c>
      <c r="D100" s="457">
        <f t="shared" ref="D100:S100" si="34">+D68</f>
        <v>9689748.0537699871</v>
      </c>
      <c r="E100" s="457">
        <f t="shared" si="34"/>
        <v>9689748.0537699871</v>
      </c>
      <c r="F100" s="457">
        <f t="shared" si="34"/>
        <v>0</v>
      </c>
      <c r="G100" s="457">
        <f t="shared" si="34"/>
        <v>0</v>
      </c>
      <c r="H100" s="457">
        <f t="shared" si="34"/>
        <v>0</v>
      </c>
      <c r="I100" s="457">
        <f t="shared" si="34"/>
        <v>9689748.0537699871</v>
      </c>
      <c r="J100" s="457">
        <f t="shared" si="34"/>
        <v>0</v>
      </c>
      <c r="K100" s="457">
        <f t="shared" si="34"/>
        <v>0</v>
      </c>
      <c r="L100" s="457">
        <f t="shared" si="34"/>
        <v>0</v>
      </c>
      <c r="M100" s="457">
        <f t="shared" si="34"/>
        <v>0</v>
      </c>
      <c r="N100" s="457">
        <f t="shared" si="34"/>
        <v>0</v>
      </c>
      <c r="O100" s="457">
        <f t="shared" si="34"/>
        <v>0</v>
      </c>
      <c r="P100" s="457">
        <f t="shared" si="34"/>
        <v>0</v>
      </c>
      <c r="Q100" s="457">
        <f t="shared" si="34"/>
        <v>0</v>
      </c>
      <c r="R100" s="457">
        <f t="shared" si="34"/>
        <v>0</v>
      </c>
      <c r="S100" s="457">
        <f t="shared" si="34"/>
        <v>0</v>
      </c>
      <c r="U100" s="473">
        <f>D100-'Rate Base'!C100</f>
        <v>0</v>
      </c>
      <c r="V100" s="361"/>
      <c r="W100" s="468"/>
    </row>
    <row r="101" spans="1:23">
      <c r="A101" s="365">
        <f t="shared" si="31"/>
        <v>44</v>
      </c>
      <c r="B101" s="386">
        <v>115</v>
      </c>
      <c r="C101" s="381" t="s">
        <v>266</v>
      </c>
      <c r="D101" s="457">
        <f t="shared" ref="D101:S101" si="35">+D83</f>
        <v>196747765.41976047</v>
      </c>
      <c r="E101" s="457">
        <f t="shared" si="35"/>
        <v>54511016.53139808</v>
      </c>
      <c r="F101" s="457">
        <f t="shared" si="35"/>
        <v>0</v>
      </c>
      <c r="G101" s="457">
        <f t="shared" si="35"/>
        <v>142236748.88836238</v>
      </c>
      <c r="H101" s="457">
        <f t="shared" si="35"/>
        <v>0</v>
      </c>
      <c r="I101" s="457">
        <f t="shared" si="35"/>
        <v>49352038.247362427</v>
      </c>
      <c r="J101" s="457">
        <f t="shared" si="35"/>
        <v>3785309.3364164913</v>
      </c>
      <c r="K101" s="457">
        <f t="shared" si="35"/>
        <v>1373668.9476191651</v>
      </c>
      <c r="L101" s="457">
        <f t="shared" si="35"/>
        <v>0</v>
      </c>
      <c r="M101" s="457">
        <f t="shared" si="35"/>
        <v>0</v>
      </c>
      <c r="N101" s="457">
        <f t="shared" si="35"/>
        <v>126629728.06873471</v>
      </c>
      <c r="O101" s="457">
        <f t="shared" si="35"/>
        <v>10158458.02199227</v>
      </c>
      <c r="P101" s="457">
        <f t="shared" si="35"/>
        <v>5448562.7976354063</v>
      </c>
      <c r="Q101" s="457">
        <f t="shared" si="35"/>
        <v>0</v>
      </c>
      <c r="R101" s="457">
        <f t="shared" si="35"/>
        <v>0</v>
      </c>
      <c r="S101" s="457">
        <f t="shared" si="35"/>
        <v>0</v>
      </c>
      <c r="U101" s="473">
        <f>D101-'Rate Base'!C101</f>
        <v>0</v>
      </c>
      <c r="V101" s="361"/>
      <c r="W101" s="468"/>
    </row>
    <row r="102" spans="1:23">
      <c r="A102" s="365">
        <f t="shared" si="31"/>
        <v>45</v>
      </c>
      <c r="B102" s="386">
        <v>115</v>
      </c>
      <c r="C102" s="379" t="s">
        <v>267</v>
      </c>
      <c r="D102" s="476">
        <f t="shared" ref="D102:S102" si="36">+D96</f>
        <v>23696110.293223854</v>
      </c>
      <c r="E102" s="476">
        <f t="shared" si="36"/>
        <v>6718077.5406316053</v>
      </c>
      <c r="F102" s="476">
        <f t="shared" si="36"/>
        <v>0</v>
      </c>
      <c r="G102" s="476">
        <f t="shared" si="36"/>
        <v>16978032.752592247</v>
      </c>
      <c r="H102" s="476">
        <f t="shared" si="36"/>
        <v>0</v>
      </c>
      <c r="I102" s="476">
        <f t="shared" si="36"/>
        <v>6160443.8417500639</v>
      </c>
      <c r="J102" s="476">
        <f t="shared" si="36"/>
        <v>436741.79726678913</v>
      </c>
      <c r="K102" s="476">
        <f t="shared" si="36"/>
        <v>120891.90161475216</v>
      </c>
      <c r="L102" s="476">
        <f t="shared" si="36"/>
        <v>0</v>
      </c>
      <c r="M102" s="476">
        <f t="shared" si="36"/>
        <v>0</v>
      </c>
      <c r="N102" s="476">
        <f t="shared" si="36"/>
        <v>13762962.553215949</v>
      </c>
      <c r="O102" s="476">
        <f t="shared" si="36"/>
        <v>2649918.9054542845</v>
      </c>
      <c r="P102" s="476">
        <f t="shared" si="36"/>
        <v>565151.29392201488</v>
      </c>
      <c r="Q102" s="476">
        <f t="shared" si="36"/>
        <v>0</v>
      </c>
      <c r="R102" s="476">
        <f t="shared" si="36"/>
        <v>0</v>
      </c>
      <c r="S102" s="476">
        <f t="shared" si="36"/>
        <v>0</v>
      </c>
      <c r="U102" s="473">
        <f>D102-'Rate Base'!C102</f>
        <v>0</v>
      </c>
      <c r="V102" s="361"/>
      <c r="W102" s="468"/>
    </row>
    <row r="103" spans="1:23" ht="12" thickBot="1">
      <c r="A103" s="365">
        <f t="shared" si="31"/>
        <v>46</v>
      </c>
      <c r="B103" s="374"/>
      <c r="C103" s="377" t="s">
        <v>268</v>
      </c>
      <c r="D103" s="488">
        <f t="shared" ref="D103:S103" si="37">SUM(D99:D102)</f>
        <v>230512145.60347924</v>
      </c>
      <c r="E103" s="488">
        <f t="shared" si="37"/>
        <v>71026156.744885802</v>
      </c>
      <c r="F103" s="488">
        <f t="shared" si="37"/>
        <v>0</v>
      </c>
      <c r="G103" s="488">
        <f t="shared" si="37"/>
        <v>159485988.8585934</v>
      </c>
      <c r="H103" s="488">
        <f t="shared" si="37"/>
        <v>0</v>
      </c>
      <c r="I103" s="488">
        <f t="shared" si="37"/>
        <v>65300637.117240913</v>
      </c>
      <c r="J103" s="488">
        <f t="shared" si="37"/>
        <v>4229027.6503026867</v>
      </c>
      <c r="K103" s="488">
        <f t="shared" si="37"/>
        <v>1496491.9773422072</v>
      </c>
      <c r="L103" s="488">
        <f t="shared" si="37"/>
        <v>0</v>
      </c>
      <c r="M103" s="488">
        <f t="shared" si="37"/>
        <v>0</v>
      </c>
      <c r="N103" s="488">
        <f t="shared" si="37"/>
        <v>140612540.28503689</v>
      </c>
      <c r="O103" s="488">
        <f t="shared" si="37"/>
        <v>12850706.751154013</v>
      </c>
      <c r="P103" s="488">
        <f t="shared" si="37"/>
        <v>6022741.8224025127</v>
      </c>
      <c r="Q103" s="488">
        <f t="shared" si="37"/>
        <v>0</v>
      </c>
      <c r="R103" s="488">
        <f t="shared" si="37"/>
        <v>0</v>
      </c>
      <c r="S103" s="488">
        <f t="shared" si="37"/>
        <v>0</v>
      </c>
      <c r="U103" s="487">
        <f>D103-'Rate Base'!C103</f>
        <v>0</v>
      </c>
      <c r="V103" s="361"/>
      <c r="W103" s="468"/>
    </row>
    <row r="104" spans="1:23" ht="12" thickTop="1">
      <c r="A104" s="365">
        <f t="shared" si="31"/>
        <v>47</v>
      </c>
      <c r="B104" s="381"/>
      <c r="C104" s="381"/>
      <c r="D104" s="478"/>
      <c r="U104" s="479"/>
      <c r="V104" s="361"/>
      <c r="W104" s="468"/>
    </row>
    <row r="105" spans="1:23">
      <c r="A105" s="365">
        <f t="shared" si="31"/>
        <v>48</v>
      </c>
      <c r="B105" s="381"/>
      <c r="C105" s="381"/>
      <c r="D105" s="478"/>
      <c r="U105" s="479"/>
      <c r="V105" s="361"/>
      <c r="W105" s="468"/>
    </row>
    <row r="106" spans="1:23" ht="17.25" customHeight="1" thickBot="1">
      <c r="A106" s="365">
        <f t="shared" si="31"/>
        <v>49</v>
      </c>
      <c r="B106" s="381"/>
      <c r="C106" s="387" t="s">
        <v>269</v>
      </c>
      <c r="D106" s="486">
        <f t="shared" ref="D106:S106" si="38">+D54-D103</f>
        <v>362040670.57197201</v>
      </c>
      <c r="E106" s="486">
        <f t="shared" si="38"/>
        <v>96968324.698008984</v>
      </c>
      <c r="F106" s="486">
        <f t="shared" si="38"/>
        <v>0</v>
      </c>
      <c r="G106" s="486">
        <f t="shared" si="38"/>
        <v>265072345.87396312</v>
      </c>
      <c r="H106" s="486">
        <f t="shared" si="38"/>
        <v>0</v>
      </c>
      <c r="I106" s="486">
        <f t="shared" si="38"/>
        <v>88749470.627747536</v>
      </c>
      <c r="J106" s="486">
        <f t="shared" si="38"/>
        <v>6692282.9977586335</v>
      </c>
      <c r="K106" s="486">
        <f t="shared" si="38"/>
        <v>1526571.1245460093</v>
      </c>
      <c r="L106" s="486">
        <f t="shared" si="38"/>
        <v>0</v>
      </c>
      <c r="M106" s="486">
        <f t="shared" si="38"/>
        <v>0</v>
      </c>
      <c r="N106" s="486">
        <f t="shared" si="38"/>
        <v>203548679.04860994</v>
      </c>
      <c r="O106" s="486">
        <f t="shared" si="38"/>
        <v>53414046.793737762</v>
      </c>
      <c r="P106" s="486">
        <f t="shared" si="38"/>
        <v>8109619.4095722064</v>
      </c>
      <c r="Q106" s="486">
        <f t="shared" si="38"/>
        <v>0</v>
      </c>
      <c r="R106" s="486">
        <f t="shared" si="38"/>
        <v>0</v>
      </c>
      <c r="S106" s="486">
        <f t="shared" si="38"/>
        <v>0</v>
      </c>
      <c r="U106" s="485">
        <f>D106-'Rate Base'!C110</f>
        <v>0.56999993324279785</v>
      </c>
      <c r="V106" s="361"/>
      <c r="W106" s="361"/>
    </row>
    <row r="107" spans="1:23" ht="12" thickTop="1">
      <c r="A107" s="365">
        <f t="shared" si="31"/>
        <v>50</v>
      </c>
      <c r="B107" s="381"/>
      <c r="C107" s="381"/>
      <c r="D107" s="478"/>
      <c r="I107" s="484"/>
      <c r="U107" s="479"/>
      <c r="V107" s="361"/>
      <c r="W107" s="468"/>
    </row>
    <row r="108" spans="1:23" ht="25.5" customHeight="1">
      <c r="A108" s="365">
        <f t="shared" si="31"/>
        <v>51</v>
      </c>
      <c r="B108" s="390"/>
      <c r="C108" s="483" t="s">
        <v>114</v>
      </c>
      <c r="D108" s="478"/>
      <c r="U108" s="479"/>
      <c r="V108" s="361"/>
      <c r="W108" s="468"/>
    </row>
    <row r="109" spans="1:23">
      <c r="A109" s="365">
        <f t="shared" si="31"/>
        <v>52</v>
      </c>
      <c r="B109" s="390" t="s">
        <v>115</v>
      </c>
      <c r="C109" s="379" t="s">
        <v>16</v>
      </c>
      <c r="D109" s="477">
        <f>SUM(E109:G109)</f>
        <v>-5304562.0382017512</v>
      </c>
      <c r="E109" s="477">
        <f>SUM(H109:K109)</f>
        <v>-1503894.8861544088</v>
      </c>
      <c r="F109" s="361">
        <f>SUM(L109:M109)</f>
        <v>0</v>
      </c>
      <c r="G109" s="477">
        <f>SUM(N109:S109)</f>
        <v>-3800667.1520473422</v>
      </c>
      <c r="H109" s="477">
        <f>+'Rate Base'!$C$113*'Function Allocators'!D95</f>
        <v>0</v>
      </c>
      <c r="I109" s="477">
        <f>+'Rate Base'!$C$113*'Function Allocators'!E95</f>
        <v>-1379064.1644154524</v>
      </c>
      <c r="J109" s="477">
        <f>+'Rate Base'!$C$113*'Function Allocators'!F95</f>
        <v>-97768.11171156248</v>
      </c>
      <c r="K109" s="477">
        <f>+'Rate Base'!$C$113*'Function Allocators'!G95</f>
        <v>-27062.610027394057</v>
      </c>
      <c r="L109" s="477">
        <f>+'Rate Base'!$C$113*'Function Allocators'!H95</f>
        <v>0</v>
      </c>
      <c r="M109" s="477">
        <f>+'Rate Base'!$C$113*'Function Allocators'!I95</f>
        <v>0</v>
      </c>
      <c r="N109" s="477">
        <f>+'Rate Base'!$C$113*'Function Allocators'!J95</f>
        <v>-3080948.2142669857</v>
      </c>
      <c r="O109" s="477">
        <f>+'Rate Base'!$C$113*'Function Allocators'!K95</f>
        <v>-593205.34282816772</v>
      </c>
      <c r="P109" s="477">
        <f>+'Rate Base'!$C$113*'Function Allocators'!L95</f>
        <v>-126513.59495218907</v>
      </c>
      <c r="Q109" s="477">
        <f>+'Rate Base'!$C$113*'Function Allocators'!M95</f>
        <v>0</v>
      </c>
      <c r="R109" s="477">
        <f>+'Rate Base'!$C$113*'Function Allocators'!N95</f>
        <v>0</v>
      </c>
      <c r="S109" s="477">
        <f>+'Rate Base'!$C$113*'Function Allocators'!O95</f>
        <v>0</v>
      </c>
      <c r="T109" s="477"/>
      <c r="U109" s="473">
        <f>D109-'Rate Base'!C113</f>
        <v>0</v>
      </c>
      <c r="V109" s="361"/>
      <c r="W109" s="468"/>
    </row>
    <row r="110" spans="1:23">
      <c r="A110" s="365">
        <f t="shared" si="31"/>
        <v>53</v>
      </c>
      <c r="B110" s="390" t="s">
        <v>270</v>
      </c>
      <c r="C110" s="379" t="s">
        <v>17</v>
      </c>
      <c r="D110" s="457">
        <f>SUM(E110:G110)</f>
        <v>2592782.7799999998</v>
      </c>
      <c r="E110" s="456">
        <f>SUM(H110:K110)</f>
        <v>735079.11410403007</v>
      </c>
      <c r="F110" s="456">
        <f>SUM(L110:M110)</f>
        <v>0</v>
      </c>
      <c r="G110" s="456">
        <f>SUM(N110:S110)</f>
        <v>1857703.6658959698</v>
      </c>
      <c r="H110" s="478">
        <f>+'Rate Base'!$C$114*'Function Allocators'!D96</f>
        <v>0</v>
      </c>
      <c r="I110" s="478">
        <f>+'Rate Base'!$C$114*'Function Allocators'!E96</f>
        <v>674063.90805895976</v>
      </c>
      <c r="J110" s="478">
        <f>+'Rate Base'!$C$114*'Function Allocators'!F96</f>
        <v>47787.446852971341</v>
      </c>
      <c r="K110" s="478">
        <f>+'Rate Base'!$C$114*'Function Allocators'!G96</f>
        <v>13227.759192099002</v>
      </c>
      <c r="L110" s="478">
        <f>+'Rate Base'!$C$114*'Function Allocators'!H96</f>
        <v>0</v>
      </c>
      <c r="M110" s="478">
        <f>+'Rate Base'!$C$114*'Function Allocators'!I96</f>
        <v>0</v>
      </c>
      <c r="N110" s="478">
        <f>+'Rate Base'!$C$114*'Function Allocators'!J96</f>
        <v>1505916.8727775316</v>
      </c>
      <c r="O110" s="478">
        <f>+'Rate Base'!$C$114*'Function Allocators'!K96</f>
        <v>289949.02629327535</v>
      </c>
      <c r="P110" s="478">
        <f>+'Rate Base'!$C$114*'Function Allocators'!L96</f>
        <v>61837.766825162893</v>
      </c>
      <c r="Q110" s="478">
        <f>+'Rate Base'!$C$114*'Function Allocators'!M96</f>
        <v>0</v>
      </c>
      <c r="R110" s="478">
        <f>+'Rate Base'!$C$114*'Function Allocators'!N96</f>
        <v>0</v>
      </c>
      <c r="S110" s="478">
        <f>+'Rate Base'!$C$114*'Function Allocators'!O96</f>
        <v>0</v>
      </c>
      <c r="U110" s="473">
        <f>D110-'Rate Base'!C114</f>
        <v>0</v>
      </c>
      <c r="V110" s="361"/>
      <c r="W110" s="468"/>
    </row>
    <row r="111" spans="1:23">
      <c r="A111" s="365">
        <f t="shared" si="31"/>
        <v>54</v>
      </c>
      <c r="B111" s="385">
        <v>165</v>
      </c>
      <c r="C111" s="381" t="s">
        <v>18</v>
      </c>
      <c r="D111" s="476">
        <f>SUM(E111:G111)</f>
        <v>485024.13</v>
      </c>
      <c r="E111" s="475">
        <f>SUM(H111:K111)</f>
        <v>137509.05419060131</v>
      </c>
      <c r="F111" s="475">
        <f>SUM(L111:M111)</f>
        <v>0</v>
      </c>
      <c r="G111" s="475">
        <f>SUM(N111:S111)</f>
        <v>347515.07580939867</v>
      </c>
      <c r="H111" s="482">
        <f>+'Rate Base'!$C$115*'Function Allocators'!D97</f>
        <v>0</v>
      </c>
      <c r="I111" s="482">
        <f>+'Rate Base'!$C$115*'Function Allocators'!E97</f>
        <v>126095.12184846311</v>
      </c>
      <c r="J111" s="482">
        <f>+'Rate Base'!$C$115*'Function Allocators'!F97</f>
        <v>8939.4549414523881</v>
      </c>
      <c r="K111" s="482">
        <f>+'Rate Base'!$C$115*'Function Allocators'!G97</f>
        <v>2474.477400685807</v>
      </c>
      <c r="L111" s="482">
        <f>+'Rate Base'!$C$115*'Function Allocators'!H97</f>
        <v>0</v>
      </c>
      <c r="M111" s="482">
        <f>+'Rate Base'!$C$115*'Function Allocators'!I97</f>
        <v>0</v>
      </c>
      <c r="N111" s="482">
        <f>+'Rate Base'!$C$115*'Function Allocators'!J97</f>
        <v>281707.37120957079</v>
      </c>
      <c r="O111" s="482">
        <f>+'Rate Base'!$C$115*'Function Allocators'!K97</f>
        <v>54239.898269550751</v>
      </c>
      <c r="P111" s="482">
        <f>+'Rate Base'!$C$115*'Function Allocators'!L97</f>
        <v>11567.806330277113</v>
      </c>
      <c r="Q111" s="482">
        <f>+'Rate Base'!$C$115*'Function Allocators'!M97</f>
        <v>0</v>
      </c>
      <c r="R111" s="482">
        <f>+'Rate Base'!$C$115*'Function Allocators'!N97</f>
        <v>0</v>
      </c>
      <c r="S111" s="482">
        <f>+'Rate Base'!$C$115*'Function Allocators'!O97</f>
        <v>0</v>
      </c>
      <c r="U111" s="473">
        <f>D111-'Rate Base'!C115</f>
        <v>0</v>
      </c>
      <c r="V111" s="361"/>
      <c r="W111" s="468"/>
    </row>
    <row r="112" spans="1:23">
      <c r="A112" s="365">
        <f t="shared" si="31"/>
        <v>55</v>
      </c>
      <c r="B112" s="374"/>
      <c r="C112" s="387" t="s">
        <v>117</v>
      </c>
      <c r="D112" s="474">
        <f t="shared" ref="D112:S112" si="39">SUM(D109:D111)</f>
        <v>-2226755.1282017515</v>
      </c>
      <c r="E112" s="474">
        <f t="shared" si="39"/>
        <v>-631306.71785977739</v>
      </c>
      <c r="F112" s="474">
        <f t="shared" si="39"/>
        <v>0</v>
      </c>
      <c r="G112" s="474">
        <f t="shared" si="39"/>
        <v>-1595448.4103419736</v>
      </c>
      <c r="H112" s="474">
        <f t="shared" si="39"/>
        <v>0</v>
      </c>
      <c r="I112" s="474">
        <f t="shared" si="39"/>
        <v>-578905.13450802956</v>
      </c>
      <c r="J112" s="474">
        <f t="shared" si="39"/>
        <v>-41041.209917138753</v>
      </c>
      <c r="K112" s="474">
        <f t="shared" si="39"/>
        <v>-11360.37343460925</v>
      </c>
      <c r="L112" s="474">
        <f t="shared" si="39"/>
        <v>0</v>
      </c>
      <c r="M112" s="474">
        <f t="shared" si="39"/>
        <v>0</v>
      </c>
      <c r="N112" s="474">
        <f t="shared" si="39"/>
        <v>-1293323.9702798831</v>
      </c>
      <c r="O112" s="474">
        <f t="shared" si="39"/>
        <v>-249016.41826534161</v>
      </c>
      <c r="P112" s="474">
        <f t="shared" si="39"/>
        <v>-53108.021796749068</v>
      </c>
      <c r="Q112" s="474">
        <f t="shared" si="39"/>
        <v>0</v>
      </c>
      <c r="R112" s="474">
        <f t="shared" si="39"/>
        <v>0</v>
      </c>
      <c r="S112" s="474">
        <f t="shared" si="39"/>
        <v>0</v>
      </c>
      <c r="U112" s="473">
        <f>D112-'Rate Base'!C116</f>
        <v>0</v>
      </c>
      <c r="V112" s="361"/>
      <c r="W112" s="468"/>
    </row>
    <row r="113" spans="1:23">
      <c r="A113" s="365">
        <f t="shared" si="31"/>
        <v>56</v>
      </c>
      <c r="B113" s="374"/>
      <c r="C113" s="387"/>
      <c r="D113" s="478"/>
      <c r="U113" s="479"/>
      <c r="V113" s="361"/>
      <c r="W113" s="468"/>
    </row>
    <row r="114" spans="1:23">
      <c r="A114" s="365">
        <f t="shared" si="31"/>
        <v>57</v>
      </c>
      <c r="B114" s="386"/>
      <c r="C114" s="377" t="s">
        <v>118</v>
      </c>
      <c r="D114" s="478"/>
      <c r="U114" s="479"/>
      <c r="V114" s="361"/>
      <c r="W114" s="468"/>
    </row>
    <row r="115" spans="1:23">
      <c r="A115" s="365">
        <f t="shared" si="31"/>
        <v>58</v>
      </c>
      <c r="B115" s="385">
        <v>252</v>
      </c>
      <c r="C115" s="381" t="s">
        <v>119</v>
      </c>
      <c r="D115" s="477">
        <f>SUM(E115:G115)</f>
        <v>-5445150</v>
      </c>
      <c r="E115" s="477">
        <f>SUM(H115:K115)</f>
        <v>0</v>
      </c>
      <c r="F115" s="477">
        <f>SUM(L115:M115)</f>
        <v>0</v>
      </c>
      <c r="G115" s="477">
        <f>SUM(N115:S115)</f>
        <v>-5445150</v>
      </c>
      <c r="H115" s="477">
        <f>+'Rate Base'!$C$119*'Function Allocators'!D101</f>
        <v>0</v>
      </c>
      <c r="I115" s="477">
        <f>+'Rate Base'!$C$119*'Function Allocators'!E101</f>
        <v>0</v>
      </c>
      <c r="J115" s="477">
        <f>+'Rate Base'!$C$119*'Function Allocators'!F101</f>
        <v>0</v>
      </c>
      <c r="K115" s="477">
        <f>+'Rate Base'!$C$119*'Function Allocators'!G101</f>
        <v>0</v>
      </c>
      <c r="L115" s="477">
        <f>+'Rate Base'!$C$119*'Function Allocators'!H101</f>
        <v>0</v>
      </c>
      <c r="M115" s="477">
        <f>+'Rate Base'!$C$119*'Function Allocators'!I101</f>
        <v>0</v>
      </c>
      <c r="N115" s="477">
        <f>+'Rate Base'!$C$119*'Function Allocators'!J101</f>
        <v>-5445150</v>
      </c>
      <c r="O115" s="477">
        <f>+'Rate Base'!$C$119*'Function Allocators'!K101</f>
        <v>0</v>
      </c>
      <c r="P115" s="477">
        <f>+'Rate Base'!$C$119*'Function Allocators'!L101</f>
        <v>0</v>
      </c>
      <c r="Q115" s="477">
        <f>+'Rate Base'!$C$119*'Function Allocators'!M101</f>
        <v>0</v>
      </c>
      <c r="R115" s="477">
        <f>+'Rate Base'!$C$119*'Function Allocators'!N101</f>
        <v>0</v>
      </c>
      <c r="S115" s="477">
        <f>+'Rate Base'!$C$119*'Function Allocators'!O101</f>
        <v>0</v>
      </c>
      <c r="U115" s="473">
        <f>D115-'Rate Base'!C119</f>
        <v>0</v>
      </c>
      <c r="V115" s="361"/>
      <c r="W115" s="468"/>
    </row>
    <row r="116" spans="1:23">
      <c r="A116" s="365">
        <f t="shared" si="31"/>
        <v>59</v>
      </c>
      <c r="B116" s="385">
        <v>235</v>
      </c>
      <c r="C116" s="381" t="s">
        <v>20</v>
      </c>
      <c r="D116" s="481">
        <f>SUM(E116:G116)</f>
        <v>-1598822.74</v>
      </c>
      <c r="E116" s="481">
        <f>SUM(H116:K116)</f>
        <v>0</v>
      </c>
      <c r="F116" s="481">
        <f>SUM(L116:M116)</f>
        <v>0</v>
      </c>
      <c r="G116" s="481">
        <f>SUM(N116:S116)</f>
        <v>-1598822.74</v>
      </c>
      <c r="H116" s="481">
        <f>+'Rate Base'!$C$120*'Function Allocators'!D102</f>
        <v>0</v>
      </c>
      <c r="I116" s="481">
        <f>+'Rate Base'!$C$120*'Function Allocators'!E102</f>
        <v>0</v>
      </c>
      <c r="J116" s="481">
        <f>+'Rate Base'!$C$120*'Function Allocators'!F102</f>
        <v>0</v>
      </c>
      <c r="K116" s="481">
        <f>+'Rate Base'!$C$120*'Function Allocators'!G102</f>
        <v>0</v>
      </c>
      <c r="L116" s="481">
        <f>+'Rate Base'!$C$120*'Function Allocators'!H102</f>
        <v>0</v>
      </c>
      <c r="M116" s="481">
        <f>+'Rate Base'!$C$120*'Function Allocators'!I102</f>
        <v>0</v>
      </c>
      <c r="N116" s="481">
        <f>+'Rate Base'!$C$120*'Function Allocators'!J102</f>
        <v>-1598822.74</v>
      </c>
      <c r="O116" s="481">
        <f>+'Rate Base'!$C$120*'Function Allocators'!K102</f>
        <v>0</v>
      </c>
      <c r="P116" s="481">
        <f>+'Rate Base'!$C$120*'Function Allocators'!L102</f>
        <v>0</v>
      </c>
      <c r="Q116" s="481">
        <f>+'Rate Base'!$C$120*'Function Allocators'!M102</f>
        <v>0</v>
      </c>
      <c r="R116" s="481">
        <f>+'Rate Base'!$C$120*'Function Allocators'!N102</f>
        <v>0</v>
      </c>
      <c r="S116" s="481">
        <f>+'Rate Base'!$C$120*'Function Allocators'!O102</f>
        <v>0</v>
      </c>
      <c r="U116" s="473">
        <f>D116-'Rate Base'!C120</f>
        <v>0</v>
      </c>
      <c r="V116" s="361"/>
      <c r="W116" s="468"/>
    </row>
    <row r="117" spans="1:23">
      <c r="A117" s="365">
        <f t="shared" si="31"/>
        <v>60</v>
      </c>
      <c r="B117" s="374"/>
      <c r="C117" s="377" t="s">
        <v>121</v>
      </c>
      <c r="D117" s="474">
        <f t="shared" ref="D117:S117" si="40">SUM(D115:D116)</f>
        <v>-7043972.7400000002</v>
      </c>
      <c r="E117" s="474">
        <f t="shared" si="40"/>
        <v>0</v>
      </c>
      <c r="F117" s="474">
        <f t="shared" si="40"/>
        <v>0</v>
      </c>
      <c r="G117" s="474">
        <f t="shared" si="40"/>
        <v>-7043972.7400000002</v>
      </c>
      <c r="H117" s="474">
        <f t="shared" si="40"/>
        <v>0</v>
      </c>
      <c r="I117" s="474">
        <f t="shared" si="40"/>
        <v>0</v>
      </c>
      <c r="J117" s="474">
        <f t="shared" si="40"/>
        <v>0</v>
      </c>
      <c r="K117" s="474">
        <f t="shared" si="40"/>
        <v>0</v>
      </c>
      <c r="L117" s="474">
        <f t="shared" si="40"/>
        <v>0</v>
      </c>
      <c r="M117" s="474">
        <f t="shared" si="40"/>
        <v>0</v>
      </c>
      <c r="N117" s="474">
        <f t="shared" si="40"/>
        <v>-7043972.7400000002</v>
      </c>
      <c r="O117" s="474">
        <f t="shared" si="40"/>
        <v>0</v>
      </c>
      <c r="P117" s="474">
        <f t="shared" si="40"/>
        <v>0</v>
      </c>
      <c r="Q117" s="474">
        <f t="shared" si="40"/>
        <v>0</v>
      </c>
      <c r="R117" s="474">
        <f t="shared" si="40"/>
        <v>0</v>
      </c>
      <c r="S117" s="474">
        <f t="shared" si="40"/>
        <v>0</v>
      </c>
      <c r="T117" s="474"/>
      <c r="U117" s="473">
        <f>D117-'Rate Base'!C121</f>
        <v>0</v>
      </c>
      <c r="V117" s="361"/>
      <c r="W117" s="468"/>
    </row>
    <row r="118" spans="1:23">
      <c r="A118" s="365">
        <f t="shared" si="31"/>
        <v>61</v>
      </c>
      <c r="B118" s="374"/>
      <c r="C118" s="377"/>
      <c r="D118" s="460"/>
      <c r="U118" s="473"/>
      <c r="V118" s="361"/>
      <c r="W118" s="468"/>
    </row>
    <row r="119" spans="1:23" ht="12" thickBot="1">
      <c r="A119" s="365">
        <f t="shared" si="31"/>
        <v>62</v>
      </c>
      <c r="B119" s="374"/>
      <c r="C119" s="377" t="s">
        <v>271</v>
      </c>
      <c r="D119" s="480">
        <f t="shared" ref="D119:S119" si="41">+D106+D112+D117</f>
        <v>352769942.70377028</v>
      </c>
      <c r="E119" s="480">
        <f t="shared" si="41"/>
        <v>96337017.980149209</v>
      </c>
      <c r="F119" s="480">
        <f t="shared" si="41"/>
        <v>0</v>
      </c>
      <c r="G119" s="480">
        <f t="shared" si="41"/>
        <v>256432924.72362113</v>
      </c>
      <c r="H119" s="480">
        <f t="shared" si="41"/>
        <v>0</v>
      </c>
      <c r="I119" s="480">
        <f t="shared" si="41"/>
        <v>88170565.493239507</v>
      </c>
      <c r="J119" s="480">
        <f t="shared" si="41"/>
        <v>6651241.7878414951</v>
      </c>
      <c r="K119" s="480">
        <f t="shared" si="41"/>
        <v>1515210.7511114001</v>
      </c>
      <c r="L119" s="480">
        <f t="shared" si="41"/>
        <v>0</v>
      </c>
      <c r="M119" s="480">
        <f t="shared" si="41"/>
        <v>0</v>
      </c>
      <c r="N119" s="480">
        <f t="shared" si="41"/>
        <v>195211382.33833006</v>
      </c>
      <c r="O119" s="480">
        <f t="shared" si="41"/>
        <v>53165030.375472419</v>
      </c>
      <c r="P119" s="480">
        <f t="shared" si="41"/>
        <v>8056511.3877754575</v>
      </c>
      <c r="Q119" s="480">
        <f t="shared" si="41"/>
        <v>0</v>
      </c>
      <c r="R119" s="480">
        <f t="shared" si="41"/>
        <v>0</v>
      </c>
      <c r="S119" s="480">
        <f t="shared" si="41"/>
        <v>0</v>
      </c>
      <c r="U119" s="473">
        <f>D119-'Rate Base'!C123</f>
        <v>0.56999993324279785</v>
      </c>
      <c r="V119" s="361"/>
      <c r="W119" s="468"/>
    </row>
    <row r="120" spans="1:23" ht="12" thickTop="1">
      <c r="A120" s="365">
        <f t="shared" si="31"/>
        <v>63</v>
      </c>
      <c r="B120" s="374"/>
      <c r="C120" s="377"/>
      <c r="D120" s="478"/>
      <c r="U120" s="479"/>
      <c r="V120" s="361"/>
      <c r="W120" s="468"/>
    </row>
    <row r="121" spans="1:23">
      <c r="A121" s="365">
        <f t="shared" si="31"/>
        <v>64</v>
      </c>
      <c r="B121" s="374"/>
      <c r="C121" s="377" t="s">
        <v>122</v>
      </c>
      <c r="D121" s="478"/>
      <c r="U121" s="479"/>
      <c r="V121" s="456"/>
      <c r="W121" s="468"/>
    </row>
    <row r="122" spans="1:23">
      <c r="A122" s="365">
        <f t="shared" si="31"/>
        <v>65</v>
      </c>
      <c r="B122" s="383"/>
      <c r="C122" s="381" t="s">
        <v>123</v>
      </c>
      <c r="D122" s="477">
        <f>SUM(E122:G122)</f>
        <v>0</v>
      </c>
      <c r="E122" s="361">
        <f>SUM(H122:K122)</f>
        <v>0</v>
      </c>
      <c r="F122" s="361">
        <f>SUM(L122:M122)</f>
        <v>0</v>
      </c>
      <c r="G122" s="361">
        <f>SUM(N122:S122)</f>
        <v>0</v>
      </c>
      <c r="H122" s="361">
        <f>+'Rate Base'!$C$126*'Function Allocators'!D106</f>
        <v>0</v>
      </c>
      <c r="I122" s="361">
        <f>+'Rate Base'!$C$126*'Function Allocators'!E106</f>
        <v>0</v>
      </c>
      <c r="J122" s="361">
        <f>+'Rate Base'!$C$126*'Function Allocators'!F106</f>
        <v>0</v>
      </c>
      <c r="K122" s="361">
        <f>+'Rate Base'!$C$126*'Function Allocators'!G106</f>
        <v>0</v>
      </c>
      <c r="L122" s="361">
        <f>+'Rate Base'!$C$126*'Function Allocators'!H106</f>
        <v>0</v>
      </c>
      <c r="M122" s="361">
        <f>+'Rate Base'!$C$126*'Function Allocators'!I106</f>
        <v>0</v>
      </c>
      <c r="N122" s="361">
        <f>+'Rate Base'!$C$126*'Function Allocators'!J106</f>
        <v>0</v>
      </c>
      <c r="O122" s="361">
        <f>+'Rate Base'!$C$126*'Function Allocators'!K106</f>
        <v>0</v>
      </c>
      <c r="P122" s="361">
        <f>+'Rate Base'!$C$126*'Function Allocators'!L106</f>
        <v>0</v>
      </c>
      <c r="Q122" s="361">
        <f>+'Rate Base'!$C$126*'Function Allocators'!M106</f>
        <v>0</v>
      </c>
      <c r="R122" s="361">
        <f>+'Rate Base'!$C$126*'Function Allocators'!N106</f>
        <v>0</v>
      </c>
      <c r="S122" s="361">
        <f>+'Rate Base'!$C$126*'Function Allocators'!O106</f>
        <v>0</v>
      </c>
      <c r="U122" s="473">
        <f>D122-'Rate Base'!C126</f>
        <v>0</v>
      </c>
      <c r="V122" s="475"/>
      <c r="W122" s="468"/>
    </row>
    <row r="123" spans="1:23">
      <c r="A123" s="365">
        <f t="shared" si="31"/>
        <v>66</v>
      </c>
      <c r="B123" s="382">
        <v>182.3</v>
      </c>
      <c r="C123" s="381" t="s">
        <v>125</v>
      </c>
      <c r="D123" s="477">
        <f>SUM(E123:G123)</f>
        <v>1094518.5599999998</v>
      </c>
      <c r="E123" s="361">
        <f>SUM(H123:K123)</f>
        <v>205585.10498082457</v>
      </c>
      <c r="F123" s="361">
        <f>SUM(L123:M123)</f>
        <v>3395.5927336411742</v>
      </c>
      <c r="G123" s="361">
        <f>SUM(N123:S123)</f>
        <v>885537.86228553415</v>
      </c>
      <c r="H123" s="361">
        <f>+'Rate Base'!$C$127*'Function Allocators'!D107</f>
        <v>0</v>
      </c>
      <c r="I123" s="361">
        <f>+'Rate Base'!$C$127*'Function Allocators'!E107</f>
        <v>144529.63041457091</v>
      </c>
      <c r="J123" s="361">
        <f>+'Rate Base'!$C$127*'Function Allocators'!F107</f>
        <v>59166.177995374193</v>
      </c>
      <c r="K123" s="361">
        <f>+'Rate Base'!$C$127*'Function Allocators'!G107</f>
        <v>1889.296570879457</v>
      </c>
      <c r="L123" s="361">
        <f>+'Rate Base'!$C$127*'Function Allocators'!H107</f>
        <v>3395.5927336411742</v>
      </c>
      <c r="M123" s="361">
        <f>+'Rate Base'!$C$127*'Function Allocators'!I107</f>
        <v>0</v>
      </c>
      <c r="N123" s="361">
        <f>+'Rate Base'!$C$127*'Function Allocators'!J107</f>
        <v>370561.77756754431</v>
      </c>
      <c r="O123" s="361">
        <f>+'Rate Base'!$C$127*'Function Allocators'!K107</f>
        <v>446592.11062565778</v>
      </c>
      <c r="P123" s="361">
        <f>+'Rate Base'!$C$127*'Function Allocators'!L107</f>
        <v>68383.974092332079</v>
      </c>
      <c r="Q123" s="361">
        <f>+'Rate Base'!$C$127*'Function Allocators'!M107</f>
        <v>0</v>
      </c>
      <c r="R123" s="361">
        <f>+'Rate Base'!$C$127*'Function Allocators'!N107</f>
        <v>0</v>
      </c>
      <c r="S123" s="361">
        <f>+'Rate Base'!$C$127*'Function Allocators'!O107</f>
        <v>0</v>
      </c>
      <c r="U123" s="473">
        <f>D123-'Rate Base'!C127</f>
        <v>0</v>
      </c>
      <c r="V123" s="474"/>
      <c r="W123" s="468"/>
    </row>
    <row r="124" spans="1:23">
      <c r="B124" s="382">
        <v>254</v>
      </c>
      <c r="C124" s="381" t="s">
        <v>126</v>
      </c>
      <c r="D124" s="476">
        <f>SUM(E124:G124)</f>
        <v>-24923934.369999997</v>
      </c>
      <c r="E124" s="475">
        <f>SUM(H124:K124)</f>
        <v>-7066177.5980657302</v>
      </c>
      <c r="F124" s="475">
        <f>SUM(L124:M124)</f>
        <v>0</v>
      </c>
      <c r="G124" s="475">
        <f>SUM(N124:S124)</f>
        <v>-17857756.771934267</v>
      </c>
      <c r="H124" s="475">
        <f>+'Rate Base'!$C$128*'Function Allocators'!D108</f>
        <v>0</v>
      </c>
      <c r="I124" s="475">
        <f>+'Rate Base'!$C$128*'Function Allocators'!E108</f>
        <v>-6479649.8708801307</v>
      </c>
      <c r="J124" s="475">
        <f>+'Rate Base'!$C$128*'Function Allocators'!F108</f>
        <v>-459371.76004899287</v>
      </c>
      <c r="K124" s="475">
        <f>+'Rate Base'!$C$128*'Function Allocators'!G108</f>
        <v>-127155.96713660669</v>
      </c>
      <c r="L124" s="475">
        <f>+'Rate Base'!$C$128*'Function Allocators'!H108</f>
        <v>0</v>
      </c>
      <c r="M124" s="475">
        <f>+'Rate Base'!$C$128*'Function Allocators'!I108</f>
        <v>0</v>
      </c>
      <c r="N124" s="475">
        <f>+'Rate Base'!$C$128*'Function Allocators'!J108</f>
        <v>-14476096.336841159</v>
      </c>
      <c r="O124" s="475">
        <f>+'Rate Base'!$C$128*'Function Allocators'!K108</f>
        <v>-2787225.5854688291</v>
      </c>
      <c r="P124" s="475">
        <f>+'Rate Base'!$C$128*'Function Allocators'!L108</f>
        <v>-594434.84962428024</v>
      </c>
      <c r="Q124" s="475">
        <f>+'Rate Base'!$C$128*'Function Allocators'!M108</f>
        <v>0</v>
      </c>
      <c r="R124" s="475">
        <f>+'Rate Base'!$C$128*'Function Allocators'!N108</f>
        <v>0</v>
      </c>
      <c r="S124" s="475">
        <f>+'Rate Base'!$C$128*'Function Allocators'!O108</f>
        <v>0</v>
      </c>
      <c r="U124" s="473">
        <f>D124-'Rate Base'!C128</f>
        <v>0</v>
      </c>
      <c r="V124" s="474"/>
      <c r="W124" s="468"/>
    </row>
    <row r="125" spans="1:23">
      <c r="A125" s="365">
        <f>+A123+1</f>
        <v>67</v>
      </c>
      <c r="B125" s="374"/>
      <c r="C125" s="377" t="s">
        <v>21</v>
      </c>
      <c r="D125" s="474">
        <f t="shared" ref="D125:S125" si="42">SUM(D122:D124)</f>
        <v>-23829415.809999999</v>
      </c>
      <c r="E125" s="474">
        <f t="shared" si="42"/>
        <v>-6860592.4930849057</v>
      </c>
      <c r="F125" s="474">
        <f t="shared" si="42"/>
        <v>3395.5927336411742</v>
      </c>
      <c r="G125" s="474">
        <f t="shared" si="42"/>
        <v>-16972218.909648731</v>
      </c>
      <c r="H125" s="474">
        <f t="shared" si="42"/>
        <v>0</v>
      </c>
      <c r="I125" s="474">
        <f t="shared" si="42"/>
        <v>-6335120.24046556</v>
      </c>
      <c r="J125" s="474">
        <f t="shared" si="42"/>
        <v>-400205.58205361868</v>
      </c>
      <c r="K125" s="474">
        <f t="shared" si="42"/>
        <v>-125266.67056572724</v>
      </c>
      <c r="L125" s="474">
        <f t="shared" si="42"/>
        <v>3395.5927336411742</v>
      </c>
      <c r="M125" s="474">
        <f t="shared" si="42"/>
        <v>0</v>
      </c>
      <c r="N125" s="474">
        <f t="shared" si="42"/>
        <v>-14105534.559273614</v>
      </c>
      <c r="O125" s="474">
        <f t="shared" si="42"/>
        <v>-2340633.4748431714</v>
      </c>
      <c r="P125" s="474">
        <f t="shared" si="42"/>
        <v>-526050.87553194817</v>
      </c>
      <c r="Q125" s="474">
        <f t="shared" si="42"/>
        <v>0</v>
      </c>
      <c r="R125" s="474">
        <f t="shared" si="42"/>
        <v>0</v>
      </c>
      <c r="S125" s="474">
        <f t="shared" si="42"/>
        <v>0</v>
      </c>
      <c r="U125" s="473">
        <f>D125-'Rate Base'!C129</f>
        <v>0</v>
      </c>
      <c r="V125" s="361"/>
      <c r="W125" s="468"/>
    </row>
    <row r="126" spans="1:23">
      <c r="A126" s="365">
        <f t="shared" ref="A126:A133" si="43">+A125+1</f>
        <v>68</v>
      </c>
      <c r="B126" s="374"/>
      <c r="C126" s="377"/>
      <c r="D126" s="478"/>
      <c r="U126" s="473"/>
      <c r="V126" s="361"/>
      <c r="W126" s="468"/>
    </row>
    <row r="127" spans="1:23">
      <c r="A127" s="365">
        <f t="shared" si="43"/>
        <v>69</v>
      </c>
      <c r="B127" s="374"/>
      <c r="C127" s="377" t="s">
        <v>272</v>
      </c>
      <c r="D127" s="478"/>
      <c r="U127" s="473"/>
      <c r="V127" s="361"/>
      <c r="W127" s="468"/>
    </row>
    <row r="128" spans="1:23">
      <c r="A128" s="365">
        <f t="shared" si="43"/>
        <v>70</v>
      </c>
      <c r="B128" s="386">
        <v>190</v>
      </c>
      <c r="C128" s="381" t="s">
        <v>273</v>
      </c>
      <c r="D128" s="477">
        <f>SUM(E128:G128)</f>
        <v>12781272.569999997</v>
      </c>
      <c r="E128" s="361">
        <f>SUM(H128:K128)</f>
        <v>3623614.9786052415</v>
      </c>
      <c r="F128" s="361">
        <f>SUM(L128:M128)</f>
        <v>0</v>
      </c>
      <c r="G128" s="361">
        <f>SUM(N128:S128)</f>
        <v>9157657.591394756</v>
      </c>
      <c r="H128" s="361">
        <f>+'Rate Base'!$C$132*'Function Allocators'!D112</f>
        <v>0</v>
      </c>
      <c r="I128" s="361">
        <f>+'Rate Base'!$C$132*'Function Allocators'!E112</f>
        <v>3322836.9938884671</v>
      </c>
      <c r="J128" s="361">
        <f>+'Rate Base'!$C$132*'Function Allocators'!F112</f>
        <v>235570.98124981194</v>
      </c>
      <c r="K128" s="361">
        <f>+'Rate Base'!$C$132*'Function Allocators'!G112</f>
        <v>65207.003466962356</v>
      </c>
      <c r="L128" s="361">
        <f>+'Rate Base'!$C$132*'Function Allocators'!H112</f>
        <v>0</v>
      </c>
      <c r="M128" s="361">
        <f>+'Rate Base'!$C$132*'Function Allocators'!I112</f>
        <v>0</v>
      </c>
      <c r="N128" s="361">
        <f>+'Rate Base'!$C$132*'Function Allocators'!J112</f>
        <v>7423504.2623708108</v>
      </c>
      <c r="O128" s="361">
        <f>+'Rate Base'!$C$132*'Function Allocators'!K112</f>
        <v>1429320.4833998659</v>
      </c>
      <c r="P128" s="361">
        <f>+'Rate Base'!$C$132*'Function Allocators'!L112</f>
        <v>304832.845624079</v>
      </c>
      <c r="Q128" s="361">
        <f>+'Rate Base'!$C$132*'Function Allocators'!M112</f>
        <v>0</v>
      </c>
      <c r="R128" s="361">
        <f>+'Rate Base'!$C$132*'Function Allocators'!N112</f>
        <v>0</v>
      </c>
      <c r="S128" s="361">
        <f>+'Rate Base'!$C$132*'Function Allocators'!O112</f>
        <v>0</v>
      </c>
      <c r="U128" s="473">
        <f>D128-'Rate Base'!C132</f>
        <v>0</v>
      </c>
      <c r="V128" s="361"/>
      <c r="W128" s="468"/>
    </row>
    <row r="129" spans="1:44">
      <c r="A129" s="365">
        <f t="shared" si="43"/>
        <v>71</v>
      </c>
      <c r="B129" s="386">
        <v>282</v>
      </c>
      <c r="C129" s="381" t="s">
        <v>274</v>
      </c>
      <c r="D129" s="457">
        <f>SUM(E129:G129)</f>
        <v>-50154236.741083831</v>
      </c>
      <c r="E129" s="456">
        <f>SUM(H129:K129)</f>
        <v>-14219213.501641545</v>
      </c>
      <c r="F129" s="456">
        <f>SUM(L129:M129)</f>
        <v>0</v>
      </c>
      <c r="G129" s="456">
        <f>SUM(N129:S129)</f>
        <v>-35935023.239442281</v>
      </c>
      <c r="H129" s="456">
        <f>+'Rate Base'!$C$133*'Function Allocators'!D113</f>
        <v>0</v>
      </c>
      <c r="I129" s="456">
        <f>+'Rate Base'!$C$133*'Function Allocators'!E113</f>
        <v>-13038948.377854172</v>
      </c>
      <c r="J129" s="456">
        <f>+'Rate Base'!$C$133*'Function Allocators'!F113</f>
        <v>-924390.17306181195</v>
      </c>
      <c r="K129" s="456">
        <f>+'Rate Base'!$C$133*'Function Allocators'!G113</f>
        <v>-255874.95072556022</v>
      </c>
      <c r="L129" s="456">
        <f>+'Rate Base'!$C$133*'Function Allocators'!H113</f>
        <v>0</v>
      </c>
      <c r="M129" s="456">
        <f>+'Rate Base'!$C$133*'Function Allocators'!I113</f>
        <v>0</v>
      </c>
      <c r="N129" s="456">
        <f>+'Rate Base'!$C$133*'Function Allocators'!J113</f>
        <v>-29130134.592176262</v>
      </c>
      <c r="O129" s="456">
        <f>+'Rate Base'!$C$133*'Function Allocators'!K113</f>
        <v>-5608712.0833005803</v>
      </c>
      <c r="P129" s="456">
        <f>+'Rate Base'!$C$133*'Function Allocators'!L113</f>
        <v>-1196176.5639654393</v>
      </c>
      <c r="Q129" s="456">
        <f>+'Rate Base'!$C$133*'Function Allocators'!M113</f>
        <v>0</v>
      </c>
      <c r="R129" s="456">
        <f>+'Rate Base'!$C$133*'Function Allocators'!N113</f>
        <v>0</v>
      </c>
      <c r="S129" s="456">
        <f>+'Rate Base'!$C$133*'Function Allocators'!O113</f>
        <v>0</v>
      </c>
      <c r="U129" s="473">
        <f>D129-'Rate Base'!C133</f>
        <v>0</v>
      </c>
      <c r="V129" s="361"/>
      <c r="W129" s="468"/>
    </row>
    <row r="130" spans="1:44">
      <c r="A130" s="365">
        <f t="shared" si="43"/>
        <v>72</v>
      </c>
      <c r="B130" s="386">
        <v>283</v>
      </c>
      <c r="C130" s="381" t="s">
        <v>275</v>
      </c>
      <c r="D130" s="476">
        <f>SUM(E130:G130)</f>
        <v>-272180.46999999991</v>
      </c>
      <c r="E130" s="475">
        <f>SUM(H130:K130)</f>
        <v>-77165.808222476116</v>
      </c>
      <c r="F130" s="475">
        <f>SUM(L130:M130)</f>
        <v>0</v>
      </c>
      <c r="G130" s="475">
        <f>SUM(N130:S130)</f>
        <v>-195014.66177752381</v>
      </c>
      <c r="H130" s="475">
        <f>+'Rate Base'!$C$134*'Function Allocators'!D114</f>
        <v>0</v>
      </c>
      <c r="I130" s="475">
        <f>+'Rate Base'!$C$134*'Function Allocators'!E114</f>
        <v>-70760.664071335894</v>
      </c>
      <c r="J130" s="475">
        <f>+'Rate Base'!$C$134*'Function Allocators'!F114</f>
        <v>-5016.5443263788402</v>
      </c>
      <c r="K130" s="475">
        <f>+'Rate Base'!$C$134*'Function Allocators'!G114</f>
        <v>-1388.5998247613809</v>
      </c>
      <c r="L130" s="475">
        <f>+'Rate Base'!$C$134*'Function Allocators'!H114</f>
        <v>0</v>
      </c>
      <c r="M130" s="475">
        <f>+'Rate Base'!$C$134*'Function Allocators'!I114</f>
        <v>0</v>
      </c>
      <c r="N130" s="475">
        <f>+'Rate Base'!$C$134*'Function Allocators'!J114</f>
        <v>-158085.42288047698</v>
      </c>
      <c r="O130" s="475">
        <f>+'Rate Base'!$C$134*'Function Allocators'!K114</f>
        <v>-30437.745445280234</v>
      </c>
      <c r="P130" s="475">
        <f>+'Rate Base'!$C$134*'Function Allocators'!L114</f>
        <v>-6491.4934517666152</v>
      </c>
      <c r="Q130" s="475">
        <f>+'Rate Base'!$C$134*'Function Allocators'!M114</f>
        <v>0</v>
      </c>
      <c r="R130" s="475">
        <f>+'Rate Base'!$C$134*'Function Allocators'!N114</f>
        <v>0</v>
      </c>
      <c r="S130" s="475">
        <f>+'Rate Base'!$C$134*'Function Allocators'!O114</f>
        <v>0</v>
      </c>
      <c r="U130" s="473">
        <f>D130-'Rate Base'!C134</f>
        <v>0</v>
      </c>
      <c r="V130" s="361"/>
      <c r="W130" s="468"/>
    </row>
    <row r="131" spans="1:44">
      <c r="A131" s="365">
        <f t="shared" si="43"/>
        <v>73</v>
      </c>
      <c r="B131" s="374"/>
      <c r="C131" s="377" t="s">
        <v>128</v>
      </c>
      <c r="D131" s="474">
        <f t="shared" ref="D131:S131" si="44">SUM(D128:D130)</f>
        <v>-37645144.641083837</v>
      </c>
      <c r="E131" s="474">
        <f t="shared" si="44"/>
        <v>-10672764.331258781</v>
      </c>
      <c r="F131" s="474">
        <f t="shared" si="44"/>
        <v>0</v>
      </c>
      <c r="G131" s="474">
        <f t="shared" si="44"/>
        <v>-26972380.309825048</v>
      </c>
      <c r="H131" s="474">
        <f t="shared" si="44"/>
        <v>0</v>
      </c>
      <c r="I131" s="474">
        <f t="shared" si="44"/>
        <v>-9786872.048037041</v>
      </c>
      <c r="J131" s="474">
        <f t="shared" si="44"/>
        <v>-693835.73613837885</v>
      </c>
      <c r="K131" s="474">
        <f t="shared" si="44"/>
        <v>-192056.54708335927</v>
      </c>
      <c r="L131" s="474">
        <f t="shared" si="44"/>
        <v>0</v>
      </c>
      <c r="M131" s="474">
        <f t="shared" si="44"/>
        <v>0</v>
      </c>
      <c r="N131" s="474">
        <f t="shared" si="44"/>
        <v>-21864715.752685931</v>
      </c>
      <c r="O131" s="474">
        <f t="shared" si="44"/>
        <v>-4209829.3453459945</v>
      </c>
      <c r="P131" s="474">
        <f t="shared" si="44"/>
        <v>-897835.211793127</v>
      </c>
      <c r="Q131" s="474">
        <f t="shared" si="44"/>
        <v>0</v>
      </c>
      <c r="R131" s="474">
        <f t="shared" si="44"/>
        <v>0</v>
      </c>
      <c r="S131" s="474">
        <f t="shared" si="44"/>
        <v>0</v>
      </c>
      <c r="U131" s="473">
        <f>D131-'Rate Base'!C135</f>
        <v>0</v>
      </c>
      <c r="V131" s="361"/>
      <c r="W131" s="468"/>
    </row>
    <row r="132" spans="1:44">
      <c r="A132" s="365">
        <f t="shared" si="43"/>
        <v>74</v>
      </c>
      <c r="B132" s="374"/>
      <c r="C132" s="377"/>
      <c r="D132" s="460"/>
      <c r="E132" s="460"/>
      <c r="F132" s="460"/>
      <c r="G132" s="460"/>
      <c r="U132" s="473"/>
      <c r="V132" s="361"/>
      <c r="W132" s="468"/>
    </row>
    <row r="133" spans="1:44" ht="17.25" customHeight="1" thickBot="1">
      <c r="A133" s="365">
        <f t="shared" si="43"/>
        <v>75</v>
      </c>
      <c r="B133" s="374"/>
      <c r="C133" s="373" t="s">
        <v>24</v>
      </c>
      <c r="D133" s="471">
        <f t="shared" ref="D133:S133" si="45">+D119+D125+D131</f>
        <v>291295382.25268644</v>
      </c>
      <c r="E133" s="471">
        <f t="shared" si="45"/>
        <v>78803661.155805528</v>
      </c>
      <c r="F133" s="471">
        <f t="shared" si="45"/>
        <v>3395.5927336411742</v>
      </c>
      <c r="G133" s="471">
        <f t="shared" si="45"/>
        <v>212488325.50414735</v>
      </c>
      <c r="H133" s="471">
        <f t="shared" si="45"/>
        <v>0</v>
      </c>
      <c r="I133" s="471">
        <f t="shared" si="45"/>
        <v>72048573.204736903</v>
      </c>
      <c r="J133" s="471">
        <f t="shared" si="45"/>
        <v>5557200.4696494974</v>
      </c>
      <c r="K133" s="471">
        <f t="shared" si="45"/>
        <v>1197887.5334623137</v>
      </c>
      <c r="L133" s="471">
        <f t="shared" si="45"/>
        <v>3395.5927336411742</v>
      </c>
      <c r="M133" s="471">
        <f t="shared" si="45"/>
        <v>0</v>
      </c>
      <c r="N133" s="471">
        <f t="shared" si="45"/>
        <v>159241132.02637053</v>
      </c>
      <c r="O133" s="471">
        <f t="shared" si="45"/>
        <v>46614567.555283248</v>
      </c>
      <c r="P133" s="471">
        <f t="shared" si="45"/>
        <v>6632625.3004503828</v>
      </c>
      <c r="Q133" s="471">
        <f t="shared" si="45"/>
        <v>0</v>
      </c>
      <c r="R133" s="471">
        <f t="shared" si="45"/>
        <v>0</v>
      </c>
      <c r="S133" s="471">
        <f t="shared" si="45"/>
        <v>0</v>
      </c>
      <c r="T133" s="471"/>
      <c r="U133" s="472">
        <f>D133-'Rate Base'!C137</f>
        <v>0.56999993324279785</v>
      </c>
      <c r="V133" s="471"/>
      <c r="W133" s="471"/>
      <c r="X133" s="471"/>
      <c r="Y133" s="471"/>
      <c r="Z133" s="471"/>
      <c r="AA133" s="471"/>
      <c r="AB133" s="471"/>
      <c r="AC133" s="471"/>
      <c r="AD133" s="471"/>
      <c r="AE133" s="471"/>
      <c r="AF133" s="471"/>
      <c r="AG133" s="471"/>
      <c r="AH133" s="471"/>
      <c r="AI133" s="471"/>
      <c r="AJ133" s="471"/>
      <c r="AK133" s="471"/>
      <c r="AL133" s="471"/>
      <c r="AM133" s="471"/>
      <c r="AN133" s="471"/>
      <c r="AO133" s="471"/>
      <c r="AP133" s="471"/>
      <c r="AQ133" s="471"/>
      <c r="AR133" s="471"/>
    </row>
    <row r="134" spans="1:44" ht="12" thickTop="1">
      <c r="B134" s="374"/>
      <c r="C134" s="381"/>
      <c r="D134" s="470"/>
      <c r="U134" s="456"/>
      <c r="V134" s="361"/>
      <c r="W134" s="468"/>
    </row>
    <row r="135" spans="1:44">
      <c r="B135" s="374"/>
      <c r="C135" s="381"/>
      <c r="D135" s="469"/>
      <c r="E135" s="361"/>
      <c r="U135" s="456"/>
      <c r="V135" s="361"/>
      <c r="W135" s="468"/>
    </row>
    <row r="136" spans="1:44">
      <c r="D136" s="458"/>
      <c r="I136" s="467"/>
    </row>
    <row r="137" spans="1:44" ht="15.75">
      <c r="C137" s="466"/>
    </row>
    <row r="138" spans="1:44">
      <c r="D138" s="461"/>
      <c r="E138" s="455"/>
      <c r="F138" s="455"/>
      <c r="G138" s="455"/>
      <c r="H138" s="455"/>
      <c r="I138" s="455"/>
      <c r="J138" s="455"/>
      <c r="K138" s="455"/>
      <c r="L138" s="455"/>
      <c r="M138" s="455"/>
      <c r="N138" s="455"/>
      <c r="O138" s="455"/>
      <c r="P138" s="455"/>
    </row>
    <row r="139" spans="1:44" ht="12.75">
      <c r="C139" s="465"/>
      <c r="D139" s="461"/>
      <c r="E139" s="464"/>
      <c r="F139" s="464"/>
      <c r="G139" s="464"/>
      <c r="H139" s="455"/>
      <c r="I139" s="455"/>
      <c r="J139" s="455"/>
      <c r="K139" s="455"/>
      <c r="L139" s="455"/>
      <c r="M139" s="455"/>
      <c r="N139" s="455"/>
      <c r="O139" s="455"/>
      <c r="P139" s="455"/>
      <c r="Q139" s="455"/>
      <c r="R139" s="455"/>
      <c r="S139" s="455"/>
    </row>
    <row r="140" spans="1:44">
      <c r="B140" s="386"/>
      <c r="C140" s="377"/>
      <c r="D140" s="457"/>
      <c r="E140" s="456"/>
      <c r="F140" s="456"/>
      <c r="G140" s="456"/>
    </row>
    <row r="141" spans="1:44">
      <c r="B141" s="385"/>
      <c r="C141" s="379"/>
      <c r="D141" s="457"/>
      <c r="E141" s="456"/>
      <c r="F141" s="456"/>
      <c r="G141" s="456"/>
      <c r="L141" s="459"/>
      <c r="U141" s="459"/>
    </row>
    <row r="142" spans="1:44">
      <c r="B142" s="385"/>
      <c r="C142" s="379"/>
      <c r="D142" s="457"/>
      <c r="E142" s="456"/>
      <c r="F142" s="456"/>
      <c r="G142" s="456"/>
      <c r="L142" s="459"/>
      <c r="U142" s="459"/>
    </row>
    <row r="143" spans="1:44">
      <c r="B143" s="386"/>
      <c r="C143" s="377"/>
      <c r="D143" s="458"/>
      <c r="E143" s="460"/>
      <c r="F143" s="460"/>
      <c r="G143" s="460"/>
      <c r="H143" s="460"/>
      <c r="I143" s="460"/>
      <c r="J143" s="460"/>
      <c r="K143" s="460"/>
      <c r="L143" s="460"/>
      <c r="M143" s="460"/>
      <c r="N143" s="460"/>
      <c r="O143" s="460"/>
      <c r="P143" s="460"/>
      <c r="Q143" s="460"/>
      <c r="R143" s="460"/>
      <c r="S143" s="460"/>
      <c r="U143" s="459"/>
    </row>
    <row r="144" spans="1:44">
      <c r="B144" s="386"/>
      <c r="C144" s="377"/>
    </row>
    <row r="145" spans="2:21">
      <c r="B145" s="390"/>
      <c r="C145" s="377"/>
    </row>
    <row r="146" spans="2:21">
      <c r="B146" s="386"/>
      <c r="C146" s="379"/>
      <c r="D146" s="462"/>
      <c r="E146" s="456"/>
      <c r="F146" s="456"/>
      <c r="G146" s="456"/>
      <c r="H146" s="459"/>
      <c r="U146" s="459"/>
    </row>
    <row r="147" spans="2:21">
      <c r="B147" s="386"/>
      <c r="C147" s="379"/>
      <c r="D147" s="462"/>
      <c r="E147" s="456"/>
      <c r="F147" s="456"/>
      <c r="G147" s="456"/>
      <c r="H147" s="459"/>
      <c r="U147" s="459"/>
    </row>
    <row r="148" spans="2:21">
      <c r="B148" s="385"/>
      <c r="C148" s="379"/>
      <c r="D148" s="462"/>
      <c r="E148" s="456"/>
      <c r="F148" s="456"/>
      <c r="G148" s="456"/>
      <c r="H148" s="459"/>
      <c r="U148" s="459"/>
    </row>
    <row r="149" spans="2:21">
      <c r="B149" s="385"/>
      <c r="C149" s="379"/>
      <c r="D149" s="462"/>
      <c r="E149" s="456"/>
      <c r="F149" s="456"/>
      <c r="G149" s="456"/>
      <c r="H149" s="459"/>
      <c r="U149" s="459"/>
    </row>
    <row r="150" spans="2:21">
      <c r="B150" s="386"/>
      <c r="C150" s="377"/>
      <c r="D150" s="461"/>
      <c r="E150" s="460"/>
      <c r="F150" s="460"/>
      <c r="G150" s="460"/>
      <c r="H150" s="460"/>
      <c r="I150" s="460"/>
      <c r="J150" s="460"/>
      <c r="K150" s="460"/>
      <c r="L150" s="460"/>
      <c r="M150" s="460"/>
      <c r="N150" s="460"/>
      <c r="O150" s="460"/>
      <c r="P150" s="460"/>
      <c r="Q150" s="460"/>
      <c r="R150" s="460"/>
      <c r="S150" s="460"/>
      <c r="U150" s="459"/>
    </row>
    <row r="151" spans="2:21">
      <c r="B151" s="386"/>
      <c r="C151" s="377"/>
    </row>
    <row r="152" spans="2:21">
      <c r="B152" s="463"/>
      <c r="C152" s="377"/>
      <c r="D152" s="457"/>
      <c r="E152" s="456"/>
      <c r="F152" s="456"/>
      <c r="G152" s="456"/>
    </row>
    <row r="153" spans="2:21">
      <c r="B153" s="386"/>
      <c r="C153" s="379"/>
      <c r="D153" s="462"/>
      <c r="E153" s="456"/>
      <c r="F153" s="456"/>
      <c r="G153" s="456"/>
      <c r="K153" s="459"/>
      <c r="U153" s="459"/>
    </row>
    <row r="154" spans="2:21">
      <c r="B154" s="386"/>
      <c r="C154" s="379"/>
      <c r="D154" s="462"/>
      <c r="E154" s="456"/>
      <c r="F154" s="456"/>
      <c r="G154" s="456"/>
      <c r="I154" s="459"/>
      <c r="N154" s="459"/>
      <c r="U154" s="459"/>
    </row>
    <row r="155" spans="2:21">
      <c r="B155" s="386"/>
      <c r="C155" s="379"/>
      <c r="D155" s="462"/>
      <c r="E155" s="456"/>
      <c r="F155" s="456"/>
      <c r="G155" s="456"/>
      <c r="J155" s="459"/>
      <c r="U155" s="459"/>
    </row>
    <row r="156" spans="2:21">
      <c r="B156" s="386"/>
      <c r="C156" s="379"/>
      <c r="D156" s="462"/>
      <c r="E156" s="456"/>
      <c r="F156" s="456"/>
      <c r="G156" s="456"/>
      <c r="J156" s="459"/>
      <c r="U156" s="459"/>
    </row>
    <row r="157" spans="2:21">
      <c r="B157" s="386"/>
      <c r="C157" s="379"/>
      <c r="D157" s="462"/>
      <c r="E157" s="456"/>
      <c r="F157" s="456"/>
      <c r="G157" s="456"/>
      <c r="J157" s="459"/>
      <c r="U157" s="459"/>
    </row>
    <row r="158" spans="2:21">
      <c r="B158" s="386"/>
      <c r="C158" s="379"/>
      <c r="D158" s="462"/>
      <c r="E158" s="456"/>
      <c r="F158" s="456"/>
      <c r="G158" s="456"/>
      <c r="O158" s="459"/>
      <c r="U158" s="459"/>
    </row>
    <row r="159" spans="2:21">
      <c r="B159" s="386"/>
      <c r="C159" s="379"/>
      <c r="D159" s="462"/>
      <c r="E159" s="456"/>
      <c r="F159" s="456"/>
      <c r="G159" s="456"/>
      <c r="O159" s="459"/>
      <c r="P159" s="459"/>
      <c r="U159" s="459"/>
    </row>
    <row r="160" spans="2:21">
      <c r="B160" s="386"/>
      <c r="C160" s="379"/>
      <c r="D160" s="462"/>
      <c r="E160" s="456"/>
      <c r="F160" s="456"/>
      <c r="G160" s="456"/>
      <c r="I160" s="455"/>
      <c r="J160" s="455"/>
      <c r="K160" s="455"/>
      <c r="L160" s="455"/>
      <c r="M160" s="455"/>
      <c r="N160" s="455"/>
      <c r="O160" s="455"/>
      <c r="P160" s="455"/>
      <c r="Q160" s="455"/>
      <c r="R160" s="455"/>
      <c r="S160" s="455"/>
      <c r="U160" s="459"/>
    </row>
    <row r="161" spans="2:21">
      <c r="B161" s="385"/>
      <c r="C161" s="379"/>
      <c r="D161" s="462"/>
      <c r="E161" s="456"/>
      <c r="F161" s="456"/>
      <c r="G161" s="456"/>
      <c r="J161" s="459"/>
      <c r="K161" s="459"/>
      <c r="U161" s="459"/>
    </row>
    <row r="162" spans="2:21">
      <c r="B162" s="385"/>
      <c r="C162" s="379"/>
      <c r="D162" s="462"/>
      <c r="E162" s="456"/>
      <c r="F162" s="456"/>
      <c r="G162" s="456"/>
      <c r="I162" s="455"/>
      <c r="J162" s="455"/>
      <c r="K162" s="455"/>
      <c r="L162" s="455"/>
      <c r="M162" s="455"/>
      <c r="N162" s="455"/>
      <c r="O162" s="455"/>
      <c r="P162" s="455"/>
      <c r="Q162" s="455"/>
      <c r="R162" s="455"/>
      <c r="S162" s="455"/>
      <c r="U162" s="459"/>
    </row>
    <row r="163" spans="2:21">
      <c r="B163" s="385"/>
      <c r="C163" s="379"/>
      <c r="D163" s="462"/>
      <c r="E163" s="456"/>
      <c r="F163" s="456"/>
      <c r="G163" s="456"/>
      <c r="I163" s="459"/>
      <c r="U163" s="459"/>
    </row>
    <row r="164" spans="2:21">
      <c r="B164" s="385"/>
      <c r="C164" s="379"/>
      <c r="D164" s="462"/>
      <c r="E164" s="456"/>
      <c r="F164" s="456"/>
      <c r="G164" s="456"/>
      <c r="I164" s="459"/>
      <c r="J164" s="459"/>
      <c r="K164" s="459"/>
      <c r="U164" s="459"/>
    </row>
    <row r="165" spans="2:21">
      <c r="B165" s="385"/>
      <c r="C165" s="379"/>
      <c r="D165" s="462"/>
      <c r="E165" s="456"/>
      <c r="F165" s="456"/>
      <c r="G165" s="456"/>
      <c r="J165" s="459"/>
      <c r="U165" s="459"/>
    </row>
    <row r="166" spans="2:21">
      <c r="B166" s="385"/>
      <c r="C166" s="379"/>
      <c r="D166" s="462"/>
      <c r="E166" s="456"/>
      <c r="F166" s="456"/>
      <c r="G166" s="456"/>
      <c r="J166" s="459"/>
      <c r="U166" s="459"/>
    </row>
    <row r="167" spans="2:21">
      <c r="B167" s="385"/>
      <c r="C167" s="379"/>
      <c r="D167" s="462"/>
      <c r="E167" s="456"/>
      <c r="F167" s="456"/>
      <c r="G167" s="456"/>
      <c r="J167" s="459"/>
      <c r="U167" s="459"/>
    </row>
    <row r="168" spans="2:21">
      <c r="B168" s="385"/>
      <c r="C168" s="379"/>
      <c r="D168" s="462"/>
      <c r="E168" s="456"/>
      <c r="F168" s="456"/>
      <c r="G168" s="456"/>
      <c r="N168" s="459"/>
      <c r="U168" s="459"/>
    </row>
    <row r="169" spans="2:21">
      <c r="B169" s="385"/>
      <c r="C169" s="379"/>
      <c r="D169" s="462"/>
      <c r="E169" s="456"/>
      <c r="F169" s="456"/>
      <c r="G169" s="456"/>
      <c r="O169" s="455"/>
      <c r="P169" s="455"/>
      <c r="U169" s="459"/>
    </row>
    <row r="170" spans="2:21">
      <c r="B170" s="385"/>
      <c r="C170" s="379"/>
      <c r="D170" s="462"/>
      <c r="E170" s="456"/>
      <c r="F170" s="456"/>
      <c r="G170" s="456"/>
      <c r="K170" s="459"/>
      <c r="U170" s="459"/>
    </row>
    <row r="171" spans="2:21">
      <c r="B171" s="386"/>
      <c r="C171" s="377"/>
      <c r="D171" s="461"/>
      <c r="E171" s="460"/>
      <c r="F171" s="460"/>
      <c r="G171" s="460"/>
      <c r="H171" s="460"/>
      <c r="I171" s="460"/>
      <c r="J171" s="460"/>
      <c r="K171" s="460"/>
      <c r="L171" s="460"/>
      <c r="M171" s="460"/>
      <c r="N171" s="460"/>
      <c r="O171" s="460"/>
      <c r="P171" s="460"/>
      <c r="Q171" s="460"/>
      <c r="R171" s="460"/>
      <c r="S171" s="460"/>
      <c r="U171" s="459"/>
    </row>
    <row r="172" spans="2:21">
      <c r="B172" s="452"/>
      <c r="C172" s="451"/>
      <c r="D172" s="461"/>
    </row>
    <row r="173" spans="2:21">
      <c r="B173" s="386"/>
      <c r="C173" s="377"/>
      <c r="D173" s="462"/>
      <c r="E173" s="456"/>
      <c r="F173" s="456"/>
      <c r="G173" s="456"/>
    </row>
    <row r="174" spans="2:21">
      <c r="B174" s="386"/>
      <c r="C174" s="379"/>
      <c r="D174" s="462"/>
      <c r="E174" s="456"/>
      <c r="F174" s="456"/>
      <c r="G174" s="456"/>
      <c r="H174" s="459"/>
      <c r="I174" s="459"/>
      <c r="J174" s="459"/>
      <c r="K174" s="459"/>
      <c r="L174" s="459"/>
      <c r="M174" s="459"/>
      <c r="N174" s="459"/>
      <c r="O174" s="459"/>
      <c r="P174" s="459"/>
      <c r="Q174" s="459"/>
      <c r="R174" s="459"/>
      <c r="S174" s="459"/>
      <c r="U174" s="459"/>
    </row>
    <row r="175" spans="2:21">
      <c r="B175" s="386"/>
      <c r="C175" s="379"/>
      <c r="D175" s="462"/>
      <c r="E175" s="456"/>
      <c r="F175" s="456"/>
      <c r="G175" s="456"/>
      <c r="H175" s="459"/>
      <c r="I175" s="459"/>
      <c r="J175" s="459"/>
      <c r="K175" s="459"/>
      <c r="L175" s="459"/>
      <c r="M175" s="459"/>
      <c r="N175" s="459"/>
      <c r="O175" s="459"/>
      <c r="P175" s="459"/>
      <c r="Q175" s="459"/>
      <c r="R175" s="459"/>
      <c r="S175" s="459"/>
      <c r="U175" s="459"/>
    </row>
    <row r="176" spans="2:21">
      <c r="B176" s="386"/>
      <c r="C176" s="379"/>
      <c r="D176" s="462"/>
      <c r="E176" s="456"/>
      <c r="F176" s="456"/>
      <c r="G176" s="456"/>
      <c r="H176" s="459"/>
      <c r="I176" s="459"/>
      <c r="J176" s="459"/>
      <c r="K176" s="459"/>
      <c r="L176" s="459"/>
      <c r="M176" s="459"/>
      <c r="N176" s="459"/>
      <c r="O176" s="459"/>
      <c r="P176" s="459"/>
      <c r="Q176" s="459"/>
      <c r="R176" s="459"/>
      <c r="S176" s="459"/>
      <c r="U176" s="459"/>
    </row>
    <row r="177" spans="2:21">
      <c r="B177" s="386"/>
      <c r="C177" s="379"/>
      <c r="D177" s="462"/>
      <c r="E177" s="456"/>
      <c r="F177" s="456"/>
      <c r="G177" s="456"/>
      <c r="H177" s="459"/>
      <c r="I177" s="459"/>
      <c r="J177" s="459"/>
      <c r="K177" s="459"/>
      <c r="L177" s="459"/>
      <c r="M177" s="459"/>
      <c r="N177" s="459"/>
      <c r="O177" s="459"/>
      <c r="P177" s="459"/>
      <c r="Q177" s="459"/>
      <c r="R177" s="459"/>
      <c r="S177" s="459"/>
      <c r="U177" s="459"/>
    </row>
    <row r="178" spans="2:21">
      <c r="B178" s="386"/>
      <c r="C178" s="379"/>
      <c r="D178" s="462"/>
      <c r="E178" s="456"/>
      <c r="F178" s="456"/>
      <c r="G178" s="456"/>
      <c r="H178" s="459"/>
      <c r="I178" s="459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U178" s="459"/>
    </row>
    <row r="179" spans="2:21">
      <c r="B179" s="386"/>
      <c r="C179" s="379"/>
      <c r="D179" s="462"/>
      <c r="E179" s="456"/>
      <c r="F179" s="456"/>
      <c r="G179" s="456"/>
      <c r="H179" s="459"/>
      <c r="I179" s="459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U179" s="459"/>
    </row>
    <row r="180" spans="2:21">
      <c r="B180" s="386"/>
      <c r="C180" s="379"/>
      <c r="D180" s="462"/>
      <c r="E180" s="456"/>
      <c r="F180" s="456"/>
      <c r="G180" s="456"/>
      <c r="H180" s="459"/>
      <c r="I180" s="459"/>
      <c r="J180" s="459"/>
      <c r="K180" s="459"/>
      <c r="L180" s="459"/>
      <c r="M180" s="459"/>
      <c r="N180" s="459"/>
      <c r="O180" s="459"/>
      <c r="P180" s="459"/>
      <c r="Q180" s="459"/>
      <c r="R180" s="459"/>
      <c r="S180" s="459"/>
      <c r="U180" s="459"/>
    </row>
    <row r="181" spans="2:21">
      <c r="B181" s="386"/>
      <c r="C181" s="379"/>
      <c r="D181" s="462"/>
      <c r="E181" s="456"/>
      <c r="F181" s="456"/>
      <c r="G181" s="456"/>
      <c r="H181" s="459"/>
      <c r="I181" s="459"/>
      <c r="J181" s="459"/>
      <c r="K181" s="459"/>
      <c r="L181" s="459"/>
      <c r="M181" s="459"/>
      <c r="N181" s="459"/>
      <c r="O181" s="459"/>
      <c r="P181" s="459"/>
      <c r="Q181" s="459"/>
      <c r="R181" s="459"/>
      <c r="S181" s="459"/>
      <c r="U181" s="459"/>
    </row>
    <row r="182" spans="2:21">
      <c r="B182" s="386"/>
      <c r="C182" s="379"/>
      <c r="D182" s="462"/>
      <c r="E182" s="456"/>
      <c r="F182" s="456"/>
      <c r="G182" s="456"/>
      <c r="H182" s="459"/>
      <c r="I182" s="459"/>
      <c r="J182" s="459"/>
      <c r="K182" s="459"/>
      <c r="L182" s="459"/>
      <c r="M182" s="459"/>
      <c r="N182" s="459"/>
      <c r="O182" s="459"/>
      <c r="P182" s="459"/>
      <c r="Q182" s="459"/>
      <c r="R182" s="459"/>
      <c r="S182" s="459"/>
      <c r="U182" s="459"/>
    </row>
    <row r="183" spans="2:21">
      <c r="B183" s="386"/>
      <c r="C183" s="379"/>
      <c r="D183" s="462"/>
      <c r="E183" s="456"/>
      <c r="F183" s="456"/>
      <c r="G183" s="456"/>
      <c r="H183" s="459"/>
      <c r="I183" s="459"/>
      <c r="J183" s="459"/>
      <c r="K183" s="459"/>
      <c r="L183" s="459"/>
      <c r="M183" s="459"/>
      <c r="N183" s="459"/>
      <c r="O183" s="459"/>
      <c r="P183" s="459"/>
      <c r="Q183" s="459"/>
      <c r="R183" s="459"/>
      <c r="S183" s="459"/>
      <c r="U183" s="459"/>
    </row>
    <row r="184" spans="2:21">
      <c r="B184" s="386"/>
      <c r="C184" s="377"/>
      <c r="D184" s="461"/>
      <c r="E184" s="460"/>
      <c r="F184" s="460"/>
      <c r="G184" s="460"/>
      <c r="H184" s="460"/>
      <c r="I184" s="460"/>
      <c r="J184" s="460"/>
      <c r="K184" s="460"/>
      <c r="L184" s="460"/>
      <c r="M184" s="460"/>
      <c r="N184" s="460"/>
      <c r="O184" s="460"/>
      <c r="P184" s="460"/>
      <c r="Q184" s="460"/>
      <c r="R184" s="460"/>
      <c r="S184" s="460"/>
      <c r="U184" s="459"/>
    </row>
    <row r="185" spans="2:21">
      <c r="B185" s="385"/>
      <c r="C185" s="377"/>
      <c r="D185" s="461"/>
    </row>
    <row r="186" spans="2:21">
      <c r="B186" s="386"/>
      <c r="C186" s="377"/>
      <c r="D186" s="461"/>
      <c r="E186" s="460"/>
      <c r="F186" s="460"/>
      <c r="G186" s="460"/>
      <c r="H186" s="460"/>
      <c r="I186" s="460"/>
      <c r="J186" s="460"/>
      <c r="K186" s="460"/>
      <c r="L186" s="460"/>
      <c r="M186" s="460"/>
      <c r="N186" s="460"/>
      <c r="O186" s="460"/>
      <c r="P186" s="460"/>
      <c r="Q186" s="460"/>
      <c r="R186" s="460"/>
      <c r="S186" s="460"/>
      <c r="U186" s="459"/>
    </row>
    <row r="187" spans="2:21">
      <c r="B187" s="385"/>
      <c r="C187" s="377"/>
      <c r="D187" s="461"/>
    </row>
    <row r="188" spans="2:21">
      <c r="B188" s="386"/>
      <c r="C188" s="377"/>
      <c r="D188" s="462"/>
      <c r="E188" s="456"/>
      <c r="F188" s="456"/>
      <c r="G188" s="456"/>
    </row>
    <row r="189" spans="2:21">
      <c r="B189" s="386"/>
      <c r="C189" s="379"/>
      <c r="D189" s="462"/>
      <c r="E189" s="456"/>
      <c r="F189" s="456"/>
      <c r="G189" s="456"/>
      <c r="H189" s="455"/>
      <c r="I189" s="455"/>
      <c r="J189" s="455"/>
      <c r="K189" s="455"/>
      <c r="N189" s="455"/>
      <c r="O189" s="455"/>
      <c r="P189" s="455"/>
      <c r="Q189" s="455"/>
      <c r="R189" s="455"/>
      <c r="S189" s="455"/>
      <c r="U189" s="459"/>
    </row>
    <row r="190" spans="2:21">
      <c r="B190" s="386"/>
      <c r="C190" s="379"/>
      <c r="D190" s="462"/>
      <c r="E190" s="456"/>
      <c r="F190" s="456"/>
      <c r="G190" s="456"/>
      <c r="H190" s="455"/>
      <c r="I190" s="455"/>
      <c r="J190" s="455"/>
      <c r="K190" s="455"/>
      <c r="N190" s="455"/>
      <c r="O190" s="455"/>
      <c r="P190" s="455"/>
      <c r="Q190" s="455"/>
      <c r="R190" s="455"/>
      <c r="S190" s="455"/>
      <c r="U190" s="459"/>
    </row>
    <row r="191" spans="2:21">
      <c r="B191" s="386"/>
      <c r="C191" s="379"/>
      <c r="D191" s="462"/>
      <c r="E191" s="456"/>
      <c r="F191" s="456"/>
      <c r="G191" s="456"/>
      <c r="H191" s="455"/>
      <c r="I191" s="455"/>
      <c r="J191" s="455"/>
      <c r="K191" s="455"/>
      <c r="N191" s="455"/>
      <c r="O191" s="455"/>
      <c r="P191" s="455"/>
      <c r="Q191" s="455"/>
      <c r="R191" s="455"/>
      <c r="S191" s="455"/>
      <c r="U191" s="459"/>
    </row>
    <row r="192" spans="2:21">
      <c r="B192" s="386"/>
      <c r="C192" s="379"/>
      <c r="D192" s="462"/>
      <c r="E192" s="456"/>
      <c r="F192" s="456"/>
      <c r="G192" s="456"/>
      <c r="H192" s="455"/>
      <c r="I192" s="455"/>
      <c r="J192" s="455"/>
      <c r="K192" s="455"/>
      <c r="N192" s="455"/>
      <c r="O192" s="455"/>
      <c r="P192" s="455"/>
      <c r="Q192" s="455"/>
      <c r="R192" s="455"/>
      <c r="S192" s="455"/>
      <c r="U192" s="459"/>
    </row>
    <row r="193" spans="2:21">
      <c r="B193" s="386"/>
      <c r="C193" s="379"/>
      <c r="D193" s="462"/>
      <c r="E193" s="456"/>
      <c r="F193" s="456"/>
      <c r="G193" s="456"/>
      <c r="H193" s="455"/>
      <c r="I193" s="455"/>
      <c r="J193" s="455"/>
      <c r="K193" s="455"/>
      <c r="N193" s="455"/>
      <c r="O193" s="455"/>
      <c r="P193" s="455"/>
      <c r="Q193" s="455"/>
      <c r="R193" s="455"/>
      <c r="S193" s="455"/>
      <c r="U193" s="459"/>
    </row>
    <row r="194" spans="2:21">
      <c r="B194" s="386"/>
      <c r="C194" s="379"/>
      <c r="D194" s="462"/>
      <c r="E194" s="456"/>
      <c r="F194" s="456"/>
      <c r="G194" s="456"/>
      <c r="H194" s="455"/>
      <c r="I194" s="455"/>
      <c r="J194" s="455"/>
      <c r="K194" s="455"/>
      <c r="N194" s="455"/>
      <c r="O194" s="455"/>
      <c r="P194" s="455"/>
      <c r="Q194" s="455"/>
      <c r="R194" s="455"/>
      <c r="S194" s="455"/>
      <c r="U194" s="459"/>
    </row>
    <row r="195" spans="2:21">
      <c r="B195" s="386"/>
      <c r="C195" s="379"/>
      <c r="D195" s="462"/>
      <c r="E195" s="456"/>
      <c r="F195" s="456"/>
      <c r="G195" s="456"/>
      <c r="H195" s="455"/>
      <c r="I195" s="455"/>
      <c r="J195" s="455"/>
      <c r="K195" s="455"/>
      <c r="N195" s="455"/>
      <c r="O195" s="455"/>
      <c r="P195" s="455"/>
      <c r="Q195" s="455"/>
      <c r="R195" s="455"/>
      <c r="S195" s="455"/>
      <c r="U195" s="459"/>
    </row>
    <row r="196" spans="2:21">
      <c r="B196" s="386"/>
      <c r="C196" s="379"/>
      <c r="D196" s="462"/>
      <c r="E196" s="456"/>
      <c r="F196" s="456"/>
      <c r="G196" s="456"/>
      <c r="H196" s="455"/>
      <c r="I196" s="455"/>
      <c r="J196" s="455"/>
      <c r="K196" s="455"/>
      <c r="N196" s="455"/>
      <c r="O196" s="455"/>
      <c r="P196" s="455"/>
      <c r="Q196" s="455"/>
      <c r="R196" s="455"/>
      <c r="S196" s="455"/>
      <c r="U196" s="459"/>
    </row>
    <row r="197" spans="2:21">
      <c r="B197" s="385"/>
      <c r="C197" s="379"/>
      <c r="D197" s="462"/>
      <c r="E197" s="456"/>
      <c r="F197" s="456"/>
      <c r="G197" s="456"/>
      <c r="H197" s="455"/>
      <c r="I197" s="455"/>
      <c r="J197" s="455"/>
      <c r="K197" s="455"/>
      <c r="N197" s="455"/>
      <c r="O197" s="455"/>
      <c r="P197" s="455"/>
      <c r="Q197" s="455"/>
      <c r="R197" s="455"/>
      <c r="S197" s="455"/>
      <c r="U197" s="459"/>
    </row>
    <row r="198" spans="2:21">
      <c r="B198" s="385"/>
      <c r="C198" s="379"/>
      <c r="D198" s="462"/>
      <c r="E198" s="456"/>
      <c r="F198" s="456"/>
      <c r="G198" s="456"/>
      <c r="H198" s="455"/>
      <c r="I198" s="455"/>
      <c r="J198" s="455"/>
      <c r="K198" s="455"/>
      <c r="N198" s="455"/>
      <c r="O198" s="455"/>
      <c r="P198" s="455"/>
      <c r="Q198" s="455"/>
      <c r="R198" s="455"/>
      <c r="S198" s="455"/>
      <c r="U198" s="459"/>
    </row>
    <row r="199" spans="2:21">
      <c r="B199" s="374"/>
      <c r="C199" s="379"/>
      <c r="D199" s="462"/>
      <c r="E199" s="456"/>
      <c r="F199" s="456"/>
      <c r="G199" s="456"/>
      <c r="H199" s="455"/>
      <c r="I199" s="455"/>
      <c r="J199" s="455"/>
      <c r="K199" s="455"/>
      <c r="N199" s="455"/>
      <c r="O199" s="455"/>
      <c r="P199" s="455"/>
      <c r="Q199" s="455"/>
      <c r="R199" s="455"/>
      <c r="S199" s="455"/>
      <c r="U199" s="459"/>
    </row>
    <row r="200" spans="2:21">
      <c r="B200" s="386"/>
      <c r="C200" s="377"/>
      <c r="D200" s="461"/>
      <c r="E200" s="460"/>
      <c r="F200" s="460"/>
      <c r="G200" s="460"/>
      <c r="H200" s="460"/>
      <c r="I200" s="460"/>
      <c r="J200" s="460"/>
      <c r="K200" s="460"/>
      <c r="L200" s="460"/>
      <c r="M200" s="460"/>
      <c r="N200" s="460"/>
      <c r="O200" s="460"/>
      <c r="P200" s="460"/>
      <c r="Q200" s="460"/>
      <c r="R200" s="460"/>
      <c r="S200" s="460"/>
      <c r="U200" s="459"/>
    </row>
    <row r="201" spans="2:21">
      <c r="B201" s="386"/>
      <c r="C201" s="377"/>
      <c r="D201" s="461"/>
    </row>
    <row r="202" spans="2:21">
      <c r="B202" s="382"/>
      <c r="C202" s="377"/>
      <c r="D202" s="461"/>
      <c r="E202" s="460"/>
      <c r="F202" s="460"/>
      <c r="G202" s="460"/>
      <c r="H202" s="460"/>
      <c r="I202" s="460"/>
      <c r="J202" s="460"/>
      <c r="K202" s="460"/>
      <c r="L202" s="460"/>
      <c r="M202" s="460"/>
      <c r="N202" s="460"/>
      <c r="O202" s="460"/>
      <c r="P202" s="460"/>
      <c r="Q202" s="460"/>
      <c r="R202" s="460"/>
      <c r="S202" s="460"/>
      <c r="U202" s="459"/>
    </row>
    <row r="203" spans="2:21">
      <c r="B203" s="382"/>
      <c r="C203" s="445"/>
      <c r="D203" s="461"/>
    </row>
    <row r="204" spans="2:21">
      <c r="B204" s="386"/>
      <c r="C204" s="406"/>
      <c r="D204" s="461"/>
    </row>
    <row r="205" spans="2:21">
      <c r="B205" s="386"/>
      <c r="C205" s="377"/>
      <c r="D205" s="462"/>
      <c r="E205" s="456"/>
      <c r="F205" s="456"/>
      <c r="G205" s="456"/>
    </row>
    <row r="206" spans="2:21">
      <c r="B206" s="386"/>
      <c r="C206" s="379"/>
      <c r="D206" s="462"/>
      <c r="E206" s="456"/>
      <c r="F206" s="456"/>
      <c r="G206" s="456"/>
      <c r="H206" s="455"/>
      <c r="I206" s="455"/>
      <c r="J206" s="455"/>
      <c r="K206" s="455"/>
      <c r="N206" s="455"/>
      <c r="O206" s="455"/>
      <c r="P206" s="455"/>
      <c r="U206" s="459"/>
    </row>
    <row r="207" spans="2:21">
      <c r="B207" s="386"/>
      <c r="C207" s="379"/>
      <c r="D207" s="462"/>
      <c r="E207" s="456"/>
      <c r="F207" s="456"/>
      <c r="G207" s="456"/>
      <c r="H207" s="455"/>
      <c r="I207" s="455"/>
      <c r="J207" s="455"/>
      <c r="K207" s="455"/>
      <c r="N207" s="455"/>
      <c r="O207" s="455"/>
      <c r="P207" s="455"/>
      <c r="U207" s="459"/>
    </row>
    <row r="208" spans="2:21">
      <c r="B208" s="374"/>
      <c r="C208" s="379"/>
      <c r="D208" s="462"/>
      <c r="E208" s="456"/>
      <c r="F208" s="456"/>
      <c r="G208" s="456"/>
      <c r="H208" s="455"/>
      <c r="I208" s="455"/>
      <c r="J208" s="455"/>
      <c r="K208" s="455"/>
      <c r="N208" s="455"/>
      <c r="O208" s="455"/>
      <c r="P208" s="455"/>
      <c r="U208" s="459"/>
    </row>
    <row r="209" spans="2:21">
      <c r="B209" s="374"/>
      <c r="C209" s="379"/>
      <c r="D209" s="462"/>
      <c r="E209" s="456"/>
      <c r="F209" s="456"/>
      <c r="G209" s="456"/>
      <c r="H209" s="455"/>
      <c r="I209" s="455"/>
      <c r="J209" s="455"/>
      <c r="K209" s="455"/>
      <c r="N209" s="455"/>
      <c r="O209" s="455"/>
      <c r="P209" s="455"/>
      <c r="U209" s="459"/>
    </row>
    <row r="210" spans="2:21">
      <c r="B210" s="374"/>
      <c r="C210" s="379"/>
      <c r="D210" s="462"/>
      <c r="E210" s="456"/>
      <c r="F210" s="456"/>
      <c r="G210" s="456"/>
      <c r="H210" s="455"/>
      <c r="I210" s="455"/>
      <c r="J210" s="455"/>
      <c r="K210" s="455"/>
      <c r="N210" s="455"/>
      <c r="O210" s="455"/>
      <c r="P210" s="455"/>
      <c r="U210" s="459"/>
    </row>
    <row r="211" spans="2:21">
      <c r="B211" s="374"/>
      <c r="C211" s="379"/>
      <c r="D211" s="462"/>
      <c r="E211" s="456"/>
      <c r="F211" s="456"/>
      <c r="G211" s="456"/>
      <c r="H211" s="455"/>
      <c r="I211" s="455"/>
      <c r="J211" s="455"/>
      <c r="K211" s="455"/>
      <c r="N211" s="455"/>
      <c r="O211" s="455"/>
      <c r="P211" s="455"/>
      <c r="U211" s="459"/>
    </row>
    <row r="212" spans="2:21">
      <c r="B212" s="386"/>
      <c r="C212" s="377"/>
      <c r="D212" s="461"/>
      <c r="E212" s="460"/>
      <c r="F212" s="460"/>
      <c r="G212" s="460"/>
      <c r="H212" s="460"/>
      <c r="I212" s="460"/>
      <c r="J212" s="460"/>
      <c r="K212" s="460"/>
      <c r="L212" s="460"/>
      <c r="M212" s="460"/>
      <c r="N212" s="460"/>
      <c r="O212" s="460"/>
      <c r="P212" s="460"/>
      <c r="Q212" s="460"/>
      <c r="R212" s="460"/>
      <c r="S212" s="460"/>
      <c r="U212" s="459"/>
    </row>
    <row r="213" spans="2:21">
      <c r="B213" s="386"/>
      <c r="C213" s="377"/>
    </row>
    <row r="214" spans="2:21">
      <c r="B214" s="386"/>
      <c r="C214" s="377"/>
      <c r="U214" s="459"/>
    </row>
    <row r="215" spans="2:21">
      <c r="B215" s="386"/>
      <c r="C215" s="379"/>
      <c r="D215" s="457"/>
      <c r="E215" s="456"/>
      <c r="F215" s="456"/>
      <c r="G215" s="456"/>
      <c r="H215" s="459"/>
      <c r="U215" s="459"/>
    </row>
    <row r="216" spans="2:21">
      <c r="B216" s="374"/>
      <c r="C216" s="379"/>
      <c r="D216" s="457"/>
      <c r="E216" s="456"/>
      <c r="F216" s="456"/>
      <c r="G216" s="456"/>
      <c r="H216" s="459"/>
      <c r="U216" s="459"/>
    </row>
    <row r="217" spans="2:21">
      <c r="B217" s="386"/>
      <c r="C217" s="379"/>
      <c r="D217" s="457"/>
      <c r="E217" s="456"/>
      <c r="F217" s="456"/>
      <c r="G217" s="456"/>
      <c r="H217" s="459"/>
      <c r="U217" s="459"/>
    </row>
    <row r="218" spans="2:21">
      <c r="B218" s="385"/>
      <c r="C218" s="379"/>
      <c r="D218" s="457"/>
      <c r="E218" s="456"/>
      <c r="F218" s="456"/>
      <c r="G218" s="456"/>
      <c r="H218" s="459"/>
      <c r="U218" s="459"/>
    </row>
    <row r="219" spans="2:21">
      <c r="B219" s="385"/>
      <c r="C219" s="379"/>
      <c r="D219" s="457"/>
      <c r="E219" s="456"/>
      <c r="F219" s="456"/>
      <c r="G219" s="456"/>
      <c r="H219" s="459"/>
      <c r="U219" s="459"/>
    </row>
    <row r="220" spans="2:21">
      <c r="B220" s="386"/>
      <c r="C220" s="377"/>
      <c r="D220" s="461"/>
      <c r="E220" s="460"/>
      <c r="F220" s="460"/>
      <c r="G220" s="460"/>
      <c r="H220" s="460"/>
      <c r="I220" s="460"/>
      <c r="J220" s="460"/>
      <c r="K220" s="460"/>
      <c r="L220" s="460"/>
      <c r="M220" s="460"/>
      <c r="N220" s="460"/>
      <c r="O220" s="460"/>
      <c r="P220" s="460"/>
      <c r="Q220" s="460"/>
      <c r="R220" s="460"/>
      <c r="S220" s="460"/>
      <c r="U220" s="459"/>
    </row>
    <row r="221" spans="2:21">
      <c r="B221" s="385"/>
      <c r="C221" s="377"/>
    </row>
    <row r="222" spans="2:21">
      <c r="B222" s="386"/>
      <c r="C222" s="377"/>
    </row>
    <row r="223" spans="2:21">
      <c r="B223" s="385"/>
      <c r="C223" s="379"/>
      <c r="D223" s="457"/>
      <c r="E223" s="456"/>
      <c r="F223" s="456"/>
      <c r="G223" s="456"/>
      <c r="K223" s="459"/>
      <c r="U223" s="459"/>
    </row>
    <row r="224" spans="2:21">
      <c r="B224" s="374"/>
      <c r="C224" s="379"/>
      <c r="D224" s="457"/>
      <c r="E224" s="456"/>
      <c r="F224" s="456"/>
      <c r="G224" s="456"/>
      <c r="K224" s="459"/>
      <c r="U224" s="459"/>
    </row>
    <row r="225" spans="2:21">
      <c r="B225" s="386"/>
      <c r="C225" s="379"/>
      <c r="D225" s="457"/>
      <c r="E225" s="456"/>
      <c r="F225" s="456"/>
      <c r="G225" s="456"/>
      <c r="I225" s="459"/>
      <c r="U225" s="459"/>
    </row>
    <row r="226" spans="2:21">
      <c r="B226" s="386"/>
      <c r="C226" s="379"/>
      <c r="D226" s="457"/>
      <c r="E226" s="456"/>
      <c r="F226" s="456"/>
      <c r="G226" s="456"/>
      <c r="J226" s="459"/>
      <c r="U226" s="459"/>
    </row>
    <row r="227" spans="2:21">
      <c r="B227" s="386"/>
      <c r="C227" s="379"/>
      <c r="D227" s="457"/>
      <c r="E227" s="456"/>
      <c r="F227" s="456"/>
      <c r="G227" s="456"/>
      <c r="J227" s="459"/>
      <c r="U227" s="459"/>
    </row>
    <row r="228" spans="2:21">
      <c r="B228" s="386"/>
      <c r="C228" s="379"/>
      <c r="D228" s="457"/>
      <c r="E228" s="456"/>
      <c r="F228" s="456"/>
      <c r="G228" s="456"/>
      <c r="N228" s="459"/>
      <c r="U228" s="459"/>
    </row>
    <row r="229" spans="2:21">
      <c r="B229" s="386"/>
      <c r="C229" s="379"/>
      <c r="D229" s="457"/>
      <c r="E229" s="456"/>
      <c r="F229" s="456"/>
      <c r="G229" s="456"/>
      <c r="O229" s="459"/>
      <c r="U229" s="459"/>
    </row>
    <row r="230" spans="2:21">
      <c r="B230" s="386"/>
      <c r="C230" s="379"/>
      <c r="D230" s="457"/>
      <c r="E230" s="456"/>
      <c r="F230" s="456"/>
      <c r="G230" s="456"/>
      <c r="O230" s="459"/>
      <c r="U230" s="459"/>
    </row>
    <row r="231" spans="2:21">
      <c r="B231" s="386"/>
      <c r="C231" s="379"/>
      <c r="D231" s="457"/>
      <c r="E231" s="456"/>
      <c r="F231" s="456"/>
      <c r="G231" s="456"/>
      <c r="P231" s="459"/>
      <c r="U231" s="459"/>
    </row>
    <row r="232" spans="2:21">
      <c r="B232" s="386"/>
      <c r="C232" s="379"/>
      <c r="D232" s="457"/>
      <c r="E232" s="456"/>
      <c r="F232" s="456"/>
      <c r="G232" s="456"/>
      <c r="P232" s="459"/>
      <c r="U232" s="459"/>
    </row>
    <row r="233" spans="2:21">
      <c r="B233" s="386"/>
      <c r="C233" s="379"/>
      <c r="D233" s="457"/>
      <c r="E233" s="456"/>
      <c r="F233" s="456"/>
      <c r="G233" s="456"/>
      <c r="K233" s="459"/>
      <c r="U233" s="459"/>
    </row>
    <row r="234" spans="2:21">
      <c r="B234" s="386"/>
      <c r="C234" s="379"/>
      <c r="D234" s="457"/>
      <c r="E234" s="456"/>
      <c r="F234" s="456"/>
      <c r="G234" s="456"/>
      <c r="I234" s="459"/>
      <c r="K234" s="459"/>
      <c r="U234" s="459"/>
    </row>
    <row r="235" spans="2:21">
      <c r="B235" s="386"/>
      <c r="C235" s="377"/>
      <c r="D235" s="461"/>
      <c r="E235" s="460"/>
      <c r="F235" s="460"/>
      <c r="G235" s="460"/>
      <c r="H235" s="460"/>
      <c r="I235" s="460"/>
      <c r="J235" s="460"/>
      <c r="K235" s="460"/>
      <c r="L235" s="460"/>
      <c r="M235" s="460"/>
      <c r="N235" s="460"/>
      <c r="O235" s="460"/>
      <c r="P235" s="460"/>
      <c r="Q235" s="460"/>
      <c r="R235" s="460"/>
      <c r="S235" s="460"/>
      <c r="U235" s="459"/>
    </row>
    <row r="236" spans="2:21">
      <c r="B236" s="386"/>
      <c r="C236" s="377"/>
    </row>
    <row r="237" spans="2:21">
      <c r="B237" s="386"/>
      <c r="C237" s="377"/>
      <c r="D237" s="457"/>
      <c r="E237" s="456"/>
      <c r="F237" s="456"/>
      <c r="G237" s="456"/>
      <c r="H237" s="456"/>
      <c r="I237" s="456"/>
      <c r="J237" s="456"/>
      <c r="K237" s="456"/>
      <c r="L237" s="456"/>
      <c r="M237" s="456"/>
      <c r="N237" s="456"/>
      <c r="O237" s="456"/>
      <c r="P237" s="456"/>
      <c r="Q237" s="456"/>
      <c r="R237" s="456"/>
      <c r="S237" s="456"/>
    </row>
    <row r="238" spans="2:21">
      <c r="B238" s="386"/>
      <c r="C238" s="377"/>
    </row>
    <row r="239" spans="2:21">
      <c r="B239" s="386"/>
      <c r="C239" s="377"/>
    </row>
    <row r="240" spans="2:21">
      <c r="B240" s="386"/>
      <c r="C240" s="379"/>
      <c r="D240" s="457"/>
      <c r="E240" s="456"/>
      <c r="F240" s="456"/>
      <c r="G240" s="456"/>
      <c r="H240" s="456"/>
      <c r="I240" s="456"/>
      <c r="J240" s="456"/>
      <c r="K240" s="456"/>
      <c r="L240" s="456"/>
      <c r="M240" s="456"/>
      <c r="N240" s="456"/>
      <c r="O240" s="456"/>
      <c r="P240" s="456"/>
      <c r="Q240" s="456"/>
      <c r="R240" s="456"/>
      <c r="S240" s="456"/>
      <c r="U240" s="455"/>
    </row>
    <row r="241" spans="2:21">
      <c r="B241" s="374"/>
      <c r="C241" s="379"/>
      <c r="D241" s="457"/>
      <c r="E241" s="456"/>
      <c r="F241" s="456"/>
      <c r="G241" s="456"/>
      <c r="H241" s="456"/>
      <c r="I241" s="456"/>
      <c r="J241" s="456"/>
      <c r="K241" s="456"/>
      <c r="L241" s="456"/>
      <c r="M241" s="456"/>
      <c r="N241" s="456"/>
      <c r="O241" s="456"/>
      <c r="P241" s="456"/>
      <c r="Q241" s="456"/>
      <c r="R241" s="456"/>
      <c r="S241" s="456"/>
      <c r="U241" s="455"/>
    </row>
    <row r="242" spans="2:21">
      <c r="B242" s="386"/>
      <c r="C242" s="379"/>
      <c r="D242" s="457"/>
      <c r="E242" s="456"/>
      <c r="F242" s="456"/>
      <c r="G242" s="456"/>
      <c r="H242" s="456"/>
      <c r="I242" s="456"/>
      <c r="J242" s="456"/>
      <c r="K242" s="456"/>
      <c r="L242" s="456"/>
      <c r="M242" s="456"/>
      <c r="N242" s="456"/>
      <c r="O242" s="456"/>
      <c r="P242" s="456"/>
      <c r="Q242" s="456"/>
      <c r="R242" s="456"/>
      <c r="S242" s="456"/>
      <c r="U242" s="455"/>
    </row>
    <row r="243" spans="2:21">
      <c r="B243" s="386"/>
      <c r="C243" s="379"/>
      <c r="D243" s="457"/>
      <c r="E243" s="456"/>
      <c r="F243" s="456"/>
      <c r="G243" s="456"/>
      <c r="H243" s="456"/>
      <c r="I243" s="456"/>
      <c r="J243" s="456"/>
      <c r="K243" s="456"/>
      <c r="L243" s="456"/>
      <c r="M243" s="456"/>
      <c r="N243" s="456"/>
      <c r="O243" s="456"/>
      <c r="P243" s="456"/>
      <c r="Q243" s="456"/>
      <c r="R243" s="456"/>
      <c r="S243" s="456"/>
      <c r="U243" s="455"/>
    </row>
    <row r="244" spans="2:21">
      <c r="B244" s="386"/>
      <c r="C244" s="379"/>
      <c r="D244" s="457"/>
      <c r="E244" s="456"/>
      <c r="F244" s="456"/>
      <c r="G244" s="456"/>
      <c r="H244" s="456"/>
      <c r="I244" s="456"/>
      <c r="J244" s="456"/>
      <c r="K244" s="456"/>
      <c r="L244" s="456"/>
      <c r="M244" s="456"/>
      <c r="N244" s="456"/>
      <c r="O244" s="456"/>
      <c r="P244" s="456"/>
      <c r="Q244" s="456"/>
      <c r="R244" s="456"/>
      <c r="S244" s="456"/>
      <c r="U244" s="455"/>
    </row>
    <row r="245" spans="2:21">
      <c r="B245" s="386"/>
      <c r="C245" s="379"/>
      <c r="D245" s="457"/>
      <c r="E245" s="456"/>
      <c r="F245" s="456"/>
      <c r="G245" s="456"/>
      <c r="H245" s="456"/>
      <c r="I245" s="456"/>
      <c r="J245" s="456"/>
      <c r="K245" s="456"/>
      <c r="L245" s="456"/>
      <c r="M245" s="456"/>
      <c r="N245" s="456"/>
      <c r="O245" s="456"/>
      <c r="P245" s="456"/>
      <c r="Q245" s="456"/>
      <c r="R245" s="456"/>
      <c r="S245" s="456"/>
      <c r="U245" s="455"/>
    </row>
    <row r="246" spans="2:21">
      <c r="B246" s="386"/>
      <c r="C246" s="379"/>
      <c r="D246" s="457"/>
      <c r="E246" s="456"/>
      <c r="F246" s="456"/>
      <c r="G246" s="456"/>
      <c r="H246" s="456"/>
      <c r="I246" s="456"/>
      <c r="J246" s="456"/>
      <c r="K246" s="456"/>
      <c r="L246" s="456"/>
      <c r="M246" s="456"/>
      <c r="N246" s="456"/>
      <c r="O246" s="456"/>
      <c r="P246" s="456"/>
      <c r="Q246" s="456"/>
      <c r="R246" s="456"/>
      <c r="S246" s="456"/>
      <c r="U246" s="455"/>
    </row>
    <row r="247" spans="2:21">
      <c r="B247" s="386"/>
      <c r="C247" s="379"/>
      <c r="D247" s="457"/>
      <c r="E247" s="456"/>
      <c r="F247" s="456"/>
      <c r="G247" s="456"/>
      <c r="H247" s="456"/>
      <c r="I247" s="456"/>
      <c r="J247" s="456"/>
      <c r="K247" s="456"/>
      <c r="L247" s="456"/>
      <c r="M247" s="456"/>
      <c r="N247" s="456"/>
      <c r="O247" s="456"/>
      <c r="P247" s="456"/>
      <c r="Q247" s="456"/>
      <c r="R247" s="456"/>
      <c r="S247" s="456"/>
      <c r="U247" s="455"/>
    </row>
    <row r="248" spans="2:21">
      <c r="B248" s="386"/>
      <c r="C248" s="379"/>
      <c r="D248" s="457"/>
      <c r="E248" s="456"/>
      <c r="F248" s="456"/>
      <c r="G248" s="456"/>
      <c r="H248" s="456"/>
      <c r="I248" s="456"/>
      <c r="J248" s="456"/>
      <c r="K248" s="456"/>
      <c r="L248" s="456"/>
      <c r="M248" s="456"/>
      <c r="N248" s="456"/>
      <c r="O248" s="456"/>
      <c r="P248" s="456"/>
      <c r="Q248" s="456"/>
      <c r="R248" s="456"/>
      <c r="S248" s="456"/>
      <c r="U248" s="455"/>
    </row>
    <row r="249" spans="2:21">
      <c r="B249" s="386"/>
      <c r="C249" s="379"/>
      <c r="D249" s="457"/>
      <c r="E249" s="456"/>
      <c r="F249" s="456"/>
      <c r="G249" s="456"/>
      <c r="H249" s="456"/>
      <c r="I249" s="456"/>
      <c r="J249" s="456"/>
      <c r="K249" s="456"/>
      <c r="L249" s="456"/>
      <c r="M249" s="456"/>
      <c r="N249" s="456"/>
      <c r="O249" s="456"/>
      <c r="P249" s="456"/>
      <c r="Q249" s="456"/>
      <c r="R249" s="456"/>
      <c r="S249" s="456"/>
      <c r="U249" s="455"/>
    </row>
    <row r="250" spans="2:21">
      <c r="B250" s="386"/>
      <c r="C250" s="377"/>
      <c r="D250" s="461"/>
      <c r="E250" s="460"/>
      <c r="F250" s="460"/>
      <c r="G250" s="460"/>
      <c r="H250" s="460"/>
      <c r="I250" s="460"/>
      <c r="J250" s="460"/>
      <c r="K250" s="460"/>
      <c r="L250" s="460"/>
      <c r="M250" s="460"/>
      <c r="N250" s="460"/>
      <c r="O250" s="460"/>
      <c r="P250" s="460"/>
      <c r="Q250" s="460"/>
      <c r="R250" s="460"/>
      <c r="S250" s="460"/>
      <c r="U250" s="455"/>
    </row>
    <row r="251" spans="2:21">
      <c r="B251" s="386"/>
      <c r="C251" s="377"/>
    </row>
    <row r="252" spans="2:21">
      <c r="B252" s="374"/>
      <c r="C252" s="377"/>
    </row>
    <row r="253" spans="2:21">
      <c r="B253" s="385"/>
      <c r="C253" s="379"/>
      <c r="D253" s="457"/>
      <c r="E253" s="456"/>
      <c r="F253" s="456"/>
      <c r="G253" s="456"/>
      <c r="H253" s="456"/>
      <c r="I253" s="456"/>
      <c r="J253" s="456"/>
      <c r="K253" s="456"/>
      <c r="L253" s="456"/>
      <c r="M253" s="456"/>
      <c r="N253" s="456"/>
      <c r="O253" s="456"/>
      <c r="P253" s="456"/>
      <c r="Q253" s="456"/>
      <c r="R253" s="456"/>
      <c r="S253" s="456"/>
    </row>
    <row r="254" spans="2:21">
      <c r="B254" s="385"/>
      <c r="C254" s="379"/>
      <c r="D254" s="457"/>
      <c r="E254" s="456"/>
      <c r="F254" s="456"/>
      <c r="G254" s="456"/>
      <c r="H254" s="456"/>
      <c r="I254" s="456"/>
      <c r="J254" s="456"/>
      <c r="K254" s="456"/>
      <c r="L254" s="456"/>
      <c r="M254" s="456"/>
      <c r="N254" s="456"/>
      <c r="O254" s="456"/>
      <c r="P254" s="456"/>
      <c r="Q254" s="456"/>
      <c r="R254" s="456"/>
      <c r="S254" s="456"/>
    </row>
    <row r="255" spans="2:21">
      <c r="B255" s="385"/>
      <c r="C255" s="379"/>
      <c r="D255" s="457"/>
      <c r="E255" s="456"/>
      <c r="F255" s="456"/>
      <c r="G255" s="456"/>
      <c r="H255" s="456"/>
      <c r="I255" s="456"/>
      <c r="J255" s="456"/>
      <c r="K255" s="456"/>
      <c r="L255" s="456"/>
      <c r="M255" s="456"/>
      <c r="N255" s="456"/>
      <c r="O255" s="456"/>
      <c r="P255" s="456"/>
      <c r="Q255" s="456"/>
      <c r="R255" s="456"/>
      <c r="S255" s="456"/>
    </row>
    <row r="256" spans="2:21">
      <c r="B256" s="385"/>
      <c r="C256" s="379"/>
      <c r="D256" s="457"/>
      <c r="E256" s="456"/>
      <c r="F256" s="456"/>
      <c r="G256" s="456"/>
      <c r="H256" s="456"/>
      <c r="I256" s="456"/>
      <c r="J256" s="456"/>
      <c r="K256" s="456"/>
      <c r="L256" s="456"/>
      <c r="M256" s="456"/>
      <c r="N256" s="456"/>
      <c r="O256" s="456"/>
      <c r="P256" s="456"/>
      <c r="Q256" s="456"/>
      <c r="R256" s="456"/>
      <c r="S256" s="456"/>
    </row>
    <row r="257" spans="1:21">
      <c r="B257" s="386"/>
      <c r="C257" s="377"/>
      <c r="D257" s="461"/>
      <c r="E257" s="460"/>
      <c r="F257" s="460"/>
      <c r="G257" s="460"/>
      <c r="H257" s="460"/>
      <c r="I257" s="460"/>
      <c r="J257" s="460"/>
      <c r="K257" s="460"/>
      <c r="L257" s="460"/>
      <c r="M257" s="460"/>
      <c r="N257" s="460"/>
      <c r="O257" s="460"/>
      <c r="P257" s="460"/>
      <c r="Q257" s="460"/>
      <c r="R257" s="460"/>
      <c r="S257" s="460"/>
      <c r="U257" s="455"/>
    </row>
    <row r="258" spans="1:21">
      <c r="B258" s="374"/>
      <c r="C258" s="377"/>
    </row>
    <row r="259" spans="1:21">
      <c r="B259" s="386"/>
      <c r="C259" s="387"/>
      <c r="D259" s="457"/>
      <c r="E259" s="456"/>
      <c r="F259" s="456"/>
      <c r="G259" s="456"/>
    </row>
    <row r="260" spans="1:21">
      <c r="B260" s="390"/>
      <c r="C260" s="379"/>
      <c r="D260" s="457"/>
      <c r="E260" s="456"/>
      <c r="F260" s="456"/>
      <c r="G260" s="456"/>
    </row>
    <row r="261" spans="1:21">
      <c r="B261" s="386"/>
      <c r="C261" s="377"/>
      <c r="D261" s="461"/>
      <c r="E261" s="460"/>
      <c r="F261" s="460"/>
      <c r="G261" s="460"/>
      <c r="H261" s="460"/>
      <c r="I261" s="460"/>
      <c r="J261" s="460"/>
      <c r="K261" s="460"/>
      <c r="L261" s="460"/>
      <c r="M261" s="460"/>
      <c r="N261" s="460"/>
      <c r="O261" s="460"/>
      <c r="P261" s="460"/>
      <c r="Q261" s="460"/>
      <c r="R261" s="460"/>
      <c r="S261" s="460"/>
      <c r="U261" s="455"/>
    </row>
    <row r="262" spans="1:21">
      <c r="B262" s="386"/>
      <c r="C262" s="387"/>
    </row>
    <row r="263" spans="1:21">
      <c r="B263" s="386"/>
      <c r="C263" s="377"/>
    </row>
    <row r="264" spans="1:21">
      <c r="B264" s="385"/>
      <c r="C264" s="379"/>
      <c r="D264" s="457"/>
      <c r="E264" s="456"/>
      <c r="F264" s="456"/>
      <c r="G264" s="456"/>
      <c r="H264" s="459"/>
      <c r="U264" s="459"/>
    </row>
    <row r="265" spans="1:21">
      <c r="B265" s="385"/>
      <c r="C265" s="379"/>
      <c r="D265" s="457"/>
      <c r="E265" s="456"/>
      <c r="F265" s="456"/>
      <c r="G265" s="456"/>
      <c r="I265" s="459"/>
      <c r="J265" s="459"/>
      <c r="K265" s="459"/>
      <c r="L265" s="459"/>
      <c r="M265" s="459"/>
      <c r="N265" s="459"/>
      <c r="O265" s="459"/>
      <c r="P265" s="459"/>
      <c r="Q265" s="459"/>
      <c r="R265" s="459"/>
      <c r="S265" s="459"/>
      <c r="U265" s="459"/>
    </row>
    <row r="266" spans="1:21">
      <c r="B266" s="385"/>
      <c r="C266" s="379"/>
      <c r="D266" s="457"/>
      <c r="E266" s="456"/>
      <c r="F266" s="456"/>
      <c r="G266" s="456"/>
      <c r="H266" s="455"/>
      <c r="I266" s="455"/>
      <c r="J266" s="455"/>
      <c r="K266" s="455"/>
      <c r="L266" s="455"/>
      <c r="M266" s="455"/>
      <c r="N266" s="455"/>
      <c r="O266" s="455"/>
      <c r="P266" s="455"/>
      <c r="Q266" s="455"/>
      <c r="R266" s="455"/>
      <c r="S266" s="455"/>
      <c r="U266" s="459"/>
    </row>
    <row r="267" spans="1:21">
      <c r="B267" s="385"/>
      <c r="C267" s="381"/>
      <c r="D267" s="457"/>
      <c r="E267" s="456"/>
      <c r="F267" s="456"/>
      <c r="G267" s="456"/>
      <c r="H267" s="455"/>
      <c r="I267" s="455"/>
      <c r="J267" s="455"/>
      <c r="K267" s="455"/>
      <c r="L267" s="455"/>
      <c r="M267" s="455"/>
      <c r="N267" s="455"/>
      <c r="O267" s="455"/>
      <c r="P267" s="455"/>
      <c r="Q267" s="455"/>
      <c r="R267" s="455"/>
      <c r="S267" s="455"/>
      <c r="U267" s="459"/>
    </row>
    <row r="268" spans="1:21">
      <c r="B268" s="385"/>
      <c r="C268" s="381"/>
      <c r="D268" s="457"/>
      <c r="E268" s="456"/>
      <c r="F268" s="456"/>
      <c r="G268" s="456"/>
      <c r="H268" s="455"/>
      <c r="I268" s="455"/>
      <c r="J268" s="455"/>
      <c r="K268" s="455"/>
      <c r="L268" s="455"/>
      <c r="M268" s="455"/>
      <c r="N268" s="455"/>
      <c r="O268" s="455"/>
      <c r="P268" s="455"/>
      <c r="Q268" s="455"/>
      <c r="R268" s="455"/>
      <c r="S268" s="455"/>
      <c r="U268" s="459"/>
    </row>
    <row r="269" spans="1:21">
      <c r="B269" s="385"/>
      <c r="C269" s="381"/>
      <c r="D269" s="457"/>
      <c r="E269" s="456"/>
      <c r="F269" s="456"/>
      <c r="G269" s="456"/>
      <c r="H269" s="455"/>
      <c r="I269" s="455"/>
      <c r="J269" s="455"/>
      <c r="K269" s="455"/>
      <c r="L269" s="455"/>
      <c r="M269" s="455"/>
      <c r="N269" s="455"/>
      <c r="O269" s="455"/>
      <c r="P269" s="455"/>
      <c r="Q269" s="455"/>
      <c r="R269" s="455"/>
      <c r="S269" s="455"/>
      <c r="U269" s="459"/>
    </row>
    <row r="270" spans="1:21">
      <c r="B270" s="386"/>
      <c r="C270" s="377"/>
      <c r="D270" s="461"/>
      <c r="E270" s="460"/>
      <c r="F270" s="460"/>
      <c r="G270" s="460"/>
      <c r="H270" s="460"/>
      <c r="I270" s="460"/>
      <c r="J270" s="460"/>
      <c r="K270" s="460"/>
      <c r="L270" s="460"/>
      <c r="M270" s="460"/>
      <c r="N270" s="460"/>
      <c r="O270" s="460"/>
      <c r="P270" s="460"/>
      <c r="Q270" s="460"/>
      <c r="R270" s="460"/>
      <c r="S270" s="460"/>
      <c r="U270" s="459"/>
    </row>
    <row r="271" spans="1:21">
      <c r="B271" s="386"/>
      <c r="C271" s="387"/>
    </row>
    <row r="272" spans="1:21" s="364" customFormat="1">
      <c r="A272" s="365"/>
      <c r="B272" s="440"/>
      <c r="C272" s="387"/>
      <c r="D272" s="387"/>
      <c r="E272" s="387"/>
      <c r="F272" s="387"/>
      <c r="G272" s="387"/>
      <c r="H272" s="387"/>
      <c r="I272" s="387"/>
      <c r="J272" s="387"/>
      <c r="K272" s="387"/>
      <c r="L272" s="387"/>
      <c r="M272" s="387"/>
      <c r="N272" s="387"/>
      <c r="O272" s="387"/>
      <c r="P272" s="387"/>
      <c r="Q272" s="387"/>
      <c r="R272" s="387"/>
      <c r="S272" s="387"/>
    </row>
    <row r="273" spans="2:19">
      <c r="B273" s="386"/>
      <c r="C273" s="387"/>
      <c r="D273" s="458"/>
    </row>
    <row r="274" spans="2:19">
      <c r="B274" s="385"/>
      <c r="C274" s="387"/>
    </row>
    <row r="275" spans="2:19">
      <c r="B275" s="385"/>
      <c r="C275" s="381"/>
      <c r="D275" s="457"/>
      <c r="E275" s="456"/>
      <c r="F275" s="456"/>
      <c r="G275" s="456"/>
      <c r="H275" s="455"/>
      <c r="I275" s="455"/>
      <c r="J275" s="455"/>
      <c r="K275" s="455"/>
      <c r="L275" s="455"/>
      <c r="M275" s="455"/>
      <c r="N275" s="455"/>
      <c r="O275" s="455"/>
      <c r="P275" s="455"/>
      <c r="Q275" s="455"/>
      <c r="R275" s="455"/>
      <c r="S275" s="455"/>
    </row>
    <row r="276" spans="2:19">
      <c r="B276" s="390"/>
      <c r="C276" s="379"/>
      <c r="D276" s="457"/>
      <c r="E276" s="456"/>
      <c r="F276" s="456"/>
      <c r="G276" s="456"/>
      <c r="H276" s="455"/>
      <c r="I276" s="455"/>
      <c r="J276" s="455"/>
      <c r="K276" s="455"/>
      <c r="L276" s="455"/>
      <c r="M276" s="455"/>
      <c r="N276" s="455"/>
      <c r="O276" s="455"/>
      <c r="P276" s="455"/>
      <c r="Q276" s="455"/>
      <c r="R276" s="455"/>
      <c r="S276" s="455"/>
    </row>
    <row r="277" spans="2:19">
      <c r="B277" s="385"/>
      <c r="C277" s="379"/>
      <c r="D277" s="457"/>
      <c r="E277" s="456"/>
      <c r="F277" s="456"/>
      <c r="G277" s="456"/>
      <c r="H277" s="455"/>
      <c r="I277" s="455"/>
      <c r="J277" s="455"/>
      <c r="K277" s="455"/>
      <c r="L277" s="455"/>
      <c r="M277" s="455"/>
      <c r="N277" s="455"/>
      <c r="O277" s="455"/>
      <c r="P277" s="455"/>
      <c r="Q277" s="455"/>
      <c r="R277" s="455"/>
      <c r="S277" s="455"/>
    </row>
    <row r="278" spans="2:19">
      <c r="B278" s="386"/>
      <c r="C278" s="377"/>
      <c r="D278" s="445"/>
      <c r="E278" s="445"/>
      <c r="F278" s="445"/>
      <c r="G278" s="445"/>
      <c r="H278" s="445"/>
      <c r="I278" s="445"/>
      <c r="J278" s="445"/>
      <c r="K278" s="445"/>
      <c r="L278" s="445"/>
      <c r="M278" s="445"/>
      <c r="N278" s="445"/>
      <c r="O278" s="445"/>
      <c r="P278" s="445"/>
      <c r="Q278" s="445"/>
      <c r="R278" s="445"/>
      <c r="S278" s="445"/>
    </row>
    <row r="279" spans="2:19">
      <c r="B279" s="386"/>
      <c r="C279" s="377"/>
    </row>
    <row r="280" spans="2:19" ht="21.75" customHeight="1">
      <c r="B280" s="385"/>
      <c r="C280" s="387"/>
      <c r="D280" s="387"/>
      <c r="E280" s="387"/>
      <c r="F280" s="387"/>
      <c r="G280" s="387"/>
      <c r="H280" s="387"/>
      <c r="I280" s="387"/>
      <c r="J280" s="387"/>
      <c r="K280" s="387"/>
      <c r="L280" s="387"/>
      <c r="M280" s="387"/>
      <c r="N280" s="387"/>
      <c r="O280" s="387"/>
      <c r="P280" s="387"/>
      <c r="Q280" s="387"/>
      <c r="R280" s="387"/>
      <c r="S280" s="387"/>
    </row>
  </sheetData>
  <mergeCells count="6">
    <mergeCell ref="U1:U3"/>
    <mergeCell ref="N1:S1"/>
    <mergeCell ref="I2:K2"/>
    <mergeCell ref="H1:K1"/>
    <mergeCell ref="L2:M2"/>
    <mergeCell ref="L1:M1"/>
  </mergeCells>
  <pageMargins left="0.7" right="0.7" top="1" bottom="0.75" header="0.55000000000000004" footer="0.3"/>
  <pageSetup scale="75" pageOrder="overThenDown" orientation="landscape" r:id="rId1"/>
  <headerFooter>
    <oddHeader>&amp;C&amp;"Arial,Bold"&amp;10UNS GAS, INC.
FUNCTIONALIZATION OF RATE BASE
FOR THE TEST PERIOD ENDING JUNE 30, 2024&amp;R&amp;"Arial,Bold"&amp;10SCHEDULE G-5
SHEET &amp;P OF &amp;N</oddHeader>
  </headerFooter>
  <rowBreaks count="2" manualBreakCount="2">
    <brk id="55" max="18" man="1"/>
    <brk id="107" max="18" man="1"/>
  </row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DDC6F-CFE7-4149-979C-AE17903FE89E}">
  <sheetPr codeName="Sheet38">
    <tabColor theme="8" tint="0.59999389629810485"/>
  </sheetPr>
  <dimension ref="A1:U138"/>
  <sheetViews>
    <sheetView topLeftCell="F1" zoomScaleNormal="100" workbookViewId="0">
      <selection sqref="A1:A3"/>
    </sheetView>
  </sheetViews>
  <sheetFormatPr defaultColWidth="9.140625" defaultRowHeight="11.25"/>
  <cols>
    <col min="1" max="1" width="5.5703125" style="365" bestFit="1" customWidth="1"/>
    <col min="2" max="2" width="7" style="360" bestFit="1" customWidth="1"/>
    <col min="3" max="3" width="50.42578125" style="360" bestFit="1" customWidth="1"/>
    <col min="4" max="4" width="12.5703125" style="454" bestFit="1" customWidth="1"/>
    <col min="5" max="5" width="12.5703125" style="360" bestFit="1" customWidth="1"/>
    <col min="6" max="6" width="12.28515625" style="360" bestFit="1" customWidth="1"/>
    <col min="7" max="7" width="12.5703125" style="360" bestFit="1" customWidth="1"/>
    <col min="8" max="8" width="14.85546875" style="360" bestFit="1" customWidth="1"/>
    <col min="9" max="9" width="12.5703125" style="360" bestFit="1" customWidth="1"/>
    <col min="10" max="10" width="12" style="360" bestFit="1" customWidth="1"/>
    <col min="11" max="12" width="9.85546875" style="360" bestFit="1" customWidth="1"/>
    <col min="13" max="13" width="7.5703125" style="360" bestFit="1" customWidth="1"/>
    <col min="14" max="15" width="12.5703125" style="360" bestFit="1" customWidth="1"/>
    <col min="16" max="16" width="13" style="360" bestFit="1" customWidth="1"/>
    <col min="17" max="17" width="9.85546875" style="360" bestFit="1" customWidth="1"/>
    <col min="18" max="18" width="11.5703125" style="360" bestFit="1" customWidth="1"/>
    <col min="19" max="19" width="9.85546875" style="360" customWidth="1"/>
    <col min="20" max="20" width="4.5703125" style="360" customWidth="1"/>
    <col min="21" max="21" width="9.5703125" style="360" bestFit="1" customWidth="1"/>
    <col min="22" max="22" width="9.140625" style="360"/>
    <col min="23" max="25" width="21" style="360" bestFit="1" customWidth="1"/>
    <col min="26" max="16384" width="9.140625" style="360"/>
  </cols>
  <sheetData>
    <row r="1" spans="1:21" ht="15" customHeight="1">
      <c r="A1" s="515"/>
      <c r="B1" s="519"/>
      <c r="C1" s="519"/>
      <c r="D1" s="533"/>
      <c r="E1" s="518"/>
      <c r="F1" s="517"/>
      <c r="G1" s="516"/>
      <c r="H1" s="774" t="s">
        <v>225</v>
      </c>
      <c r="I1" s="775"/>
      <c r="J1" s="775"/>
      <c r="K1" s="776"/>
      <c r="L1" s="781" t="s">
        <v>68</v>
      </c>
      <c r="M1" s="782"/>
      <c r="N1" s="774" t="s">
        <v>69</v>
      </c>
      <c r="O1" s="775"/>
      <c r="P1" s="775"/>
      <c r="Q1" s="775"/>
      <c r="R1" s="775"/>
      <c r="S1" s="776"/>
    </row>
    <row r="2" spans="1:21" s="364" customFormat="1">
      <c r="A2" s="514" t="s">
        <v>226</v>
      </c>
      <c r="B2" s="365" t="s">
        <v>60</v>
      </c>
      <c r="D2" s="532" t="s">
        <v>2</v>
      </c>
      <c r="E2" s="513" t="s">
        <v>225</v>
      </c>
      <c r="F2" s="500" t="s">
        <v>68</v>
      </c>
      <c r="G2" s="512" t="s">
        <v>69</v>
      </c>
      <c r="H2" s="511" t="s">
        <v>227</v>
      </c>
      <c r="I2" s="777" t="s">
        <v>228</v>
      </c>
      <c r="J2" s="777"/>
      <c r="K2" s="778"/>
      <c r="L2" s="779"/>
      <c r="M2" s="780"/>
      <c r="N2" s="511"/>
      <c r="O2" s="499"/>
      <c r="P2" s="499"/>
      <c r="Q2" s="499" t="s">
        <v>229</v>
      </c>
      <c r="R2" s="499"/>
      <c r="S2" s="510"/>
    </row>
    <row r="3" spans="1:21" s="364" customFormat="1" ht="12" thickBot="1">
      <c r="A3" s="509" t="s">
        <v>230</v>
      </c>
      <c r="B3" s="508" t="s">
        <v>231</v>
      </c>
      <c r="C3" s="507"/>
      <c r="D3" s="531" t="s">
        <v>66</v>
      </c>
      <c r="E3" s="506"/>
      <c r="F3" s="505"/>
      <c r="G3" s="504"/>
      <c r="H3" s="503"/>
      <c r="I3" s="502" t="s">
        <v>232</v>
      </c>
      <c r="J3" s="502" t="s">
        <v>233</v>
      </c>
      <c r="K3" s="501" t="s">
        <v>234</v>
      </c>
      <c r="L3" s="503" t="s">
        <v>235</v>
      </c>
      <c r="M3" s="501" t="s">
        <v>234</v>
      </c>
      <c r="N3" s="503" t="s">
        <v>236</v>
      </c>
      <c r="O3" s="502" t="s">
        <v>237</v>
      </c>
      <c r="P3" s="502" t="s">
        <v>238</v>
      </c>
      <c r="Q3" s="502" t="s">
        <v>239</v>
      </c>
      <c r="R3" s="502" t="s">
        <v>240</v>
      </c>
      <c r="S3" s="501" t="s">
        <v>234</v>
      </c>
      <c r="U3" s="364" t="s">
        <v>6</v>
      </c>
    </row>
    <row r="4" spans="1:21" ht="12.75">
      <c r="C4" s="465"/>
      <c r="D4" s="457"/>
      <c r="E4" s="464"/>
      <c r="F4" s="464"/>
      <c r="G4" s="464"/>
      <c r="H4" s="498"/>
      <c r="I4" s="464"/>
      <c r="J4" s="464"/>
      <c r="K4" s="464"/>
      <c r="L4" s="464"/>
      <c r="M4" s="464"/>
      <c r="N4" s="464"/>
      <c r="O4" s="464"/>
      <c r="P4" s="497"/>
      <c r="Q4" s="464"/>
      <c r="R4" s="464"/>
      <c r="S4" s="464"/>
    </row>
    <row r="5" spans="1:21">
      <c r="B5" s="385"/>
      <c r="C5" s="377" t="s">
        <v>131</v>
      </c>
      <c r="D5" s="457"/>
      <c r="E5" s="456"/>
      <c r="F5" s="456"/>
      <c r="G5" s="456"/>
    </row>
    <row r="6" spans="1:21">
      <c r="A6" s="365">
        <v>1</v>
      </c>
      <c r="B6" s="385"/>
      <c r="C6" s="379" t="s">
        <v>132</v>
      </c>
      <c r="D6" s="361">
        <f>SUM(E6:G6)</f>
        <v>0</v>
      </c>
      <c r="E6" s="361">
        <f>SUM(H6:K6)</f>
        <v>0</v>
      </c>
      <c r="F6" s="361">
        <f>SUM(L6:M6)</f>
        <v>0</v>
      </c>
      <c r="G6" s="361">
        <f>SUM(N6:S6)</f>
        <v>0</v>
      </c>
      <c r="H6" s="361">
        <f>'Rev&amp;Expense'!$D21*'Function Allocators'!D121</f>
        <v>0</v>
      </c>
      <c r="I6" s="361">
        <f>'Rev&amp;Expense'!$D21*'Function Allocators'!E121</f>
        <v>0</v>
      </c>
      <c r="J6" s="361">
        <f>'Rev&amp;Expense'!$D21*'Function Allocators'!F121</f>
        <v>0</v>
      </c>
      <c r="K6" s="361">
        <f>'Rev&amp;Expense'!$D21*'Function Allocators'!G121</f>
        <v>0</v>
      </c>
      <c r="L6" s="361">
        <f>'Rev&amp;Expense'!$D21*'Function Allocators'!H121</f>
        <v>0</v>
      </c>
      <c r="M6" s="361">
        <f>'Rev&amp;Expense'!$D21*'Function Allocators'!I121</f>
        <v>0</v>
      </c>
      <c r="N6" s="361">
        <f>'Rev&amp;Expense'!$D21*'Function Allocators'!J121</f>
        <v>0</v>
      </c>
      <c r="O6" s="361">
        <f>'Rev&amp;Expense'!$D21*'Function Allocators'!K121</f>
        <v>0</v>
      </c>
      <c r="P6" s="361">
        <f>'Rev&amp;Expense'!$D21*'Function Allocators'!L121</f>
        <v>0</v>
      </c>
      <c r="Q6" s="361">
        <f>'Rev&amp;Expense'!$D21*'Function Allocators'!M121</f>
        <v>0</v>
      </c>
      <c r="R6" s="361">
        <f>'Rev&amp;Expense'!$D21*'Function Allocators'!N121</f>
        <v>0</v>
      </c>
      <c r="S6" s="361">
        <f>'Rev&amp;Expense'!$D21*'Function Allocators'!O121</f>
        <v>0</v>
      </c>
      <c r="U6" s="361">
        <f>D6-'Rev&amp;Expense'!D21</f>
        <v>0</v>
      </c>
    </row>
    <row r="7" spans="1:21">
      <c r="A7" s="365">
        <f t="shared" ref="A7:A49" si="0">+A6+1</f>
        <v>2</v>
      </c>
      <c r="B7" s="385">
        <v>805</v>
      </c>
      <c r="C7" s="379" t="s">
        <v>276</v>
      </c>
      <c r="D7" s="456">
        <f>SUM(E7:G7)</f>
        <v>-5.9999965131282806E-2</v>
      </c>
      <c r="E7" s="456">
        <f>SUM(H7:K7)</f>
        <v>-5.9999965131282806E-2</v>
      </c>
      <c r="F7" s="456">
        <f>SUM(L7:M7)</f>
        <v>0</v>
      </c>
      <c r="G7" s="456">
        <f>SUM(N7:S7)</f>
        <v>0</v>
      </c>
      <c r="H7" s="361">
        <f>'Rev&amp;Expense'!$D22*'Function Allocators'!D122</f>
        <v>0</v>
      </c>
      <c r="I7" s="361">
        <f>'Rev&amp;Expense'!$D22*'Function Allocators'!E122</f>
        <v>0</v>
      </c>
      <c r="J7" s="361">
        <f>'Rev&amp;Expense'!$D22*'Function Allocators'!F122</f>
        <v>0</v>
      </c>
      <c r="K7" s="361">
        <f>'Rev&amp;Expense'!$D22*'Function Allocators'!G122</f>
        <v>-5.9999965131282806E-2</v>
      </c>
      <c r="L7" s="361">
        <f>'Rev&amp;Expense'!$D22*'Function Allocators'!H122</f>
        <v>0</v>
      </c>
      <c r="M7" s="361">
        <f>'Rev&amp;Expense'!$D22*'Function Allocators'!I122</f>
        <v>0</v>
      </c>
      <c r="N7" s="361">
        <f>'Rev&amp;Expense'!$D22*'Function Allocators'!J122</f>
        <v>0</v>
      </c>
      <c r="O7" s="361">
        <f>'Rev&amp;Expense'!$D22*'Function Allocators'!K122</f>
        <v>0</v>
      </c>
      <c r="P7" s="361">
        <f>'Rev&amp;Expense'!$D22*'Function Allocators'!L122</f>
        <v>0</v>
      </c>
      <c r="Q7" s="361">
        <f>'Rev&amp;Expense'!$D22*'Function Allocators'!M122</f>
        <v>0</v>
      </c>
      <c r="R7" s="361">
        <f>'Rev&amp;Expense'!$D22*'Function Allocators'!N122</f>
        <v>0</v>
      </c>
      <c r="S7" s="361">
        <f>'Rev&amp;Expense'!$D22*'Function Allocators'!O122</f>
        <v>0</v>
      </c>
      <c r="U7" s="361">
        <f>D7-'Rev&amp;Expense'!D22</f>
        <v>0</v>
      </c>
    </row>
    <row r="8" spans="1:21">
      <c r="A8" s="365">
        <f t="shared" si="0"/>
        <v>3</v>
      </c>
      <c r="B8" s="385">
        <v>807</v>
      </c>
      <c r="C8" s="379" t="s">
        <v>134</v>
      </c>
      <c r="D8" s="475">
        <f>SUM(E8:G8)</f>
        <v>231994.91</v>
      </c>
      <c r="E8" s="475">
        <f>SUM(H8:K8)</f>
        <v>0</v>
      </c>
      <c r="F8" s="456">
        <f>SUM(L8:M8)</f>
        <v>231994.91</v>
      </c>
      <c r="G8" s="456">
        <f>SUM(N8:S8)</f>
        <v>0</v>
      </c>
      <c r="H8" s="475">
        <f>'Rev&amp;Expense'!$D23*'Function Allocators'!D123</f>
        <v>0</v>
      </c>
      <c r="I8" s="475">
        <f>'Rev&amp;Expense'!$D23*'Function Allocators'!E123</f>
        <v>0</v>
      </c>
      <c r="J8" s="475">
        <f>'Rev&amp;Expense'!$D23*'Function Allocators'!F123</f>
        <v>0</v>
      </c>
      <c r="K8" s="475">
        <f>'Rev&amp;Expense'!$D23*'Function Allocators'!G123</f>
        <v>0</v>
      </c>
      <c r="L8" s="361">
        <f>'Rev&amp;Expense'!$D23*'Function Allocators'!H123</f>
        <v>231994.91</v>
      </c>
      <c r="M8" s="361">
        <f>'Rev&amp;Expense'!$D23*'Function Allocators'!I123</f>
        <v>0</v>
      </c>
      <c r="N8" s="475">
        <f>'Rev&amp;Expense'!$D23*'Function Allocators'!J123</f>
        <v>0</v>
      </c>
      <c r="O8" s="475">
        <f>'Rev&amp;Expense'!$D23*'Function Allocators'!K123</f>
        <v>0</v>
      </c>
      <c r="P8" s="475">
        <f>'Rev&amp;Expense'!$D23*'Function Allocators'!L123</f>
        <v>0</v>
      </c>
      <c r="Q8" s="475">
        <f>'Rev&amp;Expense'!$D23*'Function Allocators'!M123</f>
        <v>0</v>
      </c>
      <c r="R8" s="475">
        <f>'Rev&amp;Expense'!$D23*'Function Allocators'!N123</f>
        <v>0</v>
      </c>
      <c r="S8" s="475">
        <f>'Rev&amp;Expense'!$D23*'Function Allocators'!O123</f>
        <v>0</v>
      </c>
      <c r="U8" s="361">
        <f>D8-'Rev&amp;Expense'!D23</f>
        <v>0</v>
      </c>
    </row>
    <row r="9" spans="1:21">
      <c r="A9" s="365">
        <f t="shared" si="0"/>
        <v>4</v>
      </c>
      <c r="B9" s="385"/>
      <c r="C9" s="377" t="s">
        <v>135</v>
      </c>
      <c r="D9" s="474">
        <f t="shared" ref="D9:S9" si="1">SUM(D6:D8)</f>
        <v>231994.85000003487</v>
      </c>
      <c r="E9" s="474">
        <f t="shared" si="1"/>
        <v>-5.9999965131282806E-2</v>
      </c>
      <c r="F9" s="530">
        <f t="shared" si="1"/>
        <v>231994.91</v>
      </c>
      <c r="G9" s="530">
        <f t="shared" si="1"/>
        <v>0</v>
      </c>
      <c r="H9" s="474">
        <f t="shared" si="1"/>
        <v>0</v>
      </c>
      <c r="I9" s="474">
        <f t="shared" si="1"/>
        <v>0</v>
      </c>
      <c r="J9" s="474">
        <f t="shared" si="1"/>
        <v>0</v>
      </c>
      <c r="K9" s="474">
        <f t="shared" si="1"/>
        <v>-5.9999965131282806E-2</v>
      </c>
      <c r="L9" s="474">
        <f t="shared" si="1"/>
        <v>231994.91</v>
      </c>
      <c r="M9" s="474">
        <f t="shared" si="1"/>
        <v>0</v>
      </c>
      <c r="N9" s="474">
        <f t="shared" si="1"/>
        <v>0</v>
      </c>
      <c r="O9" s="474">
        <f t="shared" si="1"/>
        <v>0</v>
      </c>
      <c r="P9" s="474">
        <f t="shared" si="1"/>
        <v>0</v>
      </c>
      <c r="Q9" s="474">
        <f t="shared" si="1"/>
        <v>0</v>
      </c>
      <c r="R9" s="474">
        <f t="shared" si="1"/>
        <v>0</v>
      </c>
      <c r="S9" s="474">
        <f t="shared" si="1"/>
        <v>0</v>
      </c>
      <c r="U9" s="361">
        <f>D9-'Rev&amp;Expense'!D24</f>
        <v>0</v>
      </c>
    </row>
    <row r="10" spans="1:21">
      <c r="A10" s="365">
        <f t="shared" si="0"/>
        <v>5</v>
      </c>
      <c r="B10" s="385"/>
      <c r="C10" s="377"/>
      <c r="E10" s="456"/>
      <c r="F10" s="456"/>
      <c r="G10" s="456"/>
      <c r="H10" s="456"/>
      <c r="I10" s="456"/>
      <c r="J10" s="456"/>
      <c r="K10" s="456"/>
      <c r="L10" s="456"/>
      <c r="M10" s="456"/>
      <c r="N10" s="456"/>
      <c r="O10" s="456"/>
      <c r="P10" s="456"/>
      <c r="Q10" s="456"/>
      <c r="R10" s="456"/>
      <c r="S10" s="456"/>
    </row>
    <row r="11" spans="1:21">
      <c r="A11" s="365">
        <f t="shared" si="0"/>
        <v>6</v>
      </c>
      <c r="B11" s="390"/>
      <c r="C11" s="377" t="s">
        <v>277</v>
      </c>
      <c r="E11" s="456"/>
      <c r="F11" s="456"/>
      <c r="G11" s="456"/>
      <c r="H11" s="456"/>
      <c r="I11" s="456"/>
      <c r="J11" s="456"/>
      <c r="K11" s="456"/>
      <c r="L11" s="456"/>
      <c r="M11" s="456"/>
      <c r="N11" s="456"/>
      <c r="O11" s="456"/>
      <c r="P11" s="456"/>
      <c r="Q11" s="456"/>
      <c r="R11" s="456"/>
      <c r="S11" s="456"/>
    </row>
    <row r="12" spans="1:21">
      <c r="A12" s="365">
        <f t="shared" si="0"/>
        <v>7</v>
      </c>
      <c r="B12" s="385">
        <v>856</v>
      </c>
      <c r="C12" s="379" t="s">
        <v>278</v>
      </c>
      <c r="D12" s="361">
        <f>SUM(E12:G12)</f>
        <v>14207.4</v>
      </c>
      <c r="E12" s="361">
        <f>SUM(H12:K12)</f>
        <v>14207.4</v>
      </c>
      <c r="F12" s="361">
        <f>SUM(L12:M12)</f>
        <v>0</v>
      </c>
      <c r="G12" s="361">
        <f>SUM(N12:S12)</f>
        <v>0</v>
      </c>
      <c r="H12" s="361">
        <f>'Rev&amp;Expense'!$D27*'Function Allocators'!D127</f>
        <v>0</v>
      </c>
      <c r="I12" s="361">
        <f>'Rev&amp;Expense'!$D27*'Function Allocators'!E127</f>
        <v>14207.4</v>
      </c>
      <c r="J12" s="361">
        <f>'Rev&amp;Expense'!$D27*'Function Allocators'!F127</f>
        <v>0</v>
      </c>
      <c r="K12" s="361">
        <f>'Rev&amp;Expense'!$D27*'Function Allocators'!G127</f>
        <v>0</v>
      </c>
      <c r="L12" s="361">
        <f>'Rev&amp;Expense'!$D27*'Function Allocators'!H127</f>
        <v>0</v>
      </c>
      <c r="M12" s="361">
        <f>'Rev&amp;Expense'!$D27*'Function Allocators'!I127</f>
        <v>0</v>
      </c>
      <c r="N12" s="361">
        <f>'Rev&amp;Expense'!$D27*'Function Allocators'!J127</f>
        <v>0</v>
      </c>
      <c r="O12" s="361">
        <f>'Rev&amp;Expense'!$D27*'Function Allocators'!K127</f>
        <v>0</v>
      </c>
      <c r="P12" s="361">
        <f>'Rev&amp;Expense'!$D27*'Function Allocators'!L127</f>
        <v>0</v>
      </c>
      <c r="Q12" s="361">
        <f>'Rev&amp;Expense'!$D27*'Function Allocators'!M127</f>
        <v>0</v>
      </c>
      <c r="R12" s="361">
        <f>'Rev&amp;Expense'!$D27*'Function Allocators'!N127</f>
        <v>0</v>
      </c>
      <c r="S12" s="361">
        <f>'Rev&amp;Expense'!$D27*'Function Allocators'!O127</f>
        <v>0</v>
      </c>
      <c r="U12" s="361">
        <f>D12-'Rev&amp;Expense'!D27</f>
        <v>0</v>
      </c>
    </row>
    <row r="13" spans="1:21">
      <c r="A13" s="365">
        <f t="shared" si="0"/>
        <v>8</v>
      </c>
      <c r="B13" s="385">
        <v>857</v>
      </c>
      <c r="C13" s="379" t="s">
        <v>279</v>
      </c>
      <c r="D13" s="456">
        <f>SUM(E13:G13)</f>
        <v>0</v>
      </c>
      <c r="E13" s="456">
        <f>SUM(H13:K13)</f>
        <v>0</v>
      </c>
      <c r="F13" s="456">
        <f>SUM(L13:M13)</f>
        <v>0</v>
      </c>
      <c r="G13" s="456">
        <f>SUM(N13:S13)</f>
        <v>0</v>
      </c>
      <c r="H13" s="361">
        <f>'Rev&amp;Expense'!$D28*'Function Allocators'!D128</f>
        <v>0</v>
      </c>
      <c r="I13" s="361">
        <f>'Rev&amp;Expense'!$D28*'Function Allocators'!E128</f>
        <v>0</v>
      </c>
      <c r="J13" s="361">
        <f>'Rev&amp;Expense'!$D28*'Function Allocators'!F128</f>
        <v>0</v>
      </c>
      <c r="K13" s="361">
        <f>'Rev&amp;Expense'!$D28*'Function Allocators'!G128</f>
        <v>0</v>
      </c>
      <c r="L13" s="361">
        <f>'Rev&amp;Expense'!$D28*'Function Allocators'!H128</f>
        <v>0</v>
      </c>
      <c r="M13" s="361">
        <f>'Rev&amp;Expense'!$D28*'Function Allocators'!I128</f>
        <v>0</v>
      </c>
      <c r="N13" s="361">
        <f>'Rev&amp;Expense'!$D28*'Function Allocators'!J128</f>
        <v>0</v>
      </c>
      <c r="O13" s="361">
        <f>'Rev&amp;Expense'!$D28*'Function Allocators'!K128</f>
        <v>0</v>
      </c>
      <c r="P13" s="361">
        <f>'Rev&amp;Expense'!$D28*'Function Allocators'!L128</f>
        <v>0</v>
      </c>
      <c r="Q13" s="361">
        <f>'Rev&amp;Expense'!$D28*'Function Allocators'!M128</f>
        <v>0</v>
      </c>
      <c r="R13" s="361">
        <f>'Rev&amp;Expense'!$D28*'Function Allocators'!N128</f>
        <v>0</v>
      </c>
      <c r="S13" s="361">
        <f>'Rev&amp;Expense'!$D28*'Function Allocators'!O128</f>
        <v>0</v>
      </c>
      <c r="U13" s="361">
        <f>D13-'Rev&amp;Expense'!D28</f>
        <v>0</v>
      </c>
    </row>
    <row r="14" spans="1:21">
      <c r="A14" s="365">
        <f t="shared" si="0"/>
        <v>9</v>
      </c>
      <c r="B14" s="385">
        <v>864</v>
      </c>
      <c r="C14" s="379" t="s">
        <v>280</v>
      </c>
      <c r="D14" s="456">
        <f>SUM(E14:G14)</f>
        <v>0</v>
      </c>
      <c r="E14" s="456">
        <f>SUM(H14:K14)</f>
        <v>0</v>
      </c>
      <c r="F14" s="456">
        <f>SUM(L14:M14)</f>
        <v>0</v>
      </c>
      <c r="G14" s="456">
        <f>SUM(N14:S14)</f>
        <v>0</v>
      </c>
      <c r="H14" s="361">
        <f>'Rev&amp;Expense'!$D29*'Function Allocators'!D129</f>
        <v>0</v>
      </c>
      <c r="I14" s="361">
        <f>'Rev&amp;Expense'!$D29*'Function Allocators'!E129</f>
        <v>0</v>
      </c>
      <c r="J14" s="361">
        <f>'Rev&amp;Expense'!$D29*'Function Allocators'!F129</f>
        <v>0</v>
      </c>
      <c r="K14" s="361">
        <f>'Rev&amp;Expense'!$D29*'Function Allocators'!G129</f>
        <v>0</v>
      </c>
      <c r="L14" s="361">
        <f>'Rev&amp;Expense'!$D29*'Function Allocators'!H129</f>
        <v>0</v>
      </c>
      <c r="M14" s="361">
        <f>'Rev&amp;Expense'!$D29*'Function Allocators'!I129</f>
        <v>0</v>
      </c>
      <c r="N14" s="361">
        <f>'Rev&amp;Expense'!$D29*'Function Allocators'!J129</f>
        <v>0</v>
      </c>
      <c r="O14" s="361">
        <f>'Rev&amp;Expense'!$D29*'Function Allocators'!K129</f>
        <v>0</v>
      </c>
      <c r="P14" s="361">
        <f>'Rev&amp;Expense'!$D29*'Function Allocators'!L129</f>
        <v>0</v>
      </c>
      <c r="Q14" s="361">
        <f>'Rev&amp;Expense'!$D29*'Function Allocators'!M129</f>
        <v>0</v>
      </c>
      <c r="R14" s="361">
        <f>'Rev&amp;Expense'!$D29*'Function Allocators'!N129</f>
        <v>0</v>
      </c>
      <c r="S14" s="361">
        <f>'Rev&amp;Expense'!$D29*'Function Allocators'!O129</f>
        <v>0</v>
      </c>
      <c r="U14" s="361">
        <f>D14-'Rev&amp;Expense'!D29</f>
        <v>0</v>
      </c>
    </row>
    <row r="15" spans="1:21">
      <c r="A15" s="365">
        <f t="shared" si="0"/>
        <v>10</v>
      </c>
      <c r="B15" s="385">
        <v>870</v>
      </c>
      <c r="C15" s="379" t="s">
        <v>281</v>
      </c>
      <c r="D15" s="475">
        <f>SUM(E15:G15)</f>
        <v>197328.9940148133</v>
      </c>
      <c r="E15" s="475">
        <f>SUM(H15:K15)</f>
        <v>197328.9940148133</v>
      </c>
      <c r="F15" s="475">
        <f>SUM(L15:M15)</f>
        <v>0</v>
      </c>
      <c r="G15" s="475">
        <f>SUM(N15:S15)</f>
        <v>0</v>
      </c>
      <c r="H15" s="361">
        <f>'Rev&amp;Expense'!$D30*'Function Allocators'!D130</f>
        <v>0</v>
      </c>
      <c r="I15" s="361">
        <f>'Rev&amp;Expense'!$D30*'Function Allocators'!E130</f>
        <v>197328.9940148133</v>
      </c>
      <c r="J15" s="361">
        <f>'Rev&amp;Expense'!$D30*'Function Allocators'!F130</f>
        <v>0</v>
      </c>
      <c r="K15" s="361">
        <f>'Rev&amp;Expense'!$D30*'Function Allocators'!G130</f>
        <v>0</v>
      </c>
      <c r="L15" s="361">
        <f>'Rev&amp;Expense'!$D30*'Function Allocators'!H130</f>
        <v>0</v>
      </c>
      <c r="M15" s="361">
        <f>'Rev&amp;Expense'!$D30*'Function Allocators'!I130</f>
        <v>0</v>
      </c>
      <c r="N15" s="361">
        <f>'Rev&amp;Expense'!$D30*'Function Allocators'!J130</f>
        <v>0</v>
      </c>
      <c r="O15" s="361">
        <f>'Rev&amp;Expense'!$D30*'Function Allocators'!K130</f>
        <v>0</v>
      </c>
      <c r="P15" s="361">
        <f>'Rev&amp;Expense'!$D30*'Function Allocators'!L130</f>
        <v>0</v>
      </c>
      <c r="Q15" s="361">
        <f>'Rev&amp;Expense'!$D30*'Function Allocators'!M130</f>
        <v>0</v>
      </c>
      <c r="R15" s="361">
        <f>'Rev&amp;Expense'!$D30*'Function Allocators'!N130</f>
        <v>0</v>
      </c>
      <c r="S15" s="361">
        <f>'Rev&amp;Expense'!$D30*'Function Allocators'!O130</f>
        <v>0</v>
      </c>
      <c r="U15" s="361">
        <f>D15-'Rev&amp;Expense'!D30</f>
        <v>0</v>
      </c>
    </row>
    <row r="16" spans="1:21">
      <c r="A16" s="365">
        <f t="shared" si="0"/>
        <v>11</v>
      </c>
      <c r="B16" s="385"/>
      <c r="C16" s="377" t="s">
        <v>135</v>
      </c>
      <c r="D16" s="474">
        <f t="shared" ref="D16:S16" si="2">SUM(D12:D15)</f>
        <v>211536.3940148133</v>
      </c>
      <c r="E16" s="474">
        <f t="shared" si="2"/>
        <v>211536.3940148133</v>
      </c>
      <c r="F16" s="474">
        <f t="shared" si="2"/>
        <v>0</v>
      </c>
      <c r="G16" s="474">
        <f t="shared" si="2"/>
        <v>0</v>
      </c>
      <c r="H16" s="530">
        <f t="shared" si="2"/>
        <v>0</v>
      </c>
      <c r="I16" s="530">
        <f t="shared" si="2"/>
        <v>211536.3940148133</v>
      </c>
      <c r="J16" s="530">
        <f t="shared" si="2"/>
        <v>0</v>
      </c>
      <c r="K16" s="530">
        <f t="shared" si="2"/>
        <v>0</v>
      </c>
      <c r="L16" s="530">
        <f t="shared" si="2"/>
        <v>0</v>
      </c>
      <c r="M16" s="530">
        <f t="shared" si="2"/>
        <v>0</v>
      </c>
      <c r="N16" s="530">
        <f t="shared" si="2"/>
        <v>0</v>
      </c>
      <c r="O16" s="530">
        <f t="shared" si="2"/>
        <v>0</v>
      </c>
      <c r="P16" s="530">
        <f t="shared" si="2"/>
        <v>0</v>
      </c>
      <c r="Q16" s="530">
        <f t="shared" si="2"/>
        <v>0</v>
      </c>
      <c r="R16" s="530">
        <f t="shared" si="2"/>
        <v>0</v>
      </c>
      <c r="S16" s="530">
        <f t="shared" si="2"/>
        <v>0</v>
      </c>
      <c r="U16" s="361">
        <f>D16-'Rev&amp;Expense'!D31</f>
        <v>0</v>
      </c>
    </row>
    <row r="17" spans="1:21">
      <c r="A17" s="365">
        <f t="shared" si="0"/>
        <v>12</v>
      </c>
      <c r="B17" s="385"/>
      <c r="C17" s="377"/>
      <c r="D17" s="456"/>
      <c r="E17" s="456"/>
      <c r="F17" s="456"/>
      <c r="G17" s="456"/>
      <c r="H17" s="456"/>
      <c r="I17" s="456"/>
      <c r="J17" s="456"/>
      <c r="K17" s="456"/>
      <c r="L17" s="456"/>
      <c r="M17" s="456"/>
      <c r="N17" s="456"/>
      <c r="O17" s="456"/>
      <c r="P17" s="456"/>
      <c r="Q17" s="456"/>
      <c r="R17" s="456"/>
      <c r="S17" s="456"/>
    </row>
    <row r="18" spans="1:21">
      <c r="A18" s="365">
        <f t="shared" si="0"/>
        <v>13</v>
      </c>
      <c r="B18" s="463"/>
      <c r="C18" s="377" t="s">
        <v>138</v>
      </c>
      <c r="D18" s="456"/>
      <c r="E18" s="456"/>
      <c r="F18" s="456"/>
      <c r="G18" s="456"/>
      <c r="H18" s="456"/>
      <c r="I18" s="456"/>
      <c r="J18" s="456"/>
      <c r="K18" s="456"/>
      <c r="L18" s="456"/>
      <c r="M18" s="456"/>
      <c r="N18" s="456"/>
      <c r="O18" s="456"/>
      <c r="P18" s="456"/>
      <c r="Q18" s="456"/>
      <c r="R18" s="456"/>
      <c r="S18" s="456"/>
    </row>
    <row r="19" spans="1:21">
      <c r="A19" s="365">
        <f t="shared" si="0"/>
        <v>14</v>
      </c>
      <c r="B19" s="386">
        <v>871</v>
      </c>
      <c r="C19" s="379" t="s">
        <v>139</v>
      </c>
      <c r="D19" s="456">
        <f t="shared" ref="D19:D33" si="3">SUM(E19:G19)</f>
        <v>0</v>
      </c>
      <c r="E19" s="456">
        <f t="shared" ref="E19:E33" si="4">SUM(H19:K19)</f>
        <v>0</v>
      </c>
      <c r="F19" s="456">
        <f t="shared" ref="F19:F33" si="5">SUM(L19:M19)</f>
        <v>0</v>
      </c>
      <c r="G19" s="456">
        <f t="shared" ref="G19:G33" si="6">SUM(N19:S19)</f>
        <v>0</v>
      </c>
      <c r="H19" s="456">
        <f>'Rev&amp;Expense'!$D34*'Function Allocators'!D134</f>
        <v>0</v>
      </c>
      <c r="I19" s="456">
        <f>'Rev&amp;Expense'!$D34*'Function Allocators'!E134</f>
        <v>0</v>
      </c>
      <c r="J19" s="456">
        <f>'Rev&amp;Expense'!$D34*'Function Allocators'!F134</f>
        <v>0</v>
      </c>
      <c r="K19" s="456">
        <f>'Rev&amp;Expense'!$D34*'Function Allocators'!G134</f>
        <v>0</v>
      </c>
      <c r="L19" s="456">
        <f>'Rev&amp;Expense'!$D34*'Function Allocators'!H134</f>
        <v>0</v>
      </c>
      <c r="M19" s="456">
        <f>'Rev&amp;Expense'!$D34*'Function Allocators'!I134</f>
        <v>0</v>
      </c>
      <c r="N19" s="456">
        <f>'Rev&amp;Expense'!$D34*'Function Allocators'!J134</f>
        <v>0</v>
      </c>
      <c r="O19" s="456">
        <f>'Rev&amp;Expense'!$D34*'Function Allocators'!K134</f>
        <v>0</v>
      </c>
      <c r="P19" s="456">
        <f>'Rev&amp;Expense'!$D34*'Function Allocators'!L134</f>
        <v>0</v>
      </c>
      <c r="Q19" s="456">
        <f>'Rev&amp;Expense'!$D34*'Function Allocators'!M134</f>
        <v>0</v>
      </c>
      <c r="R19" s="456">
        <f>'Rev&amp;Expense'!$D34*'Function Allocators'!N134</f>
        <v>0</v>
      </c>
      <c r="S19" s="456">
        <f>'Rev&amp;Expense'!$D34*'Function Allocators'!O134</f>
        <v>0</v>
      </c>
      <c r="U19" s="456">
        <f>D19-'Rev&amp;Expense'!D34</f>
        <v>0</v>
      </c>
    </row>
    <row r="20" spans="1:21">
      <c r="A20" s="365">
        <f t="shared" si="0"/>
        <v>15</v>
      </c>
      <c r="B20" s="386">
        <v>874</v>
      </c>
      <c r="C20" s="379" t="s">
        <v>140</v>
      </c>
      <c r="D20" s="456">
        <f t="shared" si="3"/>
        <v>2262554.1196882832</v>
      </c>
      <c r="E20" s="456">
        <f t="shared" si="4"/>
        <v>630083.56660044321</v>
      </c>
      <c r="F20" s="456">
        <f t="shared" si="5"/>
        <v>0</v>
      </c>
      <c r="G20" s="456">
        <f t="shared" si="6"/>
        <v>1632470.5530878401</v>
      </c>
      <c r="H20" s="456">
        <f>'Rev&amp;Expense'!$D35*'Function Allocators'!D135</f>
        <v>0</v>
      </c>
      <c r="I20" s="456">
        <f>'Rev&amp;Expense'!$D35*'Function Allocators'!E135</f>
        <v>630083.56660044321</v>
      </c>
      <c r="J20" s="456">
        <f>'Rev&amp;Expense'!$D35*'Function Allocators'!F135</f>
        <v>0</v>
      </c>
      <c r="K20" s="456">
        <f>'Rev&amp;Expense'!$D35*'Function Allocators'!G135</f>
        <v>0</v>
      </c>
      <c r="L20" s="456">
        <f>'Rev&amp;Expense'!$D35*'Function Allocators'!H135</f>
        <v>0</v>
      </c>
      <c r="M20" s="456">
        <f>'Rev&amp;Expense'!$D35*'Function Allocators'!I135</f>
        <v>0</v>
      </c>
      <c r="N20" s="456">
        <f>'Rev&amp;Expense'!$D35*'Function Allocators'!J135</f>
        <v>1632470.5530878401</v>
      </c>
      <c r="O20" s="456">
        <f>'Rev&amp;Expense'!$D35*'Function Allocators'!K135</f>
        <v>0</v>
      </c>
      <c r="P20" s="456">
        <f>'Rev&amp;Expense'!$D35*'Function Allocators'!L135</f>
        <v>0</v>
      </c>
      <c r="Q20" s="456">
        <f>'Rev&amp;Expense'!$D35*'Function Allocators'!M135</f>
        <v>0</v>
      </c>
      <c r="R20" s="456">
        <f>'Rev&amp;Expense'!$D35*'Function Allocators'!N135</f>
        <v>0</v>
      </c>
      <c r="S20" s="456">
        <f>'Rev&amp;Expense'!$D35*'Function Allocators'!O135</f>
        <v>0</v>
      </c>
      <c r="U20" s="456">
        <f>D20-'Rev&amp;Expense'!D35</f>
        <v>0</v>
      </c>
    </row>
    <row r="21" spans="1:21">
      <c r="A21" s="365">
        <f t="shared" si="0"/>
        <v>16</v>
      </c>
      <c r="B21" s="386">
        <v>875</v>
      </c>
      <c r="C21" s="379" t="s">
        <v>142</v>
      </c>
      <c r="D21" s="456">
        <f t="shared" si="3"/>
        <v>418051.26895592135</v>
      </c>
      <c r="E21" s="456">
        <f t="shared" si="4"/>
        <v>418051.26895592135</v>
      </c>
      <c r="F21" s="456">
        <f t="shared" si="5"/>
        <v>0</v>
      </c>
      <c r="G21" s="456">
        <f t="shared" si="6"/>
        <v>0</v>
      </c>
      <c r="H21" s="456">
        <f>'Rev&amp;Expense'!$D36*'Function Allocators'!D136</f>
        <v>0</v>
      </c>
      <c r="I21" s="456">
        <f>'Rev&amp;Expense'!$D36*'Function Allocators'!E136</f>
        <v>0</v>
      </c>
      <c r="J21" s="456">
        <f>'Rev&amp;Expense'!$D36*'Function Allocators'!F136</f>
        <v>418051.26895592135</v>
      </c>
      <c r="K21" s="456">
        <f>'Rev&amp;Expense'!$D36*'Function Allocators'!G136</f>
        <v>0</v>
      </c>
      <c r="L21" s="456">
        <f>'Rev&amp;Expense'!$D36*'Function Allocators'!H136</f>
        <v>0</v>
      </c>
      <c r="M21" s="456">
        <f>'Rev&amp;Expense'!$D36*'Function Allocators'!I136</f>
        <v>0</v>
      </c>
      <c r="N21" s="456">
        <f>'Rev&amp;Expense'!$D36*'Function Allocators'!J136</f>
        <v>0</v>
      </c>
      <c r="O21" s="456">
        <f>'Rev&amp;Expense'!$D36*'Function Allocators'!K136</f>
        <v>0</v>
      </c>
      <c r="P21" s="456">
        <f>'Rev&amp;Expense'!$D36*'Function Allocators'!L136</f>
        <v>0</v>
      </c>
      <c r="Q21" s="456">
        <f>'Rev&amp;Expense'!$D36*'Function Allocators'!M136</f>
        <v>0</v>
      </c>
      <c r="R21" s="456">
        <f>'Rev&amp;Expense'!$D36*'Function Allocators'!N136</f>
        <v>0</v>
      </c>
      <c r="S21" s="456">
        <f>'Rev&amp;Expense'!$D36*'Function Allocators'!O136</f>
        <v>0</v>
      </c>
      <c r="U21" s="456">
        <f>D21-'Rev&amp;Expense'!D36</f>
        <v>0</v>
      </c>
    </row>
    <row r="22" spans="1:21">
      <c r="A22" s="365">
        <f t="shared" si="0"/>
        <v>17</v>
      </c>
      <c r="B22" s="386">
        <v>876</v>
      </c>
      <c r="C22" s="379" t="s">
        <v>144</v>
      </c>
      <c r="D22" s="456">
        <f t="shared" si="3"/>
        <v>124688.6584112718</v>
      </c>
      <c r="E22" s="456">
        <f t="shared" si="4"/>
        <v>124688.6584112718</v>
      </c>
      <c r="F22" s="456">
        <f t="shared" si="5"/>
        <v>0</v>
      </c>
      <c r="G22" s="456">
        <f t="shared" si="6"/>
        <v>0</v>
      </c>
      <c r="H22" s="456">
        <f>'Rev&amp;Expense'!$D37*'Function Allocators'!D137</f>
        <v>0</v>
      </c>
      <c r="I22" s="456">
        <f>'Rev&amp;Expense'!$D37*'Function Allocators'!E137</f>
        <v>0</v>
      </c>
      <c r="J22" s="456">
        <f>'Rev&amp;Expense'!$D37*'Function Allocators'!F137</f>
        <v>124688.6584112718</v>
      </c>
      <c r="K22" s="456">
        <f>'Rev&amp;Expense'!$D37*'Function Allocators'!G137</f>
        <v>0</v>
      </c>
      <c r="L22" s="456">
        <f>'Rev&amp;Expense'!$D37*'Function Allocators'!H137</f>
        <v>0</v>
      </c>
      <c r="M22" s="456">
        <f>'Rev&amp;Expense'!$D37*'Function Allocators'!I137</f>
        <v>0</v>
      </c>
      <c r="N22" s="456">
        <f>'Rev&amp;Expense'!$D37*'Function Allocators'!J137</f>
        <v>0</v>
      </c>
      <c r="O22" s="456">
        <f>'Rev&amp;Expense'!$D37*'Function Allocators'!K137</f>
        <v>0</v>
      </c>
      <c r="P22" s="456">
        <f>'Rev&amp;Expense'!$D37*'Function Allocators'!L137</f>
        <v>0</v>
      </c>
      <c r="Q22" s="456">
        <f>'Rev&amp;Expense'!$D37*'Function Allocators'!M137</f>
        <v>0</v>
      </c>
      <c r="R22" s="456">
        <f>'Rev&amp;Expense'!$D37*'Function Allocators'!N137</f>
        <v>0</v>
      </c>
      <c r="S22" s="456">
        <f>'Rev&amp;Expense'!$D37*'Function Allocators'!O137</f>
        <v>0</v>
      </c>
      <c r="U22" s="456">
        <f>D22-'Rev&amp;Expense'!D37</f>
        <v>0</v>
      </c>
    </row>
    <row r="23" spans="1:21">
      <c r="A23" s="365">
        <f t="shared" si="0"/>
        <v>18</v>
      </c>
      <c r="B23" s="386">
        <v>877</v>
      </c>
      <c r="C23" s="379" t="s">
        <v>145</v>
      </c>
      <c r="D23" s="456">
        <f t="shared" si="3"/>
        <v>77236.156370506971</v>
      </c>
      <c r="E23" s="456">
        <f t="shared" si="4"/>
        <v>77236.156370506971</v>
      </c>
      <c r="F23" s="456">
        <f t="shared" si="5"/>
        <v>0</v>
      </c>
      <c r="G23" s="456">
        <f t="shared" si="6"/>
        <v>0</v>
      </c>
      <c r="H23" s="456">
        <f>'Rev&amp;Expense'!$D38*'Function Allocators'!D138</f>
        <v>0</v>
      </c>
      <c r="I23" s="456">
        <f>'Rev&amp;Expense'!$D38*'Function Allocators'!E138</f>
        <v>0</v>
      </c>
      <c r="J23" s="456">
        <f>'Rev&amp;Expense'!$D38*'Function Allocators'!F138</f>
        <v>77236.156370506971</v>
      </c>
      <c r="K23" s="456">
        <f>'Rev&amp;Expense'!$D38*'Function Allocators'!G138</f>
        <v>0</v>
      </c>
      <c r="L23" s="456">
        <f>'Rev&amp;Expense'!$D38*'Function Allocators'!H138</f>
        <v>0</v>
      </c>
      <c r="M23" s="456">
        <f>'Rev&amp;Expense'!$D38*'Function Allocators'!I138</f>
        <v>0</v>
      </c>
      <c r="N23" s="456">
        <f>'Rev&amp;Expense'!$D38*'Function Allocators'!J138</f>
        <v>0</v>
      </c>
      <c r="O23" s="456">
        <f>'Rev&amp;Expense'!$D38*'Function Allocators'!K138</f>
        <v>0</v>
      </c>
      <c r="P23" s="456">
        <f>'Rev&amp;Expense'!$D38*'Function Allocators'!L138</f>
        <v>0</v>
      </c>
      <c r="Q23" s="456">
        <f>'Rev&amp;Expense'!$D38*'Function Allocators'!M138</f>
        <v>0</v>
      </c>
      <c r="R23" s="456">
        <f>'Rev&amp;Expense'!$D38*'Function Allocators'!N138</f>
        <v>0</v>
      </c>
      <c r="S23" s="456">
        <f>'Rev&amp;Expense'!$D38*'Function Allocators'!O138</f>
        <v>0</v>
      </c>
      <c r="U23" s="456">
        <f>D23-'Rev&amp;Expense'!D38</f>
        <v>0</v>
      </c>
    </row>
    <row r="24" spans="1:21">
      <c r="A24" s="365">
        <f t="shared" si="0"/>
        <v>19</v>
      </c>
      <c r="B24" s="386">
        <v>878</v>
      </c>
      <c r="C24" s="379" t="s">
        <v>146</v>
      </c>
      <c r="D24" s="456">
        <f t="shared" si="3"/>
        <v>1473872.5477931553</v>
      </c>
      <c r="E24" s="456">
        <f t="shared" si="4"/>
        <v>0</v>
      </c>
      <c r="F24" s="456">
        <f t="shared" si="5"/>
        <v>0</v>
      </c>
      <c r="G24" s="456">
        <f t="shared" si="6"/>
        <v>1473872.5477931553</v>
      </c>
      <c r="H24" s="456">
        <f>'Rev&amp;Expense'!$D39*'Function Allocators'!D139</f>
        <v>0</v>
      </c>
      <c r="I24" s="456">
        <f>'Rev&amp;Expense'!$D39*'Function Allocators'!E139</f>
        <v>0</v>
      </c>
      <c r="J24" s="456">
        <f>'Rev&amp;Expense'!$D39*'Function Allocators'!F139</f>
        <v>0</v>
      </c>
      <c r="K24" s="456">
        <f>'Rev&amp;Expense'!$D39*'Function Allocators'!G139</f>
        <v>0</v>
      </c>
      <c r="L24" s="456">
        <f>'Rev&amp;Expense'!$D39*'Function Allocators'!H139</f>
        <v>0</v>
      </c>
      <c r="M24" s="456">
        <f>'Rev&amp;Expense'!$D39*'Function Allocators'!I139</f>
        <v>0</v>
      </c>
      <c r="N24" s="456">
        <f>'Rev&amp;Expense'!$D39*'Function Allocators'!J139</f>
        <v>0</v>
      </c>
      <c r="O24" s="456">
        <f>'Rev&amp;Expense'!$D39*'Function Allocators'!K139</f>
        <v>1279939.3981438812</v>
      </c>
      <c r="P24" s="456">
        <f>'Rev&amp;Expense'!$D39*'Function Allocators'!L139</f>
        <v>193933.14964927398</v>
      </c>
      <c r="Q24" s="456">
        <f>'Rev&amp;Expense'!$D39*'Function Allocators'!M139</f>
        <v>0</v>
      </c>
      <c r="R24" s="456">
        <f>'Rev&amp;Expense'!$D39*'Function Allocators'!N139</f>
        <v>0</v>
      </c>
      <c r="S24" s="456">
        <f>'Rev&amp;Expense'!$D39*'Function Allocators'!O139</f>
        <v>0</v>
      </c>
      <c r="U24" s="456">
        <f>D24-'Rev&amp;Expense'!D39</f>
        <v>0</v>
      </c>
    </row>
    <row r="25" spans="1:21">
      <c r="A25" s="365">
        <f t="shared" si="0"/>
        <v>20</v>
      </c>
      <c r="B25" s="386">
        <v>879</v>
      </c>
      <c r="C25" s="379" t="s">
        <v>148</v>
      </c>
      <c r="D25" s="456">
        <f t="shared" si="3"/>
        <v>1370408.0245042411</v>
      </c>
      <c r="E25" s="456">
        <f t="shared" si="4"/>
        <v>0</v>
      </c>
      <c r="F25" s="456">
        <f t="shared" si="5"/>
        <v>0</v>
      </c>
      <c r="G25" s="456">
        <f t="shared" si="6"/>
        <v>1370408.0245042411</v>
      </c>
      <c r="H25" s="456">
        <f>'Rev&amp;Expense'!$D40*'Function Allocators'!D140</f>
        <v>0</v>
      </c>
      <c r="I25" s="456">
        <f>'Rev&amp;Expense'!$D40*'Function Allocators'!E140</f>
        <v>0</v>
      </c>
      <c r="J25" s="456">
        <f>'Rev&amp;Expense'!$D40*'Function Allocators'!F140</f>
        <v>0</v>
      </c>
      <c r="K25" s="456">
        <f>'Rev&amp;Expense'!$D40*'Function Allocators'!G140</f>
        <v>0</v>
      </c>
      <c r="L25" s="456">
        <f>'Rev&amp;Expense'!$D40*'Function Allocators'!H140</f>
        <v>0</v>
      </c>
      <c r="M25" s="456">
        <f>'Rev&amp;Expense'!$D40*'Function Allocators'!I140</f>
        <v>0</v>
      </c>
      <c r="N25" s="456">
        <f>'Rev&amp;Expense'!$D40*'Function Allocators'!J140</f>
        <v>0</v>
      </c>
      <c r="O25" s="456">
        <f>'Rev&amp;Expense'!$D40*'Function Allocators'!K140</f>
        <v>1190088.8070151282</v>
      </c>
      <c r="P25" s="456">
        <f>'Rev&amp;Expense'!$D40*'Function Allocators'!L140</f>
        <v>180319.2174891129</v>
      </c>
      <c r="Q25" s="456">
        <f>'Rev&amp;Expense'!$D40*'Function Allocators'!M140</f>
        <v>0</v>
      </c>
      <c r="R25" s="456">
        <f>'Rev&amp;Expense'!$D40*'Function Allocators'!N140</f>
        <v>0</v>
      </c>
      <c r="S25" s="456">
        <f>'Rev&amp;Expense'!$D40*'Function Allocators'!O140</f>
        <v>0</v>
      </c>
      <c r="U25" s="456">
        <f>D25-'Rev&amp;Expense'!D40</f>
        <v>0</v>
      </c>
    </row>
    <row r="26" spans="1:21">
      <c r="A26" s="365">
        <f t="shared" si="0"/>
        <v>21</v>
      </c>
      <c r="B26" s="386">
        <v>880</v>
      </c>
      <c r="C26" s="379" t="s">
        <v>149</v>
      </c>
      <c r="D26" s="456">
        <f t="shared" si="3"/>
        <v>2326551.7266483973</v>
      </c>
      <c r="E26" s="456">
        <f t="shared" si="4"/>
        <v>597704.24475273571</v>
      </c>
      <c r="F26" s="456">
        <f t="shared" si="5"/>
        <v>0</v>
      </c>
      <c r="G26" s="456">
        <f t="shared" si="6"/>
        <v>1728847.4818956614</v>
      </c>
      <c r="H26" s="456">
        <f>'Rev&amp;Expense'!$D41*'Function Allocators'!D141</f>
        <v>0</v>
      </c>
      <c r="I26" s="456">
        <f>'Rev&amp;Expense'!$D41*'Function Allocators'!E141</f>
        <v>540921.24579284026</v>
      </c>
      <c r="J26" s="456">
        <f>'Rev&amp;Expense'!$D41*'Function Allocators'!F141</f>
        <v>44472.75885529138</v>
      </c>
      <c r="K26" s="456">
        <f>'Rev&amp;Expense'!$D41*'Function Allocators'!G141</f>
        <v>12310.24010460406</v>
      </c>
      <c r="L26" s="456">
        <f>'Rev&amp;Expense'!$D41*'Function Allocators'!H141</f>
        <v>0</v>
      </c>
      <c r="M26" s="456">
        <f>'Rev&amp;Expense'!$D41*'Function Allocators'!I141</f>
        <v>0</v>
      </c>
      <c r="N26" s="456">
        <f>'Rev&amp;Expense'!$D41*'Function Allocators'!J141</f>
        <v>1401461.7300063071</v>
      </c>
      <c r="O26" s="456">
        <f>'Rev&amp;Expense'!$D41*'Function Allocators'!K141</f>
        <v>269837.24755878217</v>
      </c>
      <c r="P26" s="456">
        <f>'Rev&amp;Expense'!$D41*'Function Allocators'!L141</f>
        <v>57548.504330572134</v>
      </c>
      <c r="Q26" s="456">
        <f>'Rev&amp;Expense'!$D41*'Function Allocators'!M141</f>
        <v>0</v>
      </c>
      <c r="R26" s="456">
        <f>'Rev&amp;Expense'!$D41*'Function Allocators'!N141</f>
        <v>0</v>
      </c>
      <c r="S26" s="456">
        <f>'Rev&amp;Expense'!$D41*'Function Allocators'!O141</f>
        <v>0</v>
      </c>
      <c r="U26" s="456">
        <f>D26-'Rev&amp;Expense'!D41</f>
        <v>0</v>
      </c>
    </row>
    <row r="27" spans="1:21">
      <c r="A27" s="365">
        <f t="shared" si="0"/>
        <v>22</v>
      </c>
      <c r="B27" s="385">
        <v>881</v>
      </c>
      <c r="C27" s="379" t="s">
        <v>151</v>
      </c>
      <c r="D27" s="456">
        <f t="shared" si="3"/>
        <v>21291.200000000001</v>
      </c>
      <c r="E27" s="456">
        <f t="shared" si="4"/>
        <v>21291.200000000001</v>
      </c>
      <c r="F27" s="456">
        <f t="shared" si="5"/>
        <v>0</v>
      </c>
      <c r="G27" s="456">
        <f t="shared" si="6"/>
        <v>0</v>
      </c>
      <c r="H27" s="456">
        <f>'Rev&amp;Expense'!$D42*'Function Allocators'!D142</f>
        <v>0</v>
      </c>
      <c r="I27" s="456">
        <f>'Rev&amp;Expense'!$D42*'Function Allocators'!E142</f>
        <v>19798.28175039441</v>
      </c>
      <c r="J27" s="456">
        <f>'Rev&amp;Expense'!$D42*'Function Allocators'!F142</f>
        <v>1492.9182496055896</v>
      </c>
      <c r="K27" s="456">
        <f>'Rev&amp;Expense'!$D42*'Function Allocators'!G142</f>
        <v>0</v>
      </c>
      <c r="L27" s="456">
        <f>'Rev&amp;Expense'!$D42*'Function Allocators'!H142</f>
        <v>0</v>
      </c>
      <c r="M27" s="456">
        <f>'Rev&amp;Expense'!$D42*'Function Allocators'!I142</f>
        <v>0</v>
      </c>
      <c r="N27" s="456">
        <f>'Rev&amp;Expense'!$D42*'Function Allocators'!J142</f>
        <v>0</v>
      </c>
      <c r="O27" s="456">
        <f>'Rev&amp;Expense'!$D42*'Function Allocators'!K142</f>
        <v>0</v>
      </c>
      <c r="P27" s="456">
        <f>'Rev&amp;Expense'!$D42*'Function Allocators'!L142</f>
        <v>0</v>
      </c>
      <c r="Q27" s="456">
        <f>'Rev&amp;Expense'!$D42*'Function Allocators'!M142</f>
        <v>0</v>
      </c>
      <c r="R27" s="456">
        <f>'Rev&amp;Expense'!$D42*'Function Allocators'!N142</f>
        <v>0</v>
      </c>
      <c r="S27" s="456">
        <f>'Rev&amp;Expense'!$D42*'Function Allocators'!O142</f>
        <v>0</v>
      </c>
      <c r="U27" s="456">
        <f>D27-'Rev&amp;Expense'!D42</f>
        <v>0</v>
      </c>
    </row>
    <row r="28" spans="1:21">
      <c r="A28" s="365">
        <f t="shared" si="0"/>
        <v>23</v>
      </c>
      <c r="B28" s="385">
        <v>885</v>
      </c>
      <c r="C28" s="379" t="s">
        <v>152</v>
      </c>
      <c r="D28" s="456">
        <f t="shared" si="3"/>
        <v>205178.19359469268</v>
      </c>
      <c r="E28" s="456">
        <f t="shared" si="4"/>
        <v>38658.869564097178</v>
      </c>
      <c r="F28" s="456">
        <f t="shared" si="5"/>
        <v>0</v>
      </c>
      <c r="G28" s="456">
        <f t="shared" si="6"/>
        <v>166519.32403059551</v>
      </c>
      <c r="H28" s="456">
        <f>'Rev&amp;Expense'!$D43*'Function Allocators'!D143</f>
        <v>0</v>
      </c>
      <c r="I28" s="456">
        <f>'Rev&amp;Expense'!$D43*'Function Allocators'!E143</f>
        <v>27177.80614925977</v>
      </c>
      <c r="J28" s="456">
        <f>'Rev&amp;Expense'!$D43*'Function Allocators'!F143</f>
        <v>11125.79414711328</v>
      </c>
      <c r="K28" s="456">
        <f>'Rev&amp;Expense'!$D43*'Function Allocators'!G143</f>
        <v>355.26926772412554</v>
      </c>
      <c r="L28" s="456">
        <f>'Rev&amp;Expense'!$D43*'Function Allocators'!H143</f>
        <v>0</v>
      </c>
      <c r="M28" s="456">
        <f>'Rev&amp;Expense'!$D43*'Function Allocators'!I143</f>
        <v>0</v>
      </c>
      <c r="N28" s="456">
        <f>'Rev&amp;Expense'!$D43*'Function Allocators'!J143</f>
        <v>69681.601815267044</v>
      </c>
      <c r="O28" s="456">
        <f>'Rev&amp;Expense'!$D43*'Function Allocators'!K143</f>
        <v>83978.584706525755</v>
      </c>
      <c r="P28" s="456">
        <f>'Rev&amp;Expense'!$D43*'Function Allocators'!L143</f>
        <v>12859.137508802723</v>
      </c>
      <c r="Q28" s="456">
        <f>'Rev&amp;Expense'!$D43*'Function Allocators'!M143</f>
        <v>0</v>
      </c>
      <c r="R28" s="456">
        <f>'Rev&amp;Expense'!$D43*'Function Allocators'!N143</f>
        <v>0</v>
      </c>
      <c r="S28" s="456">
        <f>'Rev&amp;Expense'!$D43*'Function Allocators'!O143</f>
        <v>0</v>
      </c>
      <c r="U28" s="456">
        <f>D28-'Rev&amp;Expense'!D43</f>
        <v>0</v>
      </c>
    </row>
    <row r="29" spans="1:21">
      <c r="A29" s="365">
        <f t="shared" si="0"/>
        <v>24</v>
      </c>
      <c r="B29" s="385">
        <v>887</v>
      </c>
      <c r="C29" s="379" t="s">
        <v>154</v>
      </c>
      <c r="D29" s="456">
        <f t="shared" si="3"/>
        <v>586975.12093035947</v>
      </c>
      <c r="E29" s="456">
        <f t="shared" si="4"/>
        <v>284602.22352169425</v>
      </c>
      <c r="F29" s="456">
        <f t="shared" si="5"/>
        <v>0</v>
      </c>
      <c r="G29" s="456">
        <f t="shared" si="6"/>
        <v>302372.89740866522</v>
      </c>
      <c r="H29" s="456">
        <f>'Rev&amp;Expense'!$D44*'Function Allocators'!D144</f>
        <v>0</v>
      </c>
      <c r="I29" s="456">
        <f>'Rev&amp;Expense'!$D44*'Function Allocators'!E144</f>
        <v>284602.22352169425</v>
      </c>
      <c r="J29" s="456">
        <f>'Rev&amp;Expense'!$D44*'Function Allocators'!F144</f>
        <v>0</v>
      </c>
      <c r="K29" s="456">
        <f>'Rev&amp;Expense'!$D44*'Function Allocators'!G144</f>
        <v>0</v>
      </c>
      <c r="L29" s="456">
        <f>'Rev&amp;Expense'!$D44*'Function Allocators'!H144</f>
        <v>0</v>
      </c>
      <c r="M29" s="456">
        <f>'Rev&amp;Expense'!$D44*'Function Allocators'!I144</f>
        <v>0</v>
      </c>
      <c r="N29" s="456">
        <f>'Rev&amp;Expense'!$D44*'Function Allocators'!J144</f>
        <v>302372.89740866522</v>
      </c>
      <c r="O29" s="456">
        <f>'Rev&amp;Expense'!$D44*'Function Allocators'!K144</f>
        <v>0</v>
      </c>
      <c r="P29" s="456">
        <f>'Rev&amp;Expense'!$D44*'Function Allocators'!L144</f>
        <v>0</v>
      </c>
      <c r="Q29" s="456">
        <f>'Rev&amp;Expense'!$D44*'Function Allocators'!M144</f>
        <v>0</v>
      </c>
      <c r="R29" s="456">
        <f>'Rev&amp;Expense'!$D44*'Function Allocators'!N144</f>
        <v>0</v>
      </c>
      <c r="S29" s="456">
        <f>'Rev&amp;Expense'!$D44*'Function Allocators'!O144</f>
        <v>0</v>
      </c>
      <c r="U29" s="456">
        <f>D29-'Rev&amp;Expense'!D44</f>
        <v>0</v>
      </c>
    </row>
    <row r="30" spans="1:21">
      <c r="A30" s="365">
        <f t="shared" si="0"/>
        <v>25</v>
      </c>
      <c r="B30" s="385">
        <v>889</v>
      </c>
      <c r="C30" s="379" t="s">
        <v>156</v>
      </c>
      <c r="D30" s="456">
        <f t="shared" si="3"/>
        <v>7399.7605250777333</v>
      </c>
      <c r="E30" s="456">
        <f t="shared" si="4"/>
        <v>7399.7605250777333</v>
      </c>
      <c r="F30" s="456">
        <f t="shared" si="5"/>
        <v>0</v>
      </c>
      <c r="G30" s="456">
        <f t="shared" si="6"/>
        <v>0</v>
      </c>
      <c r="H30" s="456">
        <f>'Rev&amp;Expense'!$D45*'Function Allocators'!D145</f>
        <v>0</v>
      </c>
      <c r="I30" s="456">
        <f>'Rev&amp;Expense'!$D45*'Function Allocators'!E145</f>
        <v>0</v>
      </c>
      <c r="J30" s="456">
        <f>'Rev&amp;Expense'!$D45*'Function Allocators'!F145</f>
        <v>7399.7605250777333</v>
      </c>
      <c r="K30" s="456">
        <f>'Rev&amp;Expense'!$D45*'Function Allocators'!G145</f>
        <v>0</v>
      </c>
      <c r="L30" s="456">
        <f>'Rev&amp;Expense'!$D45*'Function Allocators'!H145</f>
        <v>0</v>
      </c>
      <c r="M30" s="456">
        <f>'Rev&amp;Expense'!$D45*'Function Allocators'!I145</f>
        <v>0</v>
      </c>
      <c r="N30" s="456">
        <f>'Rev&amp;Expense'!$D45*'Function Allocators'!J145</f>
        <v>0</v>
      </c>
      <c r="O30" s="456">
        <f>'Rev&amp;Expense'!$D45*'Function Allocators'!K145</f>
        <v>0</v>
      </c>
      <c r="P30" s="456">
        <f>'Rev&amp;Expense'!$D45*'Function Allocators'!L145</f>
        <v>0</v>
      </c>
      <c r="Q30" s="456">
        <f>'Rev&amp;Expense'!$D45*'Function Allocators'!M145</f>
        <v>0</v>
      </c>
      <c r="R30" s="456">
        <f>'Rev&amp;Expense'!$D45*'Function Allocators'!N145</f>
        <v>0</v>
      </c>
      <c r="S30" s="456">
        <f>'Rev&amp;Expense'!$D45*'Function Allocators'!O145</f>
        <v>0</v>
      </c>
      <c r="U30" s="456">
        <f>D30-'Rev&amp;Expense'!D45</f>
        <v>0</v>
      </c>
    </row>
    <row r="31" spans="1:21">
      <c r="A31" s="365">
        <f t="shared" si="0"/>
        <v>26</v>
      </c>
      <c r="B31" s="385">
        <v>892</v>
      </c>
      <c r="C31" s="379" t="s">
        <v>157</v>
      </c>
      <c r="D31" s="456">
        <f t="shared" si="3"/>
        <v>312004.64396970731</v>
      </c>
      <c r="E31" s="456">
        <f t="shared" si="4"/>
        <v>0</v>
      </c>
      <c r="F31" s="456">
        <f t="shared" si="5"/>
        <v>0</v>
      </c>
      <c r="G31" s="456">
        <f t="shared" si="6"/>
        <v>312004.64396970731</v>
      </c>
      <c r="H31" s="456">
        <f>'Rev&amp;Expense'!$D46*'Function Allocators'!D146</f>
        <v>0</v>
      </c>
      <c r="I31" s="456">
        <f>'Rev&amp;Expense'!$D46*'Function Allocators'!E146</f>
        <v>0</v>
      </c>
      <c r="J31" s="456">
        <f>'Rev&amp;Expense'!$D46*'Function Allocators'!F146</f>
        <v>0</v>
      </c>
      <c r="K31" s="456">
        <f>'Rev&amp;Expense'!$D46*'Function Allocators'!G146</f>
        <v>0</v>
      </c>
      <c r="L31" s="456">
        <f>'Rev&amp;Expense'!$D46*'Function Allocators'!H146</f>
        <v>0</v>
      </c>
      <c r="M31" s="456">
        <f>'Rev&amp;Expense'!$D46*'Function Allocators'!I146</f>
        <v>0</v>
      </c>
      <c r="N31" s="456">
        <f>'Rev&amp;Expense'!$D46*'Function Allocators'!J146</f>
        <v>312004.64396970731</v>
      </c>
      <c r="O31" s="456">
        <f>'Rev&amp;Expense'!$D46*'Function Allocators'!K146</f>
        <v>0</v>
      </c>
      <c r="P31" s="456">
        <f>'Rev&amp;Expense'!$D46*'Function Allocators'!L146</f>
        <v>0</v>
      </c>
      <c r="Q31" s="456">
        <f>'Rev&amp;Expense'!$D46*'Function Allocators'!M146</f>
        <v>0</v>
      </c>
      <c r="R31" s="456">
        <f>'Rev&amp;Expense'!$D46*'Function Allocators'!N146</f>
        <v>0</v>
      </c>
      <c r="S31" s="456">
        <f>'Rev&amp;Expense'!$D46*'Function Allocators'!O146</f>
        <v>0</v>
      </c>
      <c r="U31" s="456">
        <f>D31-'Rev&amp;Expense'!D46</f>
        <v>0</v>
      </c>
    </row>
    <row r="32" spans="1:21">
      <c r="A32" s="365">
        <f t="shared" si="0"/>
        <v>27</v>
      </c>
      <c r="B32" s="385">
        <v>893</v>
      </c>
      <c r="C32" s="379" t="s">
        <v>158</v>
      </c>
      <c r="D32" s="456">
        <f t="shared" si="3"/>
        <v>297423.48644793988</v>
      </c>
      <c r="E32" s="456">
        <f t="shared" si="4"/>
        <v>0</v>
      </c>
      <c r="F32" s="456">
        <f t="shared" si="5"/>
        <v>0</v>
      </c>
      <c r="G32" s="456">
        <f t="shared" si="6"/>
        <v>297423.48644793988</v>
      </c>
      <c r="H32" s="456">
        <f>'Rev&amp;Expense'!$D47*'Function Allocators'!D147</f>
        <v>0</v>
      </c>
      <c r="I32" s="456">
        <f>'Rev&amp;Expense'!$D47*'Function Allocators'!E147</f>
        <v>0</v>
      </c>
      <c r="J32" s="456">
        <f>'Rev&amp;Expense'!$D47*'Function Allocators'!F147</f>
        <v>0</v>
      </c>
      <c r="K32" s="456">
        <f>'Rev&amp;Expense'!$D47*'Function Allocators'!G147</f>
        <v>0</v>
      </c>
      <c r="L32" s="456">
        <f>'Rev&amp;Expense'!$D47*'Function Allocators'!H147</f>
        <v>0</v>
      </c>
      <c r="M32" s="456">
        <f>'Rev&amp;Expense'!$D47*'Function Allocators'!I147</f>
        <v>0</v>
      </c>
      <c r="N32" s="456">
        <f>'Rev&amp;Expense'!$D47*'Function Allocators'!J147</f>
        <v>0</v>
      </c>
      <c r="O32" s="456">
        <f>'Rev&amp;Expense'!$D47*'Function Allocators'!K147</f>
        <v>258288.30234203982</v>
      </c>
      <c r="P32" s="456">
        <f>'Rev&amp;Expense'!$D47*'Function Allocators'!L147</f>
        <v>39135.18410590008</v>
      </c>
      <c r="Q32" s="456">
        <f>'Rev&amp;Expense'!$D47*'Function Allocators'!M147</f>
        <v>0</v>
      </c>
      <c r="R32" s="456">
        <f>'Rev&amp;Expense'!$D47*'Function Allocators'!N147</f>
        <v>0</v>
      </c>
      <c r="S32" s="456">
        <f>'Rev&amp;Expense'!$D47*'Function Allocators'!O147</f>
        <v>0</v>
      </c>
      <c r="U32" s="456">
        <f>D32-'Rev&amp;Expense'!D47</f>
        <v>0</v>
      </c>
    </row>
    <row r="33" spans="1:21">
      <c r="A33" s="365">
        <f t="shared" si="0"/>
        <v>28</v>
      </c>
      <c r="B33" s="385">
        <v>894</v>
      </c>
      <c r="C33" s="379" t="s">
        <v>159</v>
      </c>
      <c r="D33" s="456">
        <f t="shared" si="3"/>
        <v>85273.885087578543</v>
      </c>
      <c r="E33" s="456">
        <f t="shared" si="4"/>
        <v>85273.885087578543</v>
      </c>
      <c r="F33" s="456">
        <f t="shared" si="5"/>
        <v>0</v>
      </c>
      <c r="G33" s="456">
        <f t="shared" si="6"/>
        <v>0</v>
      </c>
      <c r="H33" s="456">
        <f>'Rev&amp;Expense'!$D48*'Function Allocators'!D148</f>
        <v>0</v>
      </c>
      <c r="I33" s="456">
        <f>'Rev&amp;Expense'!$D48*'Function Allocators'!E148</f>
        <v>0</v>
      </c>
      <c r="J33" s="456">
        <f>'Rev&amp;Expense'!$D48*'Function Allocators'!F148</f>
        <v>0</v>
      </c>
      <c r="K33" s="456">
        <f>'Rev&amp;Expense'!$D48*'Function Allocators'!G148</f>
        <v>85273.885087578543</v>
      </c>
      <c r="L33" s="456">
        <f>'Rev&amp;Expense'!$D48*'Function Allocators'!H148</f>
        <v>0</v>
      </c>
      <c r="M33" s="456">
        <f>'Rev&amp;Expense'!$D48*'Function Allocators'!I148</f>
        <v>0</v>
      </c>
      <c r="N33" s="456">
        <f>'Rev&amp;Expense'!$D48*'Function Allocators'!J148</f>
        <v>0</v>
      </c>
      <c r="O33" s="456">
        <f>'Rev&amp;Expense'!$D48*'Function Allocators'!K148</f>
        <v>0</v>
      </c>
      <c r="P33" s="456">
        <f>'Rev&amp;Expense'!$D48*'Function Allocators'!L148</f>
        <v>0</v>
      </c>
      <c r="Q33" s="456">
        <f>'Rev&amp;Expense'!$D48*'Function Allocators'!M148</f>
        <v>0</v>
      </c>
      <c r="R33" s="456">
        <f>'Rev&amp;Expense'!$D48*'Function Allocators'!N148</f>
        <v>0</v>
      </c>
      <c r="S33" s="456">
        <f>'Rev&amp;Expense'!$D48*'Function Allocators'!O148</f>
        <v>0</v>
      </c>
      <c r="U33" s="456">
        <f>D33-'Rev&amp;Expense'!D48</f>
        <v>0</v>
      </c>
    </row>
    <row r="34" spans="1:21">
      <c r="A34" s="365">
        <f t="shared" si="0"/>
        <v>29</v>
      </c>
      <c r="B34" s="385"/>
      <c r="C34" s="377" t="s">
        <v>282</v>
      </c>
      <c r="D34" s="530">
        <f t="shared" ref="D34:S34" si="7">SUM(D19:D33)</f>
        <v>9568908.7929271311</v>
      </c>
      <c r="E34" s="530">
        <f t="shared" si="7"/>
        <v>2284989.8337893267</v>
      </c>
      <c r="F34" s="530">
        <f t="shared" si="7"/>
        <v>0</v>
      </c>
      <c r="G34" s="530">
        <f t="shared" si="7"/>
        <v>7283918.9591378048</v>
      </c>
      <c r="H34" s="530">
        <f t="shared" si="7"/>
        <v>0</v>
      </c>
      <c r="I34" s="530">
        <f t="shared" si="7"/>
        <v>1502583.123814632</v>
      </c>
      <c r="J34" s="530">
        <f t="shared" si="7"/>
        <v>684467.31551478815</v>
      </c>
      <c r="K34" s="530">
        <f t="shared" si="7"/>
        <v>97939.394459906733</v>
      </c>
      <c r="L34" s="530">
        <f t="shared" si="7"/>
        <v>0</v>
      </c>
      <c r="M34" s="530">
        <f t="shared" si="7"/>
        <v>0</v>
      </c>
      <c r="N34" s="530">
        <f t="shared" si="7"/>
        <v>3717991.4262877866</v>
      </c>
      <c r="O34" s="530">
        <f t="shared" si="7"/>
        <v>3082132.3397663576</v>
      </c>
      <c r="P34" s="530">
        <f t="shared" si="7"/>
        <v>483795.19308366178</v>
      </c>
      <c r="Q34" s="530">
        <f t="shared" si="7"/>
        <v>0</v>
      </c>
      <c r="R34" s="530">
        <f t="shared" si="7"/>
        <v>0</v>
      </c>
      <c r="S34" s="530">
        <f t="shared" si="7"/>
        <v>0</v>
      </c>
      <c r="U34" s="456">
        <f>D34-'Rev&amp;Expense'!D49</f>
        <v>0</v>
      </c>
    </row>
    <row r="35" spans="1:21">
      <c r="A35" s="365">
        <f t="shared" si="0"/>
        <v>30</v>
      </c>
      <c r="B35" s="452"/>
      <c r="C35" s="451"/>
      <c r="D35" s="461"/>
      <c r="E35" s="456"/>
      <c r="F35" s="456"/>
      <c r="G35" s="456"/>
      <c r="H35" s="456"/>
      <c r="I35" s="456"/>
      <c r="J35" s="456"/>
      <c r="K35" s="456"/>
      <c r="L35" s="456"/>
      <c r="M35" s="456"/>
      <c r="N35" s="456"/>
      <c r="O35" s="456"/>
      <c r="P35" s="456"/>
      <c r="Q35" s="456"/>
      <c r="R35" s="456"/>
      <c r="S35" s="456"/>
    </row>
    <row r="36" spans="1:21">
      <c r="A36" s="365">
        <f t="shared" si="0"/>
        <v>31</v>
      </c>
      <c r="B36" s="385"/>
      <c r="C36" s="377" t="s">
        <v>161</v>
      </c>
      <c r="D36" s="462"/>
      <c r="E36" s="456"/>
      <c r="F36" s="456"/>
      <c r="G36" s="456"/>
      <c r="H36" s="456"/>
      <c r="I36" s="456"/>
      <c r="J36" s="456"/>
      <c r="K36" s="456"/>
      <c r="L36" s="456"/>
      <c r="M36" s="456"/>
      <c r="N36" s="456"/>
      <c r="O36" s="456"/>
      <c r="P36" s="456"/>
      <c r="Q36" s="456"/>
      <c r="R36" s="456"/>
      <c r="S36" s="456"/>
    </row>
    <row r="37" spans="1:21">
      <c r="A37" s="365">
        <f t="shared" si="0"/>
        <v>32</v>
      </c>
      <c r="B37" s="385">
        <v>901</v>
      </c>
      <c r="C37" s="379" t="s">
        <v>162</v>
      </c>
      <c r="D37" s="529">
        <f t="shared" ref="D37:D45" si="8">SUM(E37:G37)</f>
        <v>90341.519021516928</v>
      </c>
      <c r="E37" s="528">
        <f t="shared" ref="E37:E45" si="9">SUM(H37:K37)</f>
        <v>0</v>
      </c>
      <c r="F37" s="361">
        <f t="shared" ref="F37:F45" si="10">SUM(L37:M37)</f>
        <v>0</v>
      </c>
      <c r="G37" s="361">
        <f t="shared" ref="G37:G45" si="11">SUM(N37:S37)</f>
        <v>90341.519021516928</v>
      </c>
      <c r="H37" s="361">
        <f>'Rev&amp;Expense'!$D52*'Function Allocators'!D152</f>
        <v>0</v>
      </c>
      <c r="I37" s="361">
        <f>'Rev&amp;Expense'!$D52*'Function Allocators'!E152</f>
        <v>0</v>
      </c>
      <c r="J37" s="361">
        <f>'Rev&amp;Expense'!$D52*'Function Allocators'!F152</f>
        <v>0</v>
      </c>
      <c r="K37" s="361">
        <f>'Rev&amp;Expense'!$D52*'Function Allocators'!G152</f>
        <v>0</v>
      </c>
      <c r="L37" s="361">
        <f>'Rev&amp;Expense'!$D52*'Function Allocators'!H152</f>
        <v>0</v>
      </c>
      <c r="M37" s="361">
        <f>'Rev&amp;Expense'!$D52*'Function Allocators'!I152</f>
        <v>0</v>
      </c>
      <c r="N37" s="361">
        <f>'Rev&amp;Expense'!$D52*'Function Allocators'!J152</f>
        <v>69373.124693932768</v>
      </c>
      <c r="O37" s="361">
        <f>'Rev&amp;Expense'!$D52*'Function Allocators'!K152</f>
        <v>18204.487231010771</v>
      </c>
      <c r="P37" s="361">
        <f>'Rev&amp;Expense'!$D52*'Function Allocators'!L152</f>
        <v>2763.907096573379</v>
      </c>
      <c r="Q37" s="361">
        <f>'Rev&amp;Expense'!$D52*'Function Allocators'!M152</f>
        <v>0</v>
      </c>
      <c r="R37" s="361">
        <f>'Rev&amp;Expense'!$D52*'Function Allocators'!N152</f>
        <v>0</v>
      </c>
      <c r="S37" s="361">
        <f>'Rev&amp;Expense'!$D52*'Function Allocators'!O152</f>
        <v>0</v>
      </c>
      <c r="U37" s="459">
        <f>D37-'Rev&amp;Expense'!D52</f>
        <v>0</v>
      </c>
    </row>
    <row r="38" spans="1:21">
      <c r="A38" s="365">
        <f t="shared" si="0"/>
        <v>33</v>
      </c>
      <c r="B38" s="385">
        <v>902</v>
      </c>
      <c r="C38" s="379" t="s">
        <v>163</v>
      </c>
      <c r="D38" s="529">
        <f t="shared" si="8"/>
        <v>108946.5715256031</v>
      </c>
      <c r="E38" s="528">
        <f t="shared" si="9"/>
        <v>0</v>
      </c>
      <c r="F38" s="456">
        <f t="shared" si="10"/>
        <v>0</v>
      </c>
      <c r="G38" s="456">
        <f t="shared" si="11"/>
        <v>108946.5715256031</v>
      </c>
      <c r="H38" s="361">
        <f>'Rev&amp;Expense'!$D53*'Function Allocators'!D153</f>
        <v>0</v>
      </c>
      <c r="I38" s="361">
        <f>'Rev&amp;Expense'!$D53*'Function Allocators'!E153</f>
        <v>0</v>
      </c>
      <c r="J38" s="361">
        <f>'Rev&amp;Expense'!$D53*'Function Allocators'!F153</f>
        <v>0</v>
      </c>
      <c r="K38" s="361">
        <f>'Rev&amp;Expense'!$D53*'Function Allocators'!G153</f>
        <v>0</v>
      </c>
      <c r="L38" s="361">
        <f>'Rev&amp;Expense'!$D53*'Function Allocators'!H153</f>
        <v>0</v>
      </c>
      <c r="M38" s="361">
        <f>'Rev&amp;Expense'!$D53*'Function Allocators'!I153</f>
        <v>0</v>
      </c>
      <c r="N38" s="361">
        <f>'Rev&amp;Expense'!$D53*'Function Allocators'!J153</f>
        <v>0</v>
      </c>
      <c r="O38" s="361">
        <f>'Rev&amp;Expense'!$D53*'Function Allocators'!K153</f>
        <v>0</v>
      </c>
      <c r="P38" s="361">
        <f>'Rev&amp;Expense'!$D53*'Function Allocators'!L153</f>
        <v>0</v>
      </c>
      <c r="Q38" s="361">
        <f>'Rev&amp;Expense'!$D53*'Function Allocators'!M153</f>
        <v>108946.5715256031</v>
      </c>
      <c r="R38" s="361">
        <f>'Rev&amp;Expense'!$D53*'Function Allocators'!N153</f>
        <v>0</v>
      </c>
      <c r="S38" s="361">
        <f>'Rev&amp;Expense'!$D53*'Function Allocators'!O153</f>
        <v>0</v>
      </c>
      <c r="U38" s="459">
        <f>D38-'Rev&amp;Expense'!D53</f>
        <v>0</v>
      </c>
    </row>
    <row r="39" spans="1:21">
      <c r="A39" s="365">
        <f t="shared" si="0"/>
        <v>34</v>
      </c>
      <c r="B39" s="385">
        <v>903</v>
      </c>
      <c r="C39" s="379" t="s">
        <v>165</v>
      </c>
      <c r="D39" s="529">
        <f t="shared" si="8"/>
        <v>5775076.0166293187</v>
      </c>
      <c r="E39" s="528">
        <f t="shared" si="9"/>
        <v>0</v>
      </c>
      <c r="F39" s="456">
        <f t="shared" si="10"/>
        <v>0</v>
      </c>
      <c r="G39" s="456">
        <f t="shared" si="11"/>
        <v>5775076.0166293187</v>
      </c>
      <c r="H39" s="361">
        <f>'Rev&amp;Expense'!$D54*'Function Allocators'!D154</f>
        <v>0</v>
      </c>
      <c r="I39" s="361">
        <f>'Rev&amp;Expense'!$D54*'Function Allocators'!E154</f>
        <v>0</v>
      </c>
      <c r="J39" s="361">
        <f>'Rev&amp;Expense'!$D54*'Function Allocators'!F154</f>
        <v>0</v>
      </c>
      <c r="K39" s="361">
        <f>'Rev&amp;Expense'!$D54*'Function Allocators'!G154</f>
        <v>0</v>
      </c>
      <c r="L39" s="361">
        <f>'Rev&amp;Expense'!$D54*'Function Allocators'!H154</f>
        <v>0</v>
      </c>
      <c r="M39" s="361">
        <f>'Rev&amp;Expense'!$D54*'Function Allocators'!I154</f>
        <v>0</v>
      </c>
      <c r="N39" s="361">
        <f>'Rev&amp;Expense'!$D54*'Function Allocators'!J154</f>
        <v>0</v>
      </c>
      <c r="O39" s="361">
        <f>'Rev&amp;Expense'!$D54*'Function Allocators'!K154</f>
        <v>0</v>
      </c>
      <c r="P39" s="361">
        <f>'Rev&amp;Expense'!$D54*'Function Allocators'!L154</f>
        <v>0</v>
      </c>
      <c r="Q39" s="361">
        <f>'Rev&amp;Expense'!$D54*'Function Allocators'!M154</f>
        <v>0</v>
      </c>
      <c r="R39" s="361">
        <f>'Rev&amp;Expense'!$D54*'Function Allocators'!N154</f>
        <v>5775076.0166293187</v>
      </c>
      <c r="S39" s="361">
        <f>'Rev&amp;Expense'!$D54*'Function Allocators'!O154</f>
        <v>0</v>
      </c>
      <c r="U39" s="459">
        <f>D39-'Rev&amp;Expense'!D54</f>
        <v>0</v>
      </c>
    </row>
    <row r="40" spans="1:21">
      <c r="A40" s="365">
        <f t="shared" si="0"/>
        <v>35</v>
      </c>
      <c r="B40" s="385">
        <v>904</v>
      </c>
      <c r="C40" s="379" t="s">
        <v>167</v>
      </c>
      <c r="D40" s="529">
        <f t="shared" si="8"/>
        <v>281117.24</v>
      </c>
      <c r="E40" s="528">
        <f t="shared" si="9"/>
        <v>0</v>
      </c>
      <c r="F40" s="456">
        <f t="shared" si="10"/>
        <v>0</v>
      </c>
      <c r="G40" s="456">
        <f t="shared" si="11"/>
        <v>281117.24</v>
      </c>
      <c r="H40" s="361">
        <f>'Rev&amp;Expense'!$D55*'Function Allocators'!D155</f>
        <v>0</v>
      </c>
      <c r="I40" s="361">
        <f>'Rev&amp;Expense'!$D55*'Function Allocators'!E155</f>
        <v>0</v>
      </c>
      <c r="J40" s="361">
        <f>'Rev&amp;Expense'!$D55*'Function Allocators'!F155</f>
        <v>0</v>
      </c>
      <c r="K40" s="361">
        <f>'Rev&amp;Expense'!$D55*'Function Allocators'!G155</f>
        <v>0</v>
      </c>
      <c r="L40" s="361">
        <f>'Rev&amp;Expense'!$D55*'Function Allocators'!H155</f>
        <v>0</v>
      </c>
      <c r="M40" s="361">
        <f>'Rev&amp;Expense'!$D55*'Function Allocators'!I155</f>
        <v>0</v>
      </c>
      <c r="N40" s="361">
        <f>'Rev&amp;Expense'!$D55*'Function Allocators'!J155</f>
        <v>0</v>
      </c>
      <c r="O40" s="361">
        <f>'Rev&amp;Expense'!$D55*'Function Allocators'!K155</f>
        <v>0</v>
      </c>
      <c r="P40" s="361">
        <f>'Rev&amp;Expense'!$D55*'Function Allocators'!L155</f>
        <v>0</v>
      </c>
      <c r="Q40" s="361">
        <f>'Rev&amp;Expense'!$D55*'Function Allocators'!M155</f>
        <v>0</v>
      </c>
      <c r="R40" s="361">
        <f>'Rev&amp;Expense'!$D55*'Function Allocators'!N155</f>
        <v>0</v>
      </c>
      <c r="S40" s="361">
        <f>'Rev&amp;Expense'!$D55*'Function Allocators'!O155</f>
        <v>281117.24</v>
      </c>
      <c r="U40" s="459">
        <f>D40-'Rev&amp;Expense'!D55</f>
        <v>0</v>
      </c>
    </row>
    <row r="41" spans="1:21">
      <c r="A41" s="365">
        <f t="shared" si="0"/>
        <v>36</v>
      </c>
      <c r="B41" s="385">
        <v>905</v>
      </c>
      <c r="C41" s="379" t="s">
        <v>169</v>
      </c>
      <c r="D41" s="529">
        <f t="shared" si="8"/>
        <v>0</v>
      </c>
      <c r="E41" s="528">
        <f t="shared" si="9"/>
        <v>0</v>
      </c>
      <c r="F41" s="456">
        <f t="shared" si="10"/>
        <v>0</v>
      </c>
      <c r="G41" s="456">
        <f t="shared" si="11"/>
        <v>0</v>
      </c>
      <c r="H41" s="361">
        <f>'Rev&amp;Expense'!$D56*'Function Allocators'!D156</f>
        <v>0</v>
      </c>
      <c r="I41" s="361">
        <f>'Rev&amp;Expense'!$D56*'Function Allocators'!E156</f>
        <v>0</v>
      </c>
      <c r="J41" s="361">
        <f>'Rev&amp;Expense'!$D56*'Function Allocators'!F156</f>
        <v>0</v>
      </c>
      <c r="K41" s="361">
        <f>'Rev&amp;Expense'!$D56*'Function Allocators'!G156</f>
        <v>0</v>
      </c>
      <c r="L41" s="361">
        <f>'Rev&amp;Expense'!$D56*'Function Allocators'!H156</f>
        <v>0</v>
      </c>
      <c r="M41" s="361">
        <f>'Rev&amp;Expense'!$D56*'Function Allocators'!I156</f>
        <v>0</v>
      </c>
      <c r="N41" s="361">
        <f>'Rev&amp;Expense'!$D56*'Function Allocators'!J156</f>
        <v>0</v>
      </c>
      <c r="O41" s="361">
        <f>'Rev&amp;Expense'!$D56*'Function Allocators'!K156</f>
        <v>0</v>
      </c>
      <c r="P41" s="361">
        <f>'Rev&amp;Expense'!$D56*'Function Allocators'!L156</f>
        <v>0</v>
      </c>
      <c r="Q41" s="361">
        <f>'Rev&amp;Expense'!$D56*'Function Allocators'!M156</f>
        <v>0</v>
      </c>
      <c r="R41" s="361">
        <f>'Rev&amp;Expense'!$D56*'Function Allocators'!N156</f>
        <v>0</v>
      </c>
      <c r="S41" s="361">
        <f>'Rev&amp;Expense'!$D56*'Function Allocators'!O156</f>
        <v>0</v>
      </c>
      <c r="U41" s="459">
        <f>D41-'Rev&amp;Expense'!D56</f>
        <v>0</v>
      </c>
    </row>
    <row r="42" spans="1:21">
      <c r="A42" s="365">
        <f t="shared" si="0"/>
        <v>37</v>
      </c>
      <c r="B42" s="385">
        <v>907</v>
      </c>
      <c r="C42" s="379" t="s">
        <v>171</v>
      </c>
      <c r="D42" s="529">
        <f t="shared" si="8"/>
        <v>54000</v>
      </c>
      <c r="E42" s="528">
        <f t="shared" si="9"/>
        <v>0</v>
      </c>
      <c r="F42" s="456">
        <f t="shared" si="10"/>
        <v>0</v>
      </c>
      <c r="G42" s="456">
        <f t="shared" si="11"/>
        <v>54000</v>
      </c>
      <c r="H42" s="361">
        <f>'Rev&amp;Expense'!$D57*'Function Allocators'!D157</f>
        <v>0</v>
      </c>
      <c r="I42" s="361">
        <f>'Rev&amp;Expense'!$D57*'Function Allocators'!E157</f>
        <v>0</v>
      </c>
      <c r="J42" s="361">
        <f>'Rev&amp;Expense'!$D57*'Function Allocators'!F157</f>
        <v>0</v>
      </c>
      <c r="K42" s="361">
        <f>'Rev&amp;Expense'!$D57*'Function Allocators'!G157</f>
        <v>0</v>
      </c>
      <c r="L42" s="361">
        <f>'Rev&amp;Expense'!$D57*'Function Allocators'!H157</f>
        <v>0</v>
      </c>
      <c r="M42" s="361">
        <f>'Rev&amp;Expense'!$D57*'Function Allocators'!I157</f>
        <v>0</v>
      </c>
      <c r="N42" s="361">
        <f>'Rev&amp;Expense'!$D57*'Function Allocators'!J157</f>
        <v>0</v>
      </c>
      <c r="O42" s="361">
        <f>'Rev&amp;Expense'!$D57*'Function Allocators'!K157</f>
        <v>0</v>
      </c>
      <c r="P42" s="361">
        <f>'Rev&amp;Expense'!$D57*'Function Allocators'!L157</f>
        <v>0</v>
      </c>
      <c r="Q42" s="361">
        <f>'Rev&amp;Expense'!$D57*'Function Allocators'!M157</f>
        <v>0</v>
      </c>
      <c r="R42" s="361">
        <f>'Rev&amp;Expense'!$D57*'Function Allocators'!N157</f>
        <v>0</v>
      </c>
      <c r="S42" s="361">
        <f>'Rev&amp;Expense'!$D57*'Function Allocators'!O157</f>
        <v>54000</v>
      </c>
      <c r="U42" s="459">
        <f>D42-'Rev&amp;Expense'!D57</f>
        <v>0</v>
      </c>
    </row>
    <row r="43" spans="1:21">
      <c r="A43" s="365">
        <f t="shared" si="0"/>
        <v>38</v>
      </c>
      <c r="B43" s="385">
        <v>908</v>
      </c>
      <c r="C43" s="379" t="s">
        <v>172</v>
      </c>
      <c r="D43" s="529">
        <f t="shared" si="8"/>
        <v>114105.85492473361</v>
      </c>
      <c r="E43" s="528">
        <f t="shared" si="9"/>
        <v>0</v>
      </c>
      <c r="F43" s="456">
        <f t="shared" si="10"/>
        <v>0</v>
      </c>
      <c r="G43" s="456">
        <f t="shared" si="11"/>
        <v>114105.85492473361</v>
      </c>
      <c r="H43" s="361">
        <f>'Rev&amp;Expense'!$D58*'Function Allocators'!D158</f>
        <v>0</v>
      </c>
      <c r="I43" s="361">
        <f>'Rev&amp;Expense'!$D58*'Function Allocators'!E158</f>
        <v>0</v>
      </c>
      <c r="J43" s="361">
        <f>'Rev&amp;Expense'!$D58*'Function Allocators'!F158</f>
        <v>0</v>
      </c>
      <c r="K43" s="361">
        <f>'Rev&amp;Expense'!$D58*'Function Allocators'!G158</f>
        <v>0</v>
      </c>
      <c r="L43" s="361">
        <f>'Rev&amp;Expense'!$D58*'Function Allocators'!H158</f>
        <v>0</v>
      </c>
      <c r="M43" s="361">
        <f>'Rev&amp;Expense'!$D58*'Function Allocators'!I158</f>
        <v>0</v>
      </c>
      <c r="N43" s="361">
        <f>'Rev&amp;Expense'!$D58*'Function Allocators'!J158</f>
        <v>0</v>
      </c>
      <c r="O43" s="361">
        <f>'Rev&amp;Expense'!$D58*'Function Allocators'!K158</f>
        <v>0</v>
      </c>
      <c r="P43" s="361">
        <f>'Rev&amp;Expense'!$D58*'Function Allocators'!L158</f>
        <v>0</v>
      </c>
      <c r="Q43" s="361">
        <f>'Rev&amp;Expense'!$D58*'Function Allocators'!M158</f>
        <v>0</v>
      </c>
      <c r="R43" s="361">
        <f>'Rev&amp;Expense'!$D58*'Function Allocators'!N158</f>
        <v>0</v>
      </c>
      <c r="S43" s="361">
        <f>'Rev&amp;Expense'!$D58*'Function Allocators'!O158</f>
        <v>114105.85492473361</v>
      </c>
      <c r="U43" s="459">
        <f>D43-'Rev&amp;Expense'!D58</f>
        <v>0</v>
      </c>
    </row>
    <row r="44" spans="1:21">
      <c r="A44" s="365">
        <f t="shared" si="0"/>
        <v>39</v>
      </c>
      <c r="B44" s="385">
        <v>909</v>
      </c>
      <c r="C44" s="379" t="s">
        <v>173</v>
      </c>
      <c r="D44" s="529">
        <f t="shared" si="8"/>
        <v>371903.09</v>
      </c>
      <c r="E44" s="528">
        <f t="shared" si="9"/>
        <v>0</v>
      </c>
      <c r="F44" s="456">
        <f t="shared" si="10"/>
        <v>0</v>
      </c>
      <c r="G44" s="456">
        <f t="shared" si="11"/>
        <v>371903.09</v>
      </c>
      <c r="H44" s="361">
        <f>'Rev&amp;Expense'!$D59*'Function Allocators'!D159</f>
        <v>0</v>
      </c>
      <c r="I44" s="361">
        <f>'Rev&amp;Expense'!$D59*'Function Allocators'!E159</f>
        <v>0</v>
      </c>
      <c r="J44" s="361">
        <f>'Rev&amp;Expense'!$D59*'Function Allocators'!F159</f>
        <v>0</v>
      </c>
      <c r="K44" s="361">
        <f>'Rev&amp;Expense'!$D59*'Function Allocators'!G159</f>
        <v>0</v>
      </c>
      <c r="L44" s="361">
        <f>'Rev&amp;Expense'!$D59*'Function Allocators'!H159</f>
        <v>0</v>
      </c>
      <c r="M44" s="361">
        <f>'Rev&amp;Expense'!$D59*'Function Allocators'!I159</f>
        <v>0</v>
      </c>
      <c r="N44" s="361">
        <f>'Rev&amp;Expense'!$D59*'Function Allocators'!J159</f>
        <v>0</v>
      </c>
      <c r="O44" s="361">
        <f>'Rev&amp;Expense'!$D59*'Function Allocators'!K159</f>
        <v>0</v>
      </c>
      <c r="P44" s="361">
        <f>'Rev&amp;Expense'!$D59*'Function Allocators'!L159</f>
        <v>0</v>
      </c>
      <c r="Q44" s="361">
        <f>'Rev&amp;Expense'!$D59*'Function Allocators'!M159</f>
        <v>0</v>
      </c>
      <c r="R44" s="361">
        <f>'Rev&amp;Expense'!$D59*'Function Allocators'!N159</f>
        <v>0</v>
      </c>
      <c r="S44" s="361">
        <f>'Rev&amp;Expense'!$D59*'Function Allocators'!O159</f>
        <v>371903.09</v>
      </c>
      <c r="U44" s="459">
        <f>D44-'Rev&amp;Expense'!D59</f>
        <v>0</v>
      </c>
    </row>
    <row r="45" spans="1:21">
      <c r="A45" s="365">
        <f t="shared" si="0"/>
        <v>40</v>
      </c>
      <c r="B45" s="385">
        <v>910</v>
      </c>
      <c r="C45" s="379" t="s">
        <v>174</v>
      </c>
      <c r="D45" s="529">
        <f t="shared" si="8"/>
        <v>25.880000000000003</v>
      </c>
      <c r="E45" s="528">
        <f t="shared" si="9"/>
        <v>0</v>
      </c>
      <c r="F45" s="456">
        <f t="shared" si="10"/>
        <v>0</v>
      </c>
      <c r="G45" s="456">
        <f t="shared" si="11"/>
        <v>25.880000000000003</v>
      </c>
      <c r="H45" s="361">
        <f>'Rev&amp;Expense'!$D60*'Function Allocators'!D160</f>
        <v>0</v>
      </c>
      <c r="I45" s="361">
        <f>'Rev&amp;Expense'!$D60*'Function Allocators'!E160</f>
        <v>0</v>
      </c>
      <c r="J45" s="361">
        <f>'Rev&amp;Expense'!$D60*'Function Allocators'!F160</f>
        <v>0</v>
      </c>
      <c r="K45" s="361">
        <f>'Rev&amp;Expense'!$D60*'Function Allocators'!G160</f>
        <v>0</v>
      </c>
      <c r="L45" s="361">
        <f>'Rev&amp;Expense'!$D60*'Function Allocators'!H160</f>
        <v>0</v>
      </c>
      <c r="M45" s="361">
        <f>'Rev&amp;Expense'!$D60*'Function Allocators'!I160</f>
        <v>0</v>
      </c>
      <c r="N45" s="361">
        <f>'Rev&amp;Expense'!$D60*'Function Allocators'!J160</f>
        <v>0</v>
      </c>
      <c r="O45" s="361">
        <f>'Rev&amp;Expense'!$D60*'Function Allocators'!K160</f>
        <v>0</v>
      </c>
      <c r="P45" s="361">
        <f>'Rev&amp;Expense'!$D60*'Function Allocators'!L160</f>
        <v>0</v>
      </c>
      <c r="Q45" s="361">
        <f>'Rev&amp;Expense'!$D60*'Function Allocators'!M160</f>
        <v>0</v>
      </c>
      <c r="R45" s="361">
        <f>'Rev&amp;Expense'!$D60*'Function Allocators'!N160</f>
        <v>0</v>
      </c>
      <c r="S45" s="361">
        <f>'Rev&amp;Expense'!$D60*'Function Allocators'!O160</f>
        <v>25.880000000000003</v>
      </c>
      <c r="U45" s="459">
        <f>D45-'Rev&amp;Expense'!D60</f>
        <v>0</v>
      </c>
    </row>
    <row r="46" spans="1:21">
      <c r="A46" s="365">
        <f t="shared" si="0"/>
        <v>41</v>
      </c>
      <c r="B46" s="385"/>
      <c r="C46" s="377" t="s">
        <v>175</v>
      </c>
      <c r="D46" s="527">
        <f t="shared" ref="D46:S46" si="12">SUM(D37:D45)</f>
        <v>6795516.1721011726</v>
      </c>
      <c r="E46" s="527">
        <f t="shared" si="12"/>
        <v>0</v>
      </c>
      <c r="F46" s="474">
        <f t="shared" si="12"/>
        <v>0</v>
      </c>
      <c r="G46" s="474">
        <f t="shared" si="12"/>
        <v>6795516.1721011726</v>
      </c>
      <c r="H46" s="474">
        <f t="shared" si="12"/>
        <v>0</v>
      </c>
      <c r="I46" s="474">
        <f t="shared" si="12"/>
        <v>0</v>
      </c>
      <c r="J46" s="474">
        <f t="shared" si="12"/>
        <v>0</v>
      </c>
      <c r="K46" s="474">
        <f t="shared" si="12"/>
        <v>0</v>
      </c>
      <c r="L46" s="474">
        <f t="shared" si="12"/>
        <v>0</v>
      </c>
      <c r="M46" s="474">
        <f t="shared" si="12"/>
        <v>0</v>
      </c>
      <c r="N46" s="474">
        <f t="shared" si="12"/>
        <v>69373.124693932768</v>
      </c>
      <c r="O46" s="474">
        <f t="shared" si="12"/>
        <v>18204.487231010771</v>
      </c>
      <c r="P46" s="474">
        <f t="shared" si="12"/>
        <v>2763.907096573379</v>
      </c>
      <c r="Q46" s="474">
        <f t="shared" si="12"/>
        <v>108946.5715256031</v>
      </c>
      <c r="R46" s="474">
        <f t="shared" si="12"/>
        <v>5775076.0166293187</v>
      </c>
      <c r="S46" s="474">
        <f t="shared" si="12"/>
        <v>821152.0649247336</v>
      </c>
      <c r="U46" s="459">
        <f>D46-'Rev&amp;Expense'!D61</f>
        <v>0</v>
      </c>
    </row>
    <row r="47" spans="1:21">
      <c r="A47" s="365">
        <f t="shared" si="0"/>
        <v>42</v>
      </c>
      <c r="B47" s="385"/>
      <c r="C47" s="377"/>
      <c r="D47" s="461"/>
      <c r="E47" s="456"/>
      <c r="F47" s="456"/>
      <c r="G47" s="456"/>
      <c r="H47" s="456"/>
      <c r="I47" s="456"/>
      <c r="J47" s="456"/>
      <c r="K47" s="456"/>
      <c r="L47" s="456"/>
      <c r="M47" s="456"/>
      <c r="N47" s="456"/>
      <c r="O47" s="456"/>
      <c r="P47" s="456"/>
      <c r="Q47" s="456"/>
      <c r="R47" s="456"/>
      <c r="S47" s="456"/>
    </row>
    <row r="48" spans="1:21" ht="17.25" customHeight="1" thickBot="1">
      <c r="A48" s="365">
        <f t="shared" si="0"/>
        <v>43</v>
      </c>
      <c r="B48" s="385"/>
      <c r="C48" s="377" t="s">
        <v>283</v>
      </c>
      <c r="D48" s="524">
        <f>SUM(E48:G48)</f>
        <v>16575961.359043118</v>
      </c>
      <c r="E48" s="488">
        <f>SUM(H48:K48)</f>
        <v>2496526.2278041402</v>
      </c>
      <c r="F48" s="488">
        <f>SUM(L48:M48)</f>
        <v>0</v>
      </c>
      <c r="G48" s="488">
        <f>SUM(N48:S48)</f>
        <v>14079435.131238978</v>
      </c>
      <c r="H48" s="488">
        <f t="shared" ref="H48:S48" si="13">+H46+H34+H16</f>
        <v>0</v>
      </c>
      <c r="I48" s="488">
        <f t="shared" si="13"/>
        <v>1714119.5178294452</v>
      </c>
      <c r="J48" s="488">
        <f t="shared" si="13"/>
        <v>684467.31551478815</v>
      </c>
      <c r="K48" s="488">
        <f t="shared" si="13"/>
        <v>97939.394459906733</v>
      </c>
      <c r="L48" s="488">
        <f t="shared" si="13"/>
        <v>0</v>
      </c>
      <c r="M48" s="488">
        <f t="shared" si="13"/>
        <v>0</v>
      </c>
      <c r="N48" s="488">
        <f t="shared" si="13"/>
        <v>3787364.5509817195</v>
      </c>
      <c r="O48" s="488">
        <f t="shared" si="13"/>
        <v>3100336.8269973681</v>
      </c>
      <c r="P48" s="488">
        <f t="shared" si="13"/>
        <v>486559.10018023517</v>
      </c>
      <c r="Q48" s="488">
        <f t="shared" si="13"/>
        <v>108946.5715256031</v>
      </c>
      <c r="R48" s="488">
        <f t="shared" si="13"/>
        <v>5775076.0166293187</v>
      </c>
      <c r="S48" s="488">
        <f t="shared" si="13"/>
        <v>821152.0649247336</v>
      </c>
    </row>
    <row r="49" spans="1:21" ht="17.25" customHeight="1" thickTop="1" thickBot="1">
      <c r="A49" s="365">
        <f t="shared" si="0"/>
        <v>44</v>
      </c>
      <c r="B49" s="385"/>
      <c r="C49" s="377" t="s">
        <v>284</v>
      </c>
      <c r="D49" s="524">
        <f t="shared" ref="D49:S49" si="14">D9+D16+D34+D46</f>
        <v>16807956.209043153</v>
      </c>
      <c r="E49" s="524">
        <f t="shared" si="14"/>
        <v>2496526.1678041751</v>
      </c>
      <c r="F49" s="524">
        <f t="shared" si="14"/>
        <v>231994.91</v>
      </c>
      <c r="G49" s="524">
        <f t="shared" si="14"/>
        <v>14079435.131238978</v>
      </c>
      <c r="H49" s="524">
        <f t="shared" si="14"/>
        <v>0</v>
      </c>
      <c r="I49" s="524">
        <f t="shared" si="14"/>
        <v>1714119.5178294452</v>
      </c>
      <c r="J49" s="524">
        <f t="shared" si="14"/>
        <v>684467.31551478815</v>
      </c>
      <c r="K49" s="524">
        <f t="shared" si="14"/>
        <v>97939.334459941601</v>
      </c>
      <c r="L49" s="524">
        <f t="shared" si="14"/>
        <v>231994.91</v>
      </c>
      <c r="M49" s="524">
        <f t="shared" si="14"/>
        <v>0</v>
      </c>
      <c r="N49" s="524">
        <f t="shared" si="14"/>
        <v>3787364.5509817195</v>
      </c>
      <c r="O49" s="524">
        <f t="shared" si="14"/>
        <v>3100336.8269973681</v>
      </c>
      <c r="P49" s="524">
        <f t="shared" si="14"/>
        <v>486559.10018023517</v>
      </c>
      <c r="Q49" s="524">
        <f t="shared" si="14"/>
        <v>108946.5715256031</v>
      </c>
      <c r="R49" s="524">
        <f t="shared" si="14"/>
        <v>5775076.0166293187</v>
      </c>
      <c r="S49" s="524">
        <f t="shared" si="14"/>
        <v>821152.0649247336</v>
      </c>
    </row>
    <row r="50" spans="1:21" ht="12" thickTop="1">
      <c r="B50" s="385"/>
      <c r="C50" s="377" t="s">
        <v>176</v>
      </c>
      <c r="D50" s="462"/>
      <c r="E50" s="456"/>
      <c r="F50" s="456"/>
      <c r="G50" s="456"/>
      <c r="H50" s="456"/>
      <c r="I50" s="456"/>
      <c r="J50" s="456"/>
      <c r="K50" s="456"/>
      <c r="L50" s="456"/>
      <c r="M50" s="456"/>
      <c r="N50" s="456"/>
      <c r="O50" s="456"/>
      <c r="P50" s="456"/>
      <c r="Q50" s="456"/>
      <c r="R50" s="456"/>
      <c r="S50" s="456"/>
    </row>
    <row r="51" spans="1:21">
      <c r="A51" s="365">
        <v>1</v>
      </c>
      <c r="B51" s="385">
        <v>920</v>
      </c>
      <c r="C51" s="379" t="s">
        <v>177</v>
      </c>
      <c r="D51" s="521">
        <f t="shared" ref="D51:D62" si="15">SUM(E51:G51)</f>
        <v>5190692.0700000012</v>
      </c>
      <c r="E51" s="361">
        <f t="shared" ref="E51:E62" si="16">SUM(H51:K51)</f>
        <v>974975.67709960404</v>
      </c>
      <c r="F51" s="361">
        <f t="shared" ref="F51:F62" si="17">SUM(L51:M51)</f>
        <v>16103.405569898121</v>
      </c>
      <c r="G51" s="361">
        <f t="shared" ref="G51:G62" si="18">SUM(N51:S51)</f>
        <v>4199612.9873304991</v>
      </c>
      <c r="H51" s="361">
        <f>'Rev&amp;Expense'!$D65*'Function Allocators'!D164</f>
        <v>0</v>
      </c>
      <c r="I51" s="361">
        <f>'Rev&amp;Expense'!$D65*'Function Allocators'!E164</f>
        <v>685423.55871328863</v>
      </c>
      <c r="J51" s="361">
        <f>'Rev&amp;Expense'!$D65*'Function Allocators'!F164</f>
        <v>280592.23676645313</v>
      </c>
      <c r="K51" s="361">
        <f>'Rev&amp;Expense'!$D65*'Function Allocators'!G164</f>
        <v>8959.8816198623372</v>
      </c>
      <c r="L51" s="361">
        <f>'Rev&amp;Expense'!$D65*'Function Allocators'!H164</f>
        <v>16103.405569898121</v>
      </c>
      <c r="M51" s="361">
        <f>'Rev&amp;Expense'!$D65*'Function Allocators'!I164</f>
        <v>0</v>
      </c>
      <c r="N51" s="361">
        <f>'Rev&amp;Expense'!$D65*'Function Allocators'!J164</f>
        <v>1757368.1713217883</v>
      </c>
      <c r="O51" s="361">
        <f>'Rev&amp;Expense'!$D65*'Function Allocators'!K164</f>
        <v>2117937.7050939775</v>
      </c>
      <c r="P51" s="361">
        <f>'Rev&amp;Expense'!$D65*'Function Allocators'!L164</f>
        <v>324307.11091473285</v>
      </c>
      <c r="Q51" s="361">
        <f>'Rev&amp;Expense'!$D65*'Function Allocators'!M164</f>
        <v>0</v>
      </c>
      <c r="R51" s="361">
        <f>'Rev&amp;Expense'!$D65*'Function Allocators'!N164</f>
        <v>0</v>
      </c>
      <c r="S51" s="361">
        <f>'Rev&amp;Expense'!$D65*'Function Allocators'!O164</f>
        <v>0</v>
      </c>
      <c r="U51" s="361">
        <f>D51-'Rev&amp;Expense'!D65</f>
        <v>0</v>
      </c>
    </row>
    <row r="52" spans="1:21">
      <c r="A52" s="365">
        <f t="shared" ref="A52:A57" si="19">+A51+1</f>
        <v>2</v>
      </c>
      <c r="B52" s="385">
        <v>921</v>
      </c>
      <c r="C52" s="379" t="s">
        <v>178</v>
      </c>
      <c r="D52" s="462">
        <f t="shared" si="15"/>
        <v>2114640.4566869335</v>
      </c>
      <c r="E52" s="456">
        <f t="shared" si="16"/>
        <v>599521.11898474302</v>
      </c>
      <c r="F52" s="456">
        <f t="shared" si="17"/>
        <v>0</v>
      </c>
      <c r="G52" s="456">
        <f t="shared" si="18"/>
        <v>1515119.3377021903</v>
      </c>
      <c r="H52" s="361">
        <f>'Rev&amp;Expense'!$D66*'Function Allocators'!D165</f>
        <v>0</v>
      </c>
      <c r="I52" s="361">
        <f>'Rev&amp;Expense'!$D66*'Function Allocators'!E165</f>
        <v>549757.89771867346</v>
      </c>
      <c r="J52" s="526">
        <f>'Rev&amp;Expense'!$D66*'Function Allocators'!F165</f>
        <v>38974.830138709061</v>
      </c>
      <c r="K52" s="526">
        <f>'Rev&amp;Expense'!$D66*'Function Allocators'!G165</f>
        <v>10788.39112736047</v>
      </c>
      <c r="L52" s="526">
        <f>'Rev&amp;Expense'!$D66*'Function Allocators'!H165</f>
        <v>0</v>
      </c>
      <c r="M52" s="526">
        <f>'Rev&amp;Expense'!$D66*'Function Allocators'!I165</f>
        <v>0</v>
      </c>
      <c r="N52" s="526">
        <f>'Rev&amp;Expense'!$D66*'Function Allocators'!J165</f>
        <v>1228206.5308929728</v>
      </c>
      <c r="O52" s="526">
        <f>'Rev&amp;Expense'!$D66*'Function Allocators'!K165</f>
        <v>236478.71549684674</v>
      </c>
      <c r="P52" s="526">
        <f>'Rev&amp;Expense'!$D66*'Function Allocators'!L165</f>
        <v>50434.09131237078</v>
      </c>
      <c r="Q52" s="526">
        <f>'Rev&amp;Expense'!$D66*'Function Allocators'!M165</f>
        <v>0</v>
      </c>
      <c r="R52" s="526">
        <f>'Rev&amp;Expense'!$D66*'Function Allocators'!N165</f>
        <v>0</v>
      </c>
      <c r="S52" s="526">
        <f>'Rev&amp;Expense'!$D66*'Function Allocators'!O165</f>
        <v>0</v>
      </c>
      <c r="U52" s="361">
        <f>D52-'Rev&amp;Expense'!D66</f>
        <v>0</v>
      </c>
    </row>
    <row r="53" spans="1:21">
      <c r="A53" s="365">
        <f t="shared" si="19"/>
        <v>3</v>
      </c>
      <c r="B53" s="385">
        <v>922</v>
      </c>
      <c r="C53" s="379" t="s">
        <v>179</v>
      </c>
      <c r="D53" s="462">
        <f t="shared" si="15"/>
        <v>-1950845.0199999998</v>
      </c>
      <c r="E53" s="456">
        <f t="shared" si="16"/>
        <v>-553083.52096347185</v>
      </c>
      <c r="F53" s="456">
        <f t="shared" si="17"/>
        <v>0</v>
      </c>
      <c r="G53" s="456">
        <f t="shared" si="18"/>
        <v>-1397761.4990365279</v>
      </c>
      <c r="H53" s="361">
        <f>'Rev&amp;Expense'!$D67*'Function Allocators'!D166</f>
        <v>0</v>
      </c>
      <c r="I53" s="361">
        <f>'Rev&amp;Expense'!$D67*'Function Allocators'!E166</f>
        <v>-507174.85025820765</v>
      </c>
      <c r="J53" s="526">
        <f>'Rev&amp;Expense'!$D67*'Function Allocators'!F166</f>
        <v>-35955.924819754393</v>
      </c>
      <c r="K53" s="526">
        <f>'Rev&amp;Expense'!$D67*'Function Allocators'!G166</f>
        <v>-9952.7458855097611</v>
      </c>
      <c r="L53" s="526">
        <f>'Rev&amp;Expense'!$D67*'Function Allocators'!H166</f>
        <v>0</v>
      </c>
      <c r="M53" s="526">
        <f>'Rev&amp;Expense'!$D67*'Function Allocators'!I166</f>
        <v>0</v>
      </c>
      <c r="N53" s="526">
        <f>'Rev&amp;Expense'!$D67*'Function Allocators'!J166</f>
        <v>-1133072.3323424805</v>
      </c>
      <c r="O53" s="526">
        <f>'Rev&amp;Expense'!$D67*'Function Allocators'!K166</f>
        <v>-218161.59007276545</v>
      </c>
      <c r="P53" s="526">
        <f>'Rev&amp;Expense'!$D67*'Function Allocators'!L166</f>
        <v>-46527.576621281878</v>
      </c>
      <c r="Q53" s="526">
        <f>'Rev&amp;Expense'!$D67*'Function Allocators'!M166</f>
        <v>0</v>
      </c>
      <c r="R53" s="526">
        <f>'Rev&amp;Expense'!$D67*'Function Allocators'!N166</f>
        <v>0</v>
      </c>
      <c r="S53" s="526">
        <f>'Rev&amp;Expense'!$D67*'Function Allocators'!O166</f>
        <v>0</v>
      </c>
      <c r="U53" s="361">
        <f>D53-'Rev&amp;Expense'!D67</f>
        <v>0</v>
      </c>
    </row>
    <row r="54" spans="1:21">
      <c r="A54" s="365">
        <f t="shared" si="19"/>
        <v>4</v>
      </c>
      <c r="B54" s="385">
        <v>923</v>
      </c>
      <c r="C54" s="379" t="s">
        <v>180</v>
      </c>
      <c r="D54" s="462">
        <f t="shared" si="15"/>
        <v>1372947.7199999997</v>
      </c>
      <c r="E54" s="456">
        <f t="shared" si="16"/>
        <v>389244.02056108526</v>
      </c>
      <c r="F54" s="456">
        <f t="shared" si="17"/>
        <v>0</v>
      </c>
      <c r="G54" s="456">
        <f t="shared" si="18"/>
        <v>983703.69943891454</v>
      </c>
      <c r="H54" s="361">
        <f>'Rev&amp;Expense'!$D68*'Function Allocators'!D167</f>
        <v>0</v>
      </c>
      <c r="I54" s="361">
        <f>'Rev&amp;Expense'!$D68*'Function Allocators'!E167</f>
        <v>356934.83960265975</v>
      </c>
      <c r="J54" s="526">
        <f>'Rev&amp;Expense'!$D68*'Function Allocators'!F167</f>
        <v>25304.729230501973</v>
      </c>
      <c r="K54" s="526">
        <f>'Rev&amp;Expense'!$D68*'Function Allocators'!G167</f>
        <v>7004.451727923527</v>
      </c>
      <c r="L54" s="526">
        <f>'Rev&amp;Expense'!$D68*'Function Allocators'!H167</f>
        <v>0</v>
      </c>
      <c r="M54" s="526">
        <f>'Rev&amp;Expense'!$D68*'Function Allocators'!I167</f>
        <v>0</v>
      </c>
      <c r="N54" s="526">
        <f>'Rev&amp;Expense'!$D68*'Function Allocators'!J167</f>
        <v>797423.19832494482</v>
      </c>
      <c r="O54" s="526">
        <f>'Rev&amp;Expense'!$D68*'Function Allocators'!K167</f>
        <v>153535.75225672103</v>
      </c>
      <c r="P54" s="526">
        <f>'Rev&amp;Expense'!$D68*'Function Allocators'!L167</f>
        <v>32744.748857248669</v>
      </c>
      <c r="Q54" s="526">
        <f>'Rev&amp;Expense'!$D68*'Function Allocators'!M167</f>
        <v>0</v>
      </c>
      <c r="R54" s="526">
        <f>'Rev&amp;Expense'!$D68*'Function Allocators'!N167</f>
        <v>0</v>
      </c>
      <c r="S54" s="526">
        <f>'Rev&amp;Expense'!$D68*'Function Allocators'!O167</f>
        <v>0</v>
      </c>
      <c r="U54" s="361">
        <f>D54-'Rev&amp;Expense'!D68</f>
        <v>0</v>
      </c>
    </row>
    <row r="55" spans="1:21">
      <c r="A55" s="365">
        <f t="shared" si="19"/>
        <v>5</v>
      </c>
      <c r="B55" s="385">
        <v>924</v>
      </c>
      <c r="C55" s="379" t="s">
        <v>181</v>
      </c>
      <c r="D55" s="462">
        <f t="shared" si="15"/>
        <v>30721.459999999995</v>
      </c>
      <c r="E55" s="456">
        <f t="shared" si="16"/>
        <v>8709.8324529841229</v>
      </c>
      <c r="F55" s="456">
        <f t="shared" si="17"/>
        <v>0</v>
      </c>
      <c r="G55" s="456">
        <f t="shared" si="18"/>
        <v>22011.627547015873</v>
      </c>
      <c r="H55" s="361">
        <f>'Rev&amp;Expense'!$D69*'Function Allocators'!D168</f>
        <v>0</v>
      </c>
      <c r="I55" s="361">
        <f>'Rev&amp;Expense'!$D69*'Function Allocators'!E168</f>
        <v>7986.8732346629549</v>
      </c>
      <c r="J55" s="526">
        <f>'Rev&amp;Expense'!$D69*'Function Allocators'!F168</f>
        <v>566.22565851647812</v>
      </c>
      <c r="K55" s="526">
        <f>'Rev&amp;Expense'!$D69*'Function Allocators'!G168</f>
        <v>156.73355980469054</v>
      </c>
      <c r="L55" s="526">
        <f>'Rev&amp;Expense'!$D69*'Function Allocators'!H168</f>
        <v>0</v>
      </c>
      <c r="M55" s="526">
        <f>'Rev&amp;Expense'!$D69*'Function Allocators'!I168</f>
        <v>0</v>
      </c>
      <c r="N55" s="526">
        <f>'Rev&amp;Expense'!$D69*'Function Allocators'!J168</f>
        <v>17843.363249411901</v>
      </c>
      <c r="O55" s="526">
        <f>'Rev&amp;Expense'!$D69*'Function Allocators'!K168</f>
        <v>3435.5586908471391</v>
      </c>
      <c r="P55" s="526">
        <f>'Rev&amp;Expense'!$D69*'Function Allocators'!L168</f>
        <v>732.70560675683328</v>
      </c>
      <c r="Q55" s="526">
        <f>'Rev&amp;Expense'!$D69*'Function Allocators'!M168</f>
        <v>0</v>
      </c>
      <c r="R55" s="526">
        <f>'Rev&amp;Expense'!$D69*'Function Allocators'!N168</f>
        <v>0</v>
      </c>
      <c r="S55" s="526">
        <f>'Rev&amp;Expense'!$D69*'Function Allocators'!O168</f>
        <v>0</v>
      </c>
      <c r="U55" s="361">
        <f>D55-'Rev&amp;Expense'!D69</f>
        <v>0</v>
      </c>
    </row>
    <row r="56" spans="1:21">
      <c r="A56" s="365">
        <f t="shared" si="19"/>
        <v>6</v>
      </c>
      <c r="B56" s="385">
        <v>925</v>
      </c>
      <c r="C56" s="379" t="s">
        <v>182</v>
      </c>
      <c r="D56" s="462">
        <f t="shared" si="15"/>
        <v>2007319.2159669492</v>
      </c>
      <c r="E56" s="456">
        <f t="shared" si="16"/>
        <v>569094.50432133058</v>
      </c>
      <c r="F56" s="456">
        <f t="shared" si="17"/>
        <v>0</v>
      </c>
      <c r="G56" s="456">
        <f t="shared" si="18"/>
        <v>1438224.7116456188</v>
      </c>
      <c r="H56" s="361">
        <f>'Rev&amp;Expense'!$D70*'Function Allocators'!D169</f>
        <v>0</v>
      </c>
      <c r="I56" s="361">
        <f>'Rev&amp;Expense'!$D70*'Function Allocators'!E169</f>
        <v>521856.84272267844</v>
      </c>
      <c r="J56" s="526">
        <f>'Rev&amp;Expense'!$D70*'Function Allocators'!F169</f>
        <v>36996.79783817783</v>
      </c>
      <c r="K56" s="526">
        <f>'Rev&amp;Expense'!$D70*'Function Allocators'!G169</f>
        <v>10240.863760474289</v>
      </c>
      <c r="L56" s="526">
        <f>'Rev&amp;Expense'!$D70*'Function Allocators'!H169</f>
        <v>0</v>
      </c>
      <c r="M56" s="526">
        <f>'Rev&amp;Expense'!$D70*'Function Allocators'!I169</f>
        <v>0</v>
      </c>
      <c r="N56" s="526">
        <f>'Rev&amp;Expense'!$D70*'Function Allocators'!J169</f>
        <v>1165873.1690493545</v>
      </c>
      <c r="O56" s="526">
        <f>'Rev&amp;Expense'!$D70*'Function Allocators'!K169</f>
        <v>224477.05863327195</v>
      </c>
      <c r="P56" s="526">
        <f>'Rev&amp;Expense'!$D70*'Function Allocators'!L169</f>
        <v>47874.483962992468</v>
      </c>
      <c r="Q56" s="526">
        <f>'Rev&amp;Expense'!$D70*'Function Allocators'!M169</f>
        <v>0</v>
      </c>
      <c r="R56" s="526">
        <f>'Rev&amp;Expense'!$D70*'Function Allocators'!N169</f>
        <v>0</v>
      </c>
      <c r="S56" s="526">
        <f>'Rev&amp;Expense'!$D70*'Function Allocators'!O169</f>
        <v>0</v>
      </c>
      <c r="U56" s="361">
        <f>D56-'Rev&amp;Expense'!D70</f>
        <v>0</v>
      </c>
    </row>
    <row r="57" spans="1:21">
      <c r="A57" s="365">
        <f t="shared" si="19"/>
        <v>7</v>
      </c>
      <c r="B57" s="385">
        <v>926</v>
      </c>
      <c r="C57" s="379" t="s">
        <v>183</v>
      </c>
      <c r="D57" s="462">
        <f t="shared" si="15"/>
        <v>2640755.5700000008</v>
      </c>
      <c r="E57" s="456">
        <f t="shared" si="16"/>
        <v>496017.18136890006</v>
      </c>
      <c r="F57" s="456">
        <f t="shared" si="17"/>
        <v>8192.5795984806882</v>
      </c>
      <c r="G57" s="456">
        <f t="shared" si="18"/>
        <v>2136545.8090326199</v>
      </c>
      <c r="H57" s="361">
        <f>'Rev&amp;Expense'!$D71*'Function Allocators'!D170</f>
        <v>0</v>
      </c>
      <c r="I57" s="361">
        <f>'Rev&amp;Expense'!$D71*'Function Allocators'!E170</f>
        <v>348708.0443362419</v>
      </c>
      <c r="J57" s="526">
        <f>'Rev&amp;Expense'!$D71*'Function Allocators'!F170</f>
        <v>142750.81282942873</v>
      </c>
      <c r="K57" s="526">
        <f>'Rev&amp;Expense'!$D71*'Function Allocators'!G170</f>
        <v>4558.3242032294338</v>
      </c>
      <c r="L57" s="526">
        <f>'Rev&amp;Expense'!$D71*'Function Allocators'!H170</f>
        <v>8192.5795984806882</v>
      </c>
      <c r="M57" s="526">
        <f>'Rev&amp;Expense'!$D71*'Function Allocators'!I170</f>
        <v>0</v>
      </c>
      <c r="N57" s="526">
        <f>'Rev&amp;Expense'!$D71*'Function Allocators'!J170</f>
        <v>894058.00312842033</v>
      </c>
      <c r="O57" s="526">
        <f>'Rev&amp;Expense'!$D71*'Function Allocators'!K170</f>
        <v>1077497.1268214604</v>
      </c>
      <c r="P57" s="526">
        <f>'Rev&amp;Expense'!$D71*'Function Allocators'!L170</f>
        <v>164990.67908273908</v>
      </c>
      <c r="Q57" s="526">
        <f>'Rev&amp;Expense'!$D71*'Function Allocators'!M170</f>
        <v>0</v>
      </c>
      <c r="R57" s="526">
        <f>'Rev&amp;Expense'!$D71*'Function Allocators'!N170</f>
        <v>0</v>
      </c>
      <c r="S57" s="526">
        <f>'Rev&amp;Expense'!$D71*'Function Allocators'!O170</f>
        <v>0</v>
      </c>
      <c r="U57" s="361">
        <f>D57-'Rev&amp;Expense'!D71</f>
        <v>0</v>
      </c>
    </row>
    <row r="58" spans="1:21">
      <c r="A58" s="365">
        <f>+A56+1</f>
        <v>7</v>
      </c>
      <c r="B58" s="449">
        <v>930.1</v>
      </c>
      <c r="C58" s="379" t="s">
        <v>184</v>
      </c>
      <c r="D58" s="462">
        <f t="shared" si="15"/>
        <v>13058.158963496957</v>
      </c>
      <c r="E58" s="456">
        <f t="shared" si="16"/>
        <v>3702.1149618700197</v>
      </c>
      <c r="F58" s="456">
        <f t="shared" si="17"/>
        <v>0</v>
      </c>
      <c r="G58" s="456">
        <f t="shared" si="18"/>
        <v>9356.0440016269367</v>
      </c>
      <c r="H58" s="361">
        <f>'Rev&amp;Expense'!$D72*'Function Allocators'!D171</f>
        <v>0</v>
      </c>
      <c r="I58" s="361">
        <f>'Rev&amp;Expense'!$D72*'Function Allocators'!E171</f>
        <v>3394.8210898677344</v>
      </c>
      <c r="J58" s="361">
        <f>'Rev&amp;Expense'!$D72*'Function Allocators'!F171</f>
        <v>240.67426021155623</v>
      </c>
      <c r="K58" s="361">
        <f>'Rev&amp;Expense'!$D72*'Function Allocators'!G171</f>
        <v>66.619611790728896</v>
      </c>
      <c r="L58" s="361">
        <f>'Rev&amp;Expense'!$D72*'Function Allocators'!H171</f>
        <v>0</v>
      </c>
      <c r="M58" s="361">
        <f>'Rev&amp;Expense'!$D72*'Function Allocators'!I171</f>
        <v>0</v>
      </c>
      <c r="N58" s="361">
        <f>'Rev&amp;Expense'!$D72*'Function Allocators'!J171</f>
        <v>7584.3229375895626</v>
      </c>
      <c r="O58" s="361">
        <f>'Rev&amp;Expense'!$D72*'Function Allocators'!K171</f>
        <v>1460.2844888721254</v>
      </c>
      <c r="P58" s="361">
        <f>'Rev&amp;Expense'!$D72*'Function Allocators'!L171</f>
        <v>311.43657516524991</v>
      </c>
      <c r="Q58" s="361">
        <f>'Rev&amp;Expense'!$D72*'Function Allocators'!M171</f>
        <v>0</v>
      </c>
      <c r="R58" s="361">
        <f>'Rev&amp;Expense'!$D72*'Function Allocators'!N171</f>
        <v>0</v>
      </c>
      <c r="S58" s="361">
        <f>'Rev&amp;Expense'!$D72*'Function Allocators'!O171</f>
        <v>0</v>
      </c>
      <c r="U58" s="361">
        <f>D58-'Rev&amp;Expense'!D72</f>
        <v>0</v>
      </c>
    </row>
    <row r="59" spans="1:21">
      <c r="A59" s="365">
        <f>+A57+1</f>
        <v>8</v>
      </c>
      <c r="B59" s="449">
        <v>930.2</v>
      </c>
      <c r="C59" s="379" t="s">
        <v>185</v>
      </c>
      <c r="D59" s="462">
        <f t="shared" si="15"/>
        <v>286652.95</v>
      </c>
      <c r="E59" s="456">
        <f t="shared" si="16"/>
        <v>81268.896942190753</v>
      </c>
      <c r="F59" s="456">
        <f t="shared" si="17"/>
        <v>0</v>
      </c>
      <c r="G59" s="456">
        <f t="shared" si="18"/>
        <v>205384.05305780924</v>
      </c>
      <c r="H59" s="361">
        <f>'Rev&amp;Expense'!$D73*'Function Allocators'!D172</f>
        <v>0</v>
      </c>
      <c r="I59" s="361">
        <f>'Rev&amp;Expense'!$D73*'Function Allocators'!E172</f>
        <v>74523.176111818204</v>
      </c>
      <c r="J59" s="361">
        <f>'Rev&amp;Expense'!$D73*'Function Allocators'!F172</f>
        <v>5283.2858653020094</v>
      </c>
      <c r="K59" s="361">
        <f>'Rev&amp;Expense'!$D73*'Function Allocators'!G172</f>
        <v>1462.4349650705392</v>
      </c>
      <c r="L59" s="361">
        <f>'Rev&amp;Expense'!$D73*'Function Allocators'!H172</f>
        <v>0</v>
      </c>
      <c r="M59" s="361">
        <f>'Rev&amp;Expense'!$D73*'Function Allocators'!I172</f>
        <v>0</v>
      </c>
      <c r="N59" s="361">
        <f>'Rev&amp;Expense'!$D73*'Function Allocators'!J172</f>
        <v>166491.19909553477</v>
      </c>
      <c r="O59" s="361">
        <f>'Rev&amp;Expense'!$D73*'Function Allocators'!K172</f>
        <v>32056.192434522007</v>
      </c>
      <c r="P59" s="361">
        <f>'Rev&amp;Expense'!$D73*'Function Allocators'!L172</f>
        <v>6836.6615277524625</v>
      </c>
      <c r="Q59" s="361">
        <f>'Rev&amp;Expense'!$D73*'Function Allocators'!M172</f>
        <v>0</v>
      </c>
      <c r="R59" s="361">
        <f>'Rev&amp;Expense'!$D73*'Function Allocators'!N172</f>
        <v>0</v>
      </c>
      <c r="S59" s="361">
        <f>'Rev&amp;Expense'!$D73*'Function Allocators'!O172</f>
        <v>0</v>
      </c>
      <c r="U59" s="361">
        <f>D59-'Rev&amp;Expense'!D73</f>
        <v>0</v>
      </c>
    </row>
    <row r="60" spans="1:21">
      <c r="A60" s="365">
        <f t="shared" ref="A60:A97" si="20">+A59+1</f>
        <v>9</v>
      </c>
      <c r="B60" s="385">
        <v>931</v>
      </c>
      <c r="C60" s="379" t="s">
        <v>151</v>
      </c>
      <c r="D60" s="462">
        <f t="shared" si="15"/>
        <v>198635.85</v>
      </c>
      <c r="E60" s="456">
        <f t="shared" si="16"/>
        <v>56315.193765403295</v>
      </c>
      <c r="F60" s="456">
        <f t="shared" si="17"/>
        <v>0</v>
      </c>
      <c r="G60" s="456">
        <f t="shared" si="18"/>
        <v>142320.65623459671</v>
      </c>
      <c r="H60" s="361">
        <f>'Rev&amp;Expense'!$D74*'Function Allocators'!D173</f>
        <v>0</v>
      </c>
      <c r="I60" s="361">
        <f>'Rev&amp;Expense'!$D74*'Function Allocators'!E173</f>
        <v>51640.753851201269</v>
      </c>
      <c r="J60" s="361">
        <f>'Rev&amp;Expense'!$D74*'Function Allocators'!F173</f>
        <v>3661.0471953881874</v>
      </c>
      <c r="K60" s="361">
        <f>'Rev&amp;Expense'!$D74*'Function Allocators'!G173</f>
        <v>1013.3927188138371</v>
      </c>
      <c r="L60" s="361">
        <f>'Rev&amp;Expense'!$D74*'Function Allocators'!H173</f>
        <v>0</v>
      </c>
      <c r="M60" s="361">
        <f>'Rev&amp;Expense'!$D74*'Function Allocators'!I173</f>
        <v>0</v>
      </c>
      <c r="N60" s="361">
        <f>'Rev&amp;Expense'!$D74*'Function Allocators'!J173</f>
        <v>115369.89537299646</v>
      </c>
      <c r="O60" s="361">
        <f>'Rev&amp;Expense'!$D74*'Function Allocators'!K173</f>
        <v>22213.3036900365</v>
      </c>
      <c r="P60" s="361">
        <f>'Rev&amp;Expense'!$D74*'Function Allocators'!L173</f>
        <v>4737.4571715637639</v>
      </c>
      <c r="Q60" s="361">
        <f>'Rev&amp;Expense'!$D74*'Function Allocators'!M173</f>
        <v>0</v>
      </c>
      <c r="R60" s="361">
        <f>'Rev&amp;Expense'!$D74*'Function Allocators'!N173</f>
        <v>0</v>
      </c>
      <c r="S60" s="361">
        <f>'Rev&amp;Expense'!$D74*'Function Allocators'!O173</f>
        <v>0</v>
      </c>
      <c r="U60" s="361">
        <f>D60-'Rev&amp;Expense'!D74</f>
        <v>0</v>
      </c>
    </row>
    <row r="61" spans="1:21">
      <c r="A61" s="365">
        <f t="shared" si="20"/>
        <v>10</v>
      </c>
      <c r="B61" s="385">
        <v>932</v>
      </c>
      <c r="C61" s="379" t="s">
        <v>186</v>
      </c>
      <c r="D61" s="462">
        <f t="shared" si="15"/>
        <v>285.90941458918587</v>
      </c>
      <c r="E61" s="456">
        <f t="shared" si="16"/>
        <v>81.058097427745423</v>
      </c>
      <c r="F61" s="456">
        <f t="shared" si="17"/>
        <v>0</v>
      </c>
      <c r="G61" s="456">
        <f t="shared" si="18"/>
        <v>204.85131716144048</v>
      </c>
      <c r="H61" s="361">
        <f>'Rev&amp;Expense'!$D75*'Function Allocators'!D174</f>
        <v>0</v>
      </c>
      <c r="I61" s="361">
        <f>'Rev&amp;Expense'!$D75*'Function Allocators'!E174</f>
        <v>74.329874000796934</v>
      </c>
      <c r="J61" s="361">
        <f>'Rev&amp;Expense'!$D75*'Function Allocators'!F174</f>
        <v>5.269581802161178</v>
      </c>
      <c r="K61" s="361">
        <f>'Rev&amp;Expense'!$D75*'Function Allocators'!G174</f>
        <v>1.4586416247873062</v>
      </c>
      <c r="L61" s="361">
        <f>'Rev&amp;Expense'!$D75*'Function Allocators'!H174</f>
        <v>0</v>
      </c>
      <c r="M61" s="361">
        <f>'Rev&amp;Expense'!$D75*'Function Allocators'!I174</f>
        <v>0</v>
      </c>
      <c r="N61" s="361">
        <f>'Rev&amp;Expense'!$D75*'Function Allocators'!J174</f>
        <v>166.05934551748356</v>
      </c>
      <c r="O61" s="361">
        <f>'Rev&amp;Expense'!$D75*'Function Allocators'!K174</f>
        <v>31.973043406364656</v>
      </c>
      <c r="P61" s="361">
        <f>'Rev&amp;Expense'!$D75*'Function Allocators'!L174</f>
        <v>6.818928237592238</v>
      </c>
      <c r="Q61" s="361">
        <f>'Rev&amp;Expense'!$D75*'Function Allocators'!M174</f>
        <v>0</v>
      </c>
      <c r="R61" s="361">
        <f>'Rev&amp;Expense'!$D75*'Function Allocators'!N174</f>
        <v>0</v>
      </c>
      <c r="S61" s="361">
        <f>'Rev&amp;Expense'!$D75*'Function Allocators'!O174</f>
        <v>0</v>
      </c>
      <c r="U61" s="361">
        <f>D61-'Rev&amp;Expense'!D75</f>
        <v>0</v>
      </c>
    </row>
    <row r="62" spans="1:21">
      <c r="A62" s="365">
        <f t="shared" si="20"/>
        <v>11</v>
      </c>
      <c r="B62" s="390">
        <v>928</v>
      </c>
      <c r="C62" s="379" t="s">
        <v>187</v>
      </c>
      <c r="D62" s="525">
        <f t="shared" si="15"/>
        <v>249999.99999999994</v>
      </c>
      <c r="E62" s="475">
        <f t="shared" si="16"/>
        <v>70877.429433563084</v>
      </c>
      <c r="F62" s="475">
        <f t="shared" si="17"/>
        <v>0</v>
      </c>
      <c r="G62" s="475">
        <f t="shared" si="18"/>
        <v>179122.57056643686</v>
      </c>
      <c r="H62" s="361">
        <f>'Rev&amp;Expense'!$D76*'Function Allocators'!D175</f>
        <v>0</v>
      </c>
      <c r="I62" s="361">
        <f>'Rev&amp;Expense'!$D76*'Function Allocators'!E175</f>
        <v>64994.251857357645</v>
      </c>
      <c r="J62" s="361">
        <f>'Rev&amp;Expense'!$D76*'Function Allocators'!F175</f>
        <v>4607.7372178639789</v>
      </c>
      <c r="K62" s="361">
        <f>'Rev&amp;Expense'!$D76*'Function Allocators'!G175</f>
        <v>1275.4403583414537</v>
      </c>
      <c r="L62" s="361">
        <f>'Rev&amp;Expense'!$D76*'Function Allocators'!H175</f>
        <v>0</v>
      </c>
      <c r="M62" s="361">
        <f>'Rev&amp;Expense'!$D76*'Function Allocators'!I175</f>
        <v>0</v>
      </c>
      <c r="N62" s="361">
        <f>'Rev&amp;Expense'!$D76*'Function Allocators'!J175</f>
        <v>145202.76094798147</v>
      </c>
      <c r="O62" s="361">
        <f>'Rev&amp;Expense'!$D76*'Function Allocators'!K175</f>
        <v>27957.319499521989</v>
      </c>
      <c r="P62" s="361">
        <f>'Rev&amp;Expense'!$D76*'Function Allocators'!L175</f>
        <v>5962.4901189334196</v>
      </c>
      <c r="Q62" s="361">
        <f>'Rev&amp;Expense'!$D76*'Function Allocators'!M175</f>
        <v>0</v>
      </c>
      <c r="R62" s="361">
        <f>'Rev&amp;Expense'!$D76*'Function Allocators'!N175</f>
        <v>0</v>
      </c>
      <c r="S62" s="361">
        <f>'Rev&amp;Expense'!$D76*'Function Allocators'!O175</f>
        <v>0</v>
      </c>
      <c r="U62" s="361">
        <f>D62-'Rev&amp;Expense'!D76</f>
        <v>0</v>
      </c>
    </row>
    <row r="63" spans="1:21">
      <c r="A63" s="365">
        <f t="shared" si="20"/>
        <v>12</v>
      </c>
      <c r="B63" s="385"/>
      <c r="C63" s="377" t="s">
        <v>285</v>
      </c>
      <c r="D63" s="474">
        <f t="shared" ref="D63:S63" si="21">SUM(D51:D62)</f>
        <v>12154864.34103197</v>
      </c>
      <c r="E63" s="474">
        <f t="shared" si="21"/>
        <v>2696723.5070256302</v>
      </c>
      <c r="F63" s="474">
        <f t="shared" si="21"/>
        <v>24295.985168378807</v>
      </c>
      <c r="G63" s="474">
        <f t="shared" si="21"/>
        <v>9433844.8488379605</v>
      </c>
      <c r="H63" s="474">
        <f t="shared" si="21"/>
        <v>0</v>
      </c>
      <c r="I63" s="474">
        <f t="shared" si="21"/>
        <v>2158120.5388542432</v>
      </c>
      <c r="J63" s="474">
        <f t="shared" si="21"/>
        <v>503027.7217626007</v>
      </c>
      <c r="K63" s="474">
        <f t="shared" si="21"/>
        <v>35575.246408786334</v>
      </c>
      <c r="L63" s="474">
        <f t="shared" si="21"/>
        <v>24295.985168378807</v>
      </c>
      <c r="M63" s="474">
        <f t="shared" si="21"/>
        <v>0</v>
      </c>
      <c r="N63" s="474">
        <f t="shared" si="21"/>
        <v>5162514.3413240314</v>
      </c>
      <c r="O63" s="474">
        <f t="shared" si="21"/>
        <v>3678919.4000767181</v>
      </c>
      <c r="P63" s="474">
        <f t="shared" si="21"/>
        <v>592411.10743721121</v>
      </c>
      <c r="Q63" s="474">
        <f t="shared" si="21"/>
        <v>0</v>
      </c>
      <c r="R63" s="474">
        <f t="shared" si="21"/>
        <v>0</v>
      </c>
      <c r="S63" s="474">
        <f t="shared" si="21"/>
        <v>0</v>
      </c>
      <c r="U63" s="361">
        <f>D63-'Rev&amp;Expense'!D77</f>
        <v>0</v>
      </c>
    </row>
    <row r="64" spans="1:21">
      <c r="A64" s="365">
        <f t="shared" si="20"/>
        <v>13</v>
      </c>
      <c r="B64" s="385"/>
      <c r="C64" s="377"/>
      <c r="D64" s="461"/>
      <c r="E64" s="456"/>
      <c r="F64" s="456"/>
      <c r="G64" s="456"/>
      <c r="H64" s="456"/>
      <c r="I64" s="456"/>
      <c r="J64" s="456"/>
      <c r="K64" s="456"/>
      <c r="L64" s="456"/>
      <c r="M64" s="456"/>
      <c r="N64" s="456"/>
      <c r="O64" s="456"/>
      <c r="P64" s="456"/>
      <c r="Q64" s="456"/>
      <c r="R64" s="456"/>
      <c r="S64" s="456"/>
      <c r="U64" s="361"/>
    </row>
    <row r="65" spans="1:21" ht="17.25" customHeight="1" thickBot="1">
      <c r="A65" s="365">
        <f t="shared" si="20"/>
        <v>14</v>
      </c>
      <c r="B65" s="382"/>
      <c r="C65" s="377" t="s">
        <v>189</v>
      </c>
      <c r="D65" s="524">
        <f t="shared" ref="D65:S65" si="22">+D63+D46+D34+D16+D9</f>
        <v>28962820.550075121</v>
      </c>
      <c r="E65" s="488">
        <f t="shared" si="22"/>
        <v>5193249.6748298053</v>
      </c>
      <c r="F65" s="488">
        <f t="shared" si="22"/>
        <v>256290.8951683788</v>
      </c>
      <c r="G65" s="488">
        <f t="shared" si="22"/>
        <v>23513279.980076939</v>
      </c>
      <c r="H65" s="488">
        <f t="shared" si="22"/>
        <v>0</v>
      </c>
      <c r="I65" s="488">
        <f t="shared" si="22"/>
        <v>3872240.0566836889</v>
      </c>
      <c r="J65" s="488">
        <f t="shared" si="22"/>
        <v>1187495.0372773889</v>
      </c>
      <c r="K65" s="488">
        <f t="shared" si="22"/>
        <v>133514.58086872794</v>
      </c>
      <c r="L65" s="488">
        <f t="shared" si="22"/>
        <v>256290.8951683788</v>
      </c>
      <c r="M65" s="488">
        <f t="shared" si="22"/>
        <v>0</v>
      </c>
      <c r="N65" s="488">
        <f t="shared" si="22"/>
        <v>8949878.8923057504</v>
      </c>
      <c r="O65" s="488">
        <f t="shared" si="22"/>
        <v>6779256.2270740867</v>
      </c>
      <c r="P65" s="488">
        <f t="shared" si="22"/>
        <v>1078970.2076174463</v>
      </c>
      <c r="Q65" s="488">
        <f t="shared" si="22"/>
        <v>108946.5715256031</v>
      </c>
      <c r="R65" s="488">
        <f t="shared" si="22"/>
        <v>5775076.0166293187</v>
      </c>
      <c r="S65" s="488">
        <f t="shared" si="22"/>
        <v>821152.0649247336</v>
      </c>
      <c r="U65" s="361">
        <f>D65-'Rev&amp;Expense'!D79</f>
        <v>0</v>
      </c>
    </row>
    <row r="66" spans="1:21" ht="12" thickTop="1">
      <c r="A66" s="365">
        <f t="shared" si="20"/>
        <v>15</v>
      </c>
      <c r="B66" s="382"/>
      <c r="C66" s="445"/>
      <c r="D66" s="461"/>
      <c r="E66" s="456"/>
      <c r="F66" s="456"/>
      <c r="G66" s="456"/>
      <c r="H66" s="456"/>
      <c r="I66" s="456"/>
      <c r="J66" s="456"/>
      <c r="K66" s="456"/>
      <c r="L66" s="456"/>
      <c r="M66" s="456"/>
      <c r="N66" s="456"/>
      <c r="O66" s="456"/>
      <c r="P66" s="456"/>
      <c r="Q66" s="456"/>
      <c r="R66" s="456"/>
      <c r="S66" s="456"/>
    </row>
    <row r="67" spans="1:21">
      <c r="A67" s="365">
        <f t="shared" si="20"/>
        <v>16</v>
      </c>
      <c r="B67" s="385"/>
      <c r="C67" s="406" t="s">
        <v>190</v>
      </c>
      <c r="D67" s="461"/>
      <c r="E67" s="456"/>
      <c r="F67" s="456"/>
      <c r="G67" s="456"/>
      <c r="H67" s="456"/>
      <c r="I67" s="456"/>
      <c r="J67" s="456"/>
      <c r="K67" s="456"/>
      <c r="L67" s="456"/>
      <c r="M67" s="456"/>
      <c r="N67" s="456"/>
      <c r="O67" s="456"/>
      <c r="P67" s="456"/>
      <c r="Q67" s="456"/>
      <c r="R67" s="456"/>
      <c r="S67" s="456"/>
    </row>
    <row r="68" spans="1:21">
      <c r="A68" s="365">
        <f t="shared" si="20"/>
        <v>17</v>
      </c>
      <c r="B68" s="385"/>
      <c r="C68" s="377" t="s">
        <v>191</v>
      </c>
      <c r="D68" s="462"/>
      <c r="E68" s="456"/>
      <c r="F68" s="456"/>
      <c r="G68" s="456"/>
      <c r="H68" s="456"/>
      <c r="I68" s="456"/>
      <c r="J68" s="456"/>
      <c r="K68" s="456"/>
      <c r="L68" s="456"/>
      <c r="M68" s="456"/>
      <c r="N68" s="456"/>
      <c r="O68" s="456"/>
      <c r="P68" s="456"/>
      <c r="Q68" s="456"/>
      <c r="R68" s="456"/>
      <c r="S68" s="456"/>
    </row>
    <row r="69" spans="1:21">
      <c r="A69" s="365">
        <f t="shared" si="20"/>
        <v>18</v>
      </c>
      <c r="B69" s="385">
        <v>302</v>
      </c>
      <c r="C69" s="379" t="s">
        <v>192</v>
      </c>
      <c r="D69" s="521">
        <f>SUM(E69:G69)</f>
        <v>13995.4</v>
      </c>
      <c r="E69" s="361">
        <f>SUM(H69:K69)</f>
        <v>3967.831903577955</v>
      </c>
      <c r="F69" s="361">
        <f>SUM(L69:M69)</f>
        <v>0</v>
      </c>
      <c r="G69" s="361">
        <f>SUM(N69:S69)</f>
        <v>10027.568096422045</v>
      </c>
      <c r="H69" s="361">
        <f>'Rev&amp;Expense'!$D83*'Function Allocators'!D180</f>
        <v>0</v>
      </c>
      <c r="I69" s="361">
        <f>'Rev&amp;Expense'!$D83*'Function Allocators'!E180</f>
        <v>3638.4822097778533</v>
      </c>
      <c r="J69" s="361">
        <f>'Rev&amp;Expense'!$D83*'Function Allocators'!F180</f>
        <v>257.94850183557418</v>
      </c>
      <c r="K69" s="361">
        <f>'Rev&amp;Expense'!$D83*'Function Allocators'!G180</f>
        <v>71.401191964527925</v>
      </c>
      <c r="L69" s="361">
        <f>'Rev&amp;Expense'!$D83*'Function Allocators'!H180</f>
        <v>0</v>
      </c>
      <c r="M69" s="361">
        <f>'Rev&amp;Expense'!$D83*'Function Allocators'!I180</f>
        <v>0</v>
      </c>
      <c r="N69" s="361">
        <f>'Rev&amp;Expense'!$D83*'Function Allocators'!J180</f>
        <v>8128.6828822855214</v>
      </c>
      <c r="O69" s="361">
        <f>'Rev&amp;Expense'!$D83*'Function Allocators'!K180</f>
        <v>1565.0954772944403</v>
      </c>
      <c r="P69" s="361">
        <f>'Rev&amp;Expense'!$D83*'Function Allocators'!L180</f>
        <v>333.78973684208313</v>
      </c>
      <c r="Q69" s="361">
        <f>'Rev&amp;Expense'!$D83*'Function Allocators'!M180</f>
        <v>0</v>
      </c>
      <c r="R69" s="361">
        <f>'Rev&amp;Expense'!$D83*'Function Allocators'!N180</f>
        <v>0</v>
      </c>
      <c r="S69" s="361">
        <f>'Rev&amp;Expense'!$D83*'Function Allocators'!O180</f>
        <v>0</v>
      </c>
      <c r="U69" s="361">
        <f>D69-'Rev&amp;Expense'!D83</f>
        <v>0</v>
      </c>
    </row>
    <row r="70" spans="1:21">
      <c r="A70" s="365">
        <f t="shared" si="20"/>
        <v>19</v>
      </c>
      <c r="B70" s="385">
        <v>303</v>
      </c>
      <c r="C70" s="379" t="s">
        <v>193</v>
      </c>
      <c r="D70" s="462">
        <f>SUM(E70:G70)</f>
        <v>295305.65337800002</v>
      </c>
      <c r="E70" s="456">
        <f>SUM(H70:K70)</f>
        <v>83722.022434525745</v>
      </c>
      <c r="F70" s="456">
        <f>SUM(L70:M70)</f>
        <v>0</v>
      </c>
      <c r="G70" s="456">
        <f>SUM(N70:S70)</f>
        <v>211583.63094347424</v>
      </c>
      <c r="H70" s="361">
        <f>'Rev&amp;Expense'!$D84*'Function Allocators'!D181</f>
        <v>0</v>
      </c>
      <c r="I70" s="361">
        <f>'Rev&amp;Expense'!$D84*'Function Allocators'!E181</f>
        <v>76772.68004220516</v>
      </c>
      <c r="J70" s="361">
        <f>'Rev&amp;Expense'!$D84*'Function Allocators'!F181</f>
        <v>5442.7633988618018</v>
      </c>
      <c r="K70" s="361">
        <f>'Rev&amp;Expense'!$D84*'Function Allocators'!G181</f>
        <v>1506.5789934587738</v>
      </c>
      <c r="L70" s="361">
        <f>'Rev&amp;Expense'!$D84*'Function Allocators'!H181</f>
        <v>0</v>
      </c>
      <c r="M70" s="361">
        <f>'Rev&amp;Expense'!$D84*'Function Allocators'!I181</f>
        <v>0</v>
      </c>
      <c r="N70" s="361">
        <f>'Rev&amp;Expense'!$D84*'Function Allocators'!J181</f>
        <v>171516.78477613287</v>
      </c>
      <c r="O70" s="361">
        <f>'Rev&amp;Expense'!$D84*'Function Allocators'!K181</f>
        <v>33023.818006015361</v>
      </c>
      <c r="P70" s="361">
        <f>'Rev&amp;Expense'!$D84*'Function Allocators'!L181</f>
        <v>7043.0281613260104</v>
      </c>
      <c r="Q70" s="361">
        <f>'Rev&amp;Expense'!$D84*'Function Allocators'!M181</f>
        <v>0</v>
      </c>
      <c r="R70" s="361">
        <f>'Rev&amp;Expense'!$D84*'Function Allocators'!N181</f>
        <v>0</v>
      </c>
      <c r="S70" s="361">
        <f>'Rev&amp;Expense'!$D84*'Function Allocators'!O181</f>
        <v>0</v>
      </c>
      <c r="U70" s="361">
        <f>D70-'Rev&amp;Expense'!D84</f>
        <v>0</v>
      </c>
    </row>
    <row r="71" spans="1:21">
      <c r="A71" s="365">
        <f t="shared" si="20"/>
        <v>20</v>
      </c>
      <c r="B71" s="374"/>
      <c r="C71" s="379" t="s">
        <v>194</v>
      </c>
      <c r="D71" s="462">
        <f>SUM(E71:G71)</f>
        <v>3063435.4499999997</v>
      </c>
      <c r="E71" s="456">
        <f>SUM(H71:K71)</f>
        <v>868513.7197266022</v>
      </c>
      <c r="F71" s="456">
        <f>SUM(L71:M71)</f>
        <v>0</v>
      </c>
      <c r="G71" s="456">
        <f>SUM(N71:S71)</f>
        <v>2194921.7302733976</v>
      </c>
      <c r="H71" s="361">
        <f>'Rev&amp;Expense'!$D85*'Function Allocators'!D182</f>
        <v>0</v>
      </c>
      <c r="I71" s="361">
        <f>'Rev&amp;Expense'!$D85*'Function Allocators'!E182</f>
        <v>796422.78074423107</v>
      </c>
      <c r="J71" s="361">
        <f>'Rev&amp;Expense'!$D85*'Function Allocators'!F182</f>
        <v>56462.022149955556</v>
      </c>
      <c r="K71" s="361">
        <f>'Rev&amp;Expense'!$D85*'Function Allocators'!G182</f>
        <v>15628.916832415649</v>
      </c>
      <c r="L71" s="361">
        <f>'Rev&amp;Expense'!$D85*'Function Allocators'!H182</f>
        <v>0</v>
      </c>
      <c r="M71" s="361">
        <f>'Rev&amp;Expense'!$D85*'Function Allocators'!I182</f>
        <v>0</v>
      </c>
      <c r="N71" s="361">
        <f>'Rev&amp;Expense'!$D85*'Function Allocators'!J182</f>
        <v>1779277.1413036885</v>
      </c>
      <c r="O71" s="361">
        <f>'Rev&amp;Expense'!$D85*'Function Allocators'!K182</f>
        <v>342581.77456724766</v>
      </c>
      <c r="P71" s="361">
        <f>'Rev&amp;Expense'!$D85*'Function Allocators'!L182</f>
        <v>73062.814402461416</v>
      </c>
      <c r="Q71" s="361">
        <f>'Rev&amp;Expense'!$D85*'Function Allocators'!M182</f>
        <v>0</v>
      </c>
      <c r="R71" s="361">
        <f>'Rev&amp;Expense'!$D85*'Function Allocators'!N182</f>
        <v>0</v>
      </c>
      <c r="S71" s="361">
        <f>'Rev&amp;Expense'!$D85*'Function Allocators'!O182</f>
        <v>0</v>
      </c>
      <c r="U71" s="361">
        <f>D71-'Rev&amp;Expense'!D85</f>
        <v>0</v>
      </c>
    </row>
    <row r="72" spans="1:21" ht="12" thickBot="1">
      <c r="A72" s="365">
        <f t="shared" si="20"/>
        <v>21</v>
      </c>
      <c r="B72" s="385"/>
      <c r="C72" s="377" t="s">
        <v>195</v>
      </c>
      <c r="D72" s="524">
        <f t="shared" ref="D72:S72" si="23">SUM(D69:D71)</f>
        <v>3372736.5033779996</v>
      </c>
      <c r="E72" s="524">
        <f t="shared" si="23"/>
        <v>956203.57406470587</v>
      </c>
      <c r="F72" s="524">
        <f t="shared" si="23"/>
        <v>0</v>
      </c>
      <c r="G72" s="524">
        <f t="shared" si="23"/>
        <v>2416532.9293132941</v>
      </c>
      <c r="H72" s="524">
        <f t="shared" si="23"/>
        <v>0</v>
      </c>
      <c r="I72" s="524">
        <f t="shared" si="23"/>
        <v>876833.94299621414</v>
      </c>
      <c r="J72" s="524">
        <f t="shared" si="23"/>
        <v>62162.734050652929</v>
      </c>
      <c r="K72" s="524">
        <f t="shared" si="23"/>
        <v>17206.89701783895</v>
      </c>
      <c r="L72" s="524">
        <f t="shared" si="23"/>
        <v>0</v>
      </c>
      <c r="M72" s="524">
        <f t="shared" si="23"/>
        <v>0</v>
      </c>
      <c r="N72" s="524">
        <f t="shared" si="23"/>
        <v>1958922.608962107</v>
      </c>
      <c r="O72" s="524">
        <f t="shared" si="23"/>
        <v>377170.68805055745</v>
      </c>
      <c r="P72" s="524">
        <f t="shared" si="23"/>
        <v>80439.632300629513</v>
      </c>
      <c r="Q72" s="524">
        <f t="shared" si="23"/>
        <v>0</v>
      </c>
      <c r="R72" s="524">
        <f t="shared" si="23"/>
        <v>0</v>
      </c>
      <c r="S72" s="524">
        <f t="shared" si="23"/>
        <v>0</v>
      </c>
      <c r="U72" s="361">
        <f>D72-'Rev&amp;Expense'!D86</f>
        <v>0</v>
      </c>
    </row>
    <row r="73" spans="1:21" ht="12" thickTop="1">
      <c r="A73" s="365">
        <f t="shared" si="20"/>
        <v>22</v>
      </c>
      <c r="B73" s="385"/>
      <c r="C73" s="377"/>
      <c r="D73" s="474"/>
      <c r="E73" s="474"/>
      <c r="F73" s="474"/>
      <c r="G73" s="474"/>
      <c r="H73" s="474"/>
      <c r="I73" s="474"/>
      <c r="J73" s="474"/>
      <c r="K73" s="474"/>
      <c r="L73" s="474"/>
      <c r="M73" s="474"/>
      <c r="N73" s="474"/>
      <c r="O73" s="474"/>
      <c r="P73" s="474"/>
      <c r="Q73" s="474"/>
      <c r="R73" s="474"/>
      <c r="S73" s="474"/>
    </row>
    <row r="74" spans="1:21">
      <c r="A74" s="365">
        <f t="shared" si="20"/>
        <v>23</v>
      </c>
      <c r="B74" s="385"/>
      <c r="C74" s="377" t="s">
        <v>286</v>
      </c>
      <c r="E74" s="456"/>
      <c r="F74" s="456"/>
      <c r="G74" s="456"/>
      <c r="H74" s="456"/>
      <c r="I74" s="456"/>
      <c r="J74" s="456"/>
      <c r="K74" s="456"/>
      <c r="L74" s="456"/>
      <c r="M74" s="456"/>
      <c r="N74" s="456"/>
      <c r="O74" s="456"/>
      <c r="P74" s="456"/>
      <c r="Q74" s="456"/>
      <c r="R74" s="456"/>
      <c r="S74" s="456"/>
    </row>
    <row r="75" spans="1:21">
      <c r="A75" s="365">
        <f t="shared" si="20"/>
        <v>24</v>
      </c>
      <c r="B75" s="385">
        <v>365</v>
      </c>
      <c r="C75" s="379" t="s">
        <v>81</v>
      </c>
      <c r="D75" s="521">
        <f>SUM(E75:G75)</f>
        <v>968.71999999999991</v>
      </c>
      <c r="E75" s="361">
        <f>SUM(H75:K75)</f>
        <v>968.71999999999991</v>
      </c>
      <c r="F75" s="361">
        <f>SUM(L75:M75)</f>
        <v>0</v>
      </c>
      <c r="G75" s="361">
        <f>SUM(N75:S75)</f>
        <v>0</v>
      </c>
      <c r="H75" s="361">
        <f>'Rev&amp;Expense'!$D89*'Function Allocators'!D186</f>
        <v>0</v>
      </c>
      <c r="I75" s="361">
        <f>'Rev&amp;Expense'!$D89*'Function Allocators'!E186</f>
        <v>968.71999999999991</v>
      </c>
      <c r="J75" s="361">
        <f>'Rev&amp;Expense'!$D89*'Function Allocators'!F186</f>
        <v>0</v>
      </c>
      <c r="K75" s="361">
        <f>'Rev&amp;Expense'!$D89*'Function Allocators'!G186</f>
        <v>0</v>
      </c>
      <c r="L75" s="361">
        <f>'Rev&amp;Expense'!$D89*'Function Allocators'!H186</f>
        <v>0</v>
      </c>
      <c r="M75" s="361">
        <f>'Rev&amp;Expense'!$D89*'Function Allocators'!I186</f>
        <v>0</v>
      </c>
      <c r="N75" s="361">
        <f>'Rev&amp;Expense'!$D89*'Function Allocators'!J186</f>
        <v>0</v>
      </c>
      <c r="O75" s="361">
        <f>'Rev&amp;Expense'!$D89*'Function Allocators'!K186</f>
        <v>0</v>
      </c>
      <c r="P75" s="361">
        <f>'Rev&amp;Expense'!$D89*'Function Allocators'!L186</f>
        <v>0</v>
      </c>
      <c r="Q75" s="361">
        <f>'Rev&amp;Expense'!$D89*'Function Allocators'!M186</f>
        <v>0</v>
      </c>
      <c r="R75" s="361">
        <f>'Rev&amp;Expense'!$D89*'Function Allocators'!N186</f>
        <v>0</v>
      </c>
      <c r="S75" s="361">
        <f>'Rev&amp;Expense'!$D89*'Function Allocators'!O186</f>
        <v>0</v>
      </c>
      <c r="U75" s="361">
        <f>D75-'Rev&amp;Expense'!D89</f>
        <v>0</v>
      </c>
    </row>
    <row r="76" spans="1:21">
      <c r="A76" s="365">
        <f t="shared" si="20"/>
        <v>25</v>
      </c>
      <c r="B76" s="390">
        <v>366</v>
      </c>
      <c r="C76" s="379" t="s">
        <v>82</v>
      </c>
      <c r="D76" s="457">
        <f>SUM(E76:G76)</f>
        <v>261.12</v>
      </c>
      <c r="E76" s="456">
        <f>SUM(H76:K76)</f>
        <v>261.12</v>
      </c>
      <c r="F76" s="456">
        <f>SUM(L76:M76)</f>
        <v>0</v>
      </c>
      <c r="G76" s="456">
        <f>SUM(N76:S76)</f>
        <v>0</v>
      </c>
      <c r="H76" s="361">
        <f>'Rev&amp;Expense'!$D90*'Function Allocators'!D187</f>
        <v>0</v>
      </c>
      <c r="I76" s="361">
        <f>'Rev&amp;Expense'!$D90*'Function Allocators'!E187</f>
        <v>261.12</v>
      </c>
      <c r="J76" s="361">
        <f>'Rev&amp;Expense'!$D90*'Function Allocators'!F187</f>
        <v>0</v>
      </c>
      <c r="K76" s="361">
        <f>'Rev&amp;Expense'!$D90*'Function Allocators'!G187</f>
        <v>0</v>
      </c>
      <c r="L76" s="361">
        <f>'Rev&amp;Expense'!$D90*'Function Allocators'!H187</f>
        <v>0</v>
      </c>
      <c r="M76" s="361">
        <f>'Rev&amp;Expense'!$D90*'Function Allocators'!I187</f>
        <v>0</v>
      </c>
      <c r="N76" s="361">
        <f>'Rev&amp;Expense'!$D90*'Function Allocators'!J187</f>
        <v>0</v>
      </c>
      <c r="O76" s="361">
        <f>'Rev&amp;Expense'!$D90*'Function Allocators'!K187</f>
        <v>0</v>
      </c>
      <c r="P76" s="361">
        <f>'Rev&amp;Expense'!$D90*'Function Allocators'!L187</f>
        <v>0</v>
      </c>
      <c r="Q76" s="361">
        <f>'Rev&amp;Expense'!$D90*'Function Allocators'!M187</f>
        <v>0</v>
      </c>
      <c r="R76" s="361">
        <f>'Rev&amp;Expense'!$D90*'Function Allocators'!N187</f>
        <v>0</v>
      </c>
      <c r="S76" s="361">
        <f>'Rev&amp;Expense'!$D90*'Function Allocators'!O187</f>
        <v>0</v>
      </c>
      <c r="U76" s="361">
        <f>D76-'Rev&amp;Expense'!D90</f>
        <v>0</v>
      </c>
    </row>
    <row r="77" spans="1:21">
      <c r="A77" s="365">
        <f t="shared" si="20"/>
        <v>26</v>
      </c>
      <c r="B77" s="385">
        <v>367</v>
      </c>
      <c r="C77" s="379" t="s">
        <v>287</v>
      </c>
      <c r="D77" s="457">
        <f>SUM(E77:G77)</f>
        <v>220894.52000000002</v>
      </c>
      <c r="E77" s="456">
        <f>SUM(H77:K77)</f>
        <v>220894.52000000002</v>
      </c>
      <c r="F77" s="456">
        <f>SUM(L77:M77)</f>
        <v>0</v>
      </c>
      <c r="G77" s="456">
        <f>SUM(N77:S77)</f>
        <v>0</v>
      </c>
      <c r="H77" s="361">
        <f>'Rev&amp;Expense'!$D91*'Function Allocators'!D188</f>
        <v>0</v>
      </c>
      <c r="I77" s="361">
        <f>'Rev&amp;Expense'!$D91*'Function Allocators'!E188</f>
        <v>220894.52000000002</v>
      </c>
      <c r="J77" s="361">
        <f>'Rev&amp;Expense'!$D91*'Function Allocators'!F188</f>
        <v>0</v>
      </c>
      <c r="K77" s="361">
        <f>'Rev&amp;Expense'!$D91*'Function Allocators'!G188</f>
        <v>0</v>
      </c>
      <c r="L77" s="361">
        <f>'Rev&amp;Expense'!$D91*'Function Allocators'!H188</f>
        <v>0</v>
      </c>
      <c r="M77" s="361">
        <f>'Rev&amp;Expense'!$D91*'Function Allocators'!I188</f>
        <v>0</v>
      </c>
      <c r="N77" s="361">
        <f>'Rev&amp;Expense'!$D91*'Function Allocators'!J188</f>
        <v>0</v>
      </c>
      <c r="O77" s="361">
        <f>'Rev&amp;Expense'!$D91*'Function Allocators'!K188</f>
        <v>0</v>
      </c>
      <c r="P77" s="361">
        <f>'Rev&amp;Expense'!$D91*'Function Allocators'!L188</f>
        <v>0</v>
      </c>
      <c r="Q77" s="361">
        <f>'Rev&amp;Expense'!$D91*'Function Allocators'!M188</f>
        <v>0</v>
      </c>
      <c r="R77" s="361">
        <f>'Rev&amp;Expense'!$D91*'Function Allocators'!N188</f>
        <v>0</v>
      </c>
      <c r="S77" s="361">
        <f>'Rev&amp;Expense'!$D91*'Function Allocators'!O188</f>
        <v>0</v>
      </c>
      <c r="U77" s="361">
        <f>D77-'Rev&amp;Expense'!D91</f>
        <v>0</v>
      </c>
    </row>
    <row r="78" spans="1:21">
      <c r="A78" s="365">
        <f t="shared" si="20"/>
        <v>27</v>
      </c>
      <c r="B78" s="385">
        <v>369</v>
      </c>
      <c r="C78" s="379" t="s">
        <v>242</v>
      </c>
      <c r="D78" s="457">
        <f>SUM(E78:G78)</f>
        <v>10337.120000000003</v>
      </c>
      <c r="E78" s="456">
        <f>SUM(H78:K78)</f>
        <v>10337.120000000003</v>
      </c>
      <c r="F78" s="456">
        <f>SUM(L78:M78)</f>
        <v>0</v>
      </c>
      <c r="G78" s="456">
        <f>SUM(N78:S78)</f>
        <v>0</v>
      </c>
      <c r="H78" s="361">
        <f>'Rev&amp;Expense'!$D92*'Function Allocators'!D189</f>
        <v>0</v>
      </c>
      <c r="I78" s="361">
        <f>'Rev&amp;Expense'!$D92*'Function Allocators'!E189</f>
        <v>10337.120000000003</v>
      </c>
      <c r="J78" s="361">
        <f>'Rev&amp;Expense'!$D92*'Function Allocators'!F189</f>
        <v>0</v>
      </c>
      <c r="K78" s="361">
        <f>'Rev&amp;Expense'!$D92*'Function Allocators'!G189</f>
        <v>0</v>
      </c>
      <c r="L78" s="361">
        <f>'Rev&amp;Expense'!$D92*'Function Allocators'!H189</f>
        <v>0</v>
      </c>
      <c r="M78" s="361">
        <f>'Rev&amp;Expense'!$D92*'Function Allocators'!I189</f>
        <v>0</v>
      </c>
      <c r="N78" s="361">
        <f>'Rev&amp;Expense'!$D92*'Function Allocators'!J189</f>
        <v>0</v>
      </c>
      <c r="O78" s="361">
        <f>'Rev&amp;Expense'!$D92*'Function Allocators'!K189</f>
        <v>0</v>
      </c>
      <c r="P78" s="361">
        <f>'Rev&amp;Expense'!$D92*'Function Allocators'!L189</f>
        <v>0</v>
      </c>
      <c r="Q78" s="361">
        <f>'Rev&amp;Expense'!$D92*'Function Allocators'!M189</f>
        <v>0</v>
      </c>
      <c r="R78" s="361">
        <f>'Rev&amp;Expense'!$D92*'Function Allocators'!N189</f>
        <v>0</v>
      </c>
      <c r="S78" s="361">
        <f>'Rev&amp;Expense'!$D92*'Function Allocators'!O189</f>
        <v>0</v>
      </c>
      <c r="U78" s="361">
        <f>D78-'Rev&amp;Expense'!D92</f>
        <v>0</v>
      </c>
    </row>
    <row r="79" spans="1:21">
      <c r="A79" s="365">
        <f t="shared" si="20"/>
        <v>28</v>
      </c>
      <c r="B79" s="385">
        <v>371</v>
      </c>
      <c r="C79" s="379" t="s">
        <v>98</v>
      </c>
      <c r="D79" s="476">
        <f>SUM(E79:G79)</f>
        <v>0.15999999999985448</v>
      </c>
      <c r="E79" s="475">
        <f>SUM(H79:K79)</f>
        <v>0.15999999999985448</v>
      </c>
      <c r="F79" s="475">
        <f>SUM(L79:M79)</f>
        <v>0</v>
      </c>
      <c r="G79" s="475">
        <f>SUM(N79:S79)</f>
        <v>0</v>
      </c>
      <c r="H79" s="361">
        <f>'Rev&amp;Expense'!$D93*'Function Allocators'!D190</f>
        <v>0</v>
      </c>
      <c r="I79" s="361">
        <f>'Rev&amp;Expense'!$D93*'Function Allocators'!E190</f>
        <v>0.15999999999985448</v>
      </c>
      <c r="J79" s="361">
        <f>'Rev&amp;Expense'!$D93*'Function Allocators'!F190</f>
        <v>0</v>
      </c>
      <c r="K79" s="361">
        <f>'Rev&amp;Expense'!$D93*'Function Allocators'!G190</f>
        <v>0</v>
      </c>
      <c r="L79" s="361">
        <f>'Rev&amp;Expense'!$D93*'Function Allocators'!H190</f>
        <v>0</v>
      </c>
      <c r="M79" s="361">
        <f>'Rev&amp;Expense'!$D93*'Function Allocators'!I190</f>
        <v>0</v>
      </c>
      <c r="N79" s="361">
        <f>'Rev&amp;Expense'!$D93*'Function Allocators'!J190</f>
        <v>0</v>
      </c>
      <c r="O79" s="361">
        <f>'Rev&amp;Expense'!$D93*'Function Allocators'!K190</f>
        <v>0</v>
      </c>
      <c r="P79" s="361">
        <f>'Rev&amp;Expense'!$D93*'Function Allocators'!L190</f>
        <v>0</v>
      </c>
      <c r="Q79" s="361">
        <f>'Rev&amp;Expense'!$D93*'Function Allocators'!M190</f>
        <v>0</v>
      </c>
      <c r="R79" s="361">
        <f>'Rev&amp;Expense'!$D93*'Function Allocators'!N190</f>
        <v>0</v>
      </c>
      <c r="S79" s="361">
        <f>'Rev&amp;Expense'!$D93*'Function Allocators'!O190</f>
        <v>0</v>
      </c>
      <c r="U79" s="361">
        <f>D79-'Rev&amp;Expense'!D93</f>
        <v>0</v>
      </c>
    </row>
    <row r="80" spans="1:21">
      <c r="A80" s="365">
        <f t="shared" si="20"/>
        <v>29</v>
      </c>
      <c r="B80" s="385"/>
      <c r="C80" s="377" t="s">
        <v>196</v>
      </c>
      <c r="D80" s="474">
        <f t="shared" ref="D80:S80" si="24">SUM(D75:D79)</f>
        <v>232461.64</v>
      </c>
      <c r="E80" s="474">
        <f t="shared" si="24"/>
        <v>232461.64</v>
      </c>
      <c r="F80" s="474">
        <f t="shared" si="24"/>
        <v>0</v>
      </c>
      <c r="G80" s="474">
        <f t="shared" si="24"/>
        <v>0</v>
      </c>
      <c r="H80" s="474">
        <f t="shared" si="24"/>
        <v>0</v>
      </c>
      <c r="I80" s="474">
        <f t="shared" si="24"/>
        <v>232461.64</v>
      </c>
      <c r="J80" s="474">
        <f t="shared" si="24"/>
        <v>0</v>
      </c>
      <c r="K80" s="474">
        <f t="shared" si="24"/>
        <v>0</v>
      </c>
      <c r="L80" s="474">
        <f t="shared" si="24"/>
        <v>0</v>
      </c>
      <c r="M80" s="474">
        <f t="shared" si="24"/>
        <v>0</v>
      </c>
      <c r="N80" s="474">
        <f t="shared" si="24"/>
        <v>0</v>
      </c>
      <c r="O80" s="474">
        <f t="shared" si="24"/>
        <v>0</v>
      </c>
      <c r="P80" s="474">
        <f t="shared" si="24"/>
        <v>0</v>
      </c>
      <c r="Q80" s="474">
        <f t="shared" si="24"/>
        <v>0</v>
      </c>
      <c r="R80" s="474">
        <f t="shared" si="24"/>
        <v>0</v>
      </c>
      <c r="S80" s="474">
        <f t="shared" si="24"/>
        <v>0</v>
      </c>
      <c r="U80" s="361">
        <f>D80-'Rev&amp;Expense'!D94</f>
        <v>0</v>
      </c>
    </row>
    <row r="81" spans="1:21">
      <c r="A81" s="365">
        <f t="shared" si="20"/>
        <v>30</v>
      </c>
      <c r="B81" s="385"/>
      <c r="C81" s="377"/>
      <c r="E81" s="456"/>
      <c r="F81" s="456"/>
      <c r="G81" s="456"/>
      <c r="H81" s="456"/>
      <c r="I81" s="456"/>
      <c r="J81" s="456"/>
      <c r="K81" s="456"/>
      <c r="L81" s="456"/>
      <c r="M81" s="456"/>
      <c r="N81" s="456"/>
      <c r="O81" s="456"/>
      <c r="P81" s="456"/>
      <c r="Q81" s="456"/>
      <c r="R81" s="456"/>
      <c r="S81" s="456"/>
    </row>
    <row r="82" spans="1:21">
      <c r="A82" s="365">
        <f t="shared" si="20"/>
        <v>31</v>
      </c>
      <c r="B82" s="385"/>
      <c r="C82" s="377" t="s">
        <v>197</v>
      </c>
      <c r="E82" s="456"/>
      <c r="F82" s="456"/>
      <c r="G82" s="456"/>
      <c r="H82" s="456"/>
      <c r="I82" s="456"/>
      <c r="J82" s="456"/>
      <c r="K82" s="456"/>
      <c r="L82" s="456"/>
      <c r="M82" s="456"/>
      <c r="N82" s="456"/>
      <c r="O82" s="456"/>
      <c r="P82" s="456"/>
      <c r="Q82" s="456"/>
      <c r="R82" s="456"/>
      <c r="S82" s="456"/>
    </row>
    <row r="83" spans="1:21">
      <c r="A83" s="365">
        <f t="shared" si="20"/>
        <v>32</v>
      </c>
      <c r="B83" s="385">
        <v>374</v>
      </c>
      <c r="C83" s="379" t="s">
        <v>81</v>
      </c>
      <c r="D83" s="521">
        <f t="shared" ref="D83:D94" si="25">SUM(E83:G83)</f>
        <v>6380.1344680000002</v>
      </c>
      <c r="E83" s="361">
        <f t="shared" ref="E83:E94" si="26">SUM(H83:K83)</f>
        <v>6380.1344680000002</v>
      </c>
      <c r="F83" s="361">
        <f t="shared" ref="F83:F94" si="27">SUM(L83:M83)</f>
        <v>0</v>
      </c>
      <c r="G83" s="361">
        <f t="shared" ref="G83:G94" si="28">SUM(N83:S83)</f>
        <v>0</v>
      </c>
      <c r="H83" s="361">
        <f>'Rev&amp;Expense'!$D97*'Function Allocators'!D194</f>
        <v>0</v>
      </c>
      <c r="I83" s="361">
        <f>'Rev&amp;Expense'!$D97*'Function Allocators'!E194</f>
        <v>0</v>
      </c>
      <c r="J83" s="361">
        <f>'Rev&amp;Expense'!$D97*'Function Allocators'!F194</f>
        <v>0</v>
      </c>
      <c r="K83" s="361">
        <f>'Rev&amp;Expense'!$D97*'Function Allocators'!G194</f>
        <v>6380.1344680000002</v>
      </c>
      <c r="L83" s="361">
        <f>'Rev&amp;Expense'!$D97*'Function Allocators'!H194</f>
        <v>0</v>
      </c>
      <c r="M83" s="361">
        <f>'Rev&amp;Expense'!$D97*'Function Allocators'!I194</f>
        <v>0</v>
      </c>
      <c r="N83" s="361">
        <f>'Rev&amp;Expense'!$D97*'Function Allocators'!J194</f>
        <v>0</v>
      </c>
      <c r="O83" s="361">
        <f>'Rev&amp;Expense'!$D97*'Function Allocators'!K194</f>
        <v>0</v>
      </c>
      <c r="P83" s="361">
        <f>'Rev&amp;Expense'!$D97*'Function Allocators'!L194</f>
        <v>0</v>
      </c>
      <c r="Q83" s="361">
        <f>'Rev&amp;Expense'!$D97*'Function Allocators'!M194</f>
        <v>0</v>
      </c>
      <c r="R83" s="361">
        <f>'Rev&amp;Expense'!$D97*'Function Allocators'!N194</f>
        <v>0</v>
      </c>
      <c r="S83" s="361">
        <f>'Rev&amp;Expense'!$D97*'Function Allocators'!O194</f>
        <v>0</v>
      </c>
      <c r="U83" s="361">
        <f>D83-'Rev&amp;Expense'!D97</f>
        <v>0</v>
      </c>
    </row>
    <row r="84" spans="1:21">
      <c r="A84" s="365">
        <f t="shared" si="20"/>
        <v>33</v>
      </c>
      <c r="B84" s="390">
        <v>375</v>
      </c>
      <c r="C84" s="379" t="s">
        <v>82</v>
      </c>
      <c r="D84" s="457">
        <f t="shared" si="25"/>
        <v>4313.3799999999992</v>
      </c>
      <c r="E84" s="456">
        <f t="shared" si="26"/>
        <v>4313.3799999999992</v>
      </c>
      <c r="F84" s="456">
        <f t="shared" si="27"/>
        <v>0</v>
      </c>
      <c r="G84" s="456">
        <f t="shared" si="28"/>
        <v>0</v>
      </c>
      <c r="H84" s="361">
        <f>'Rev&amp;Expense'!$D98*'Function Allocators'!D195</f>
        <v>0</v>
      </c>
      <c r="I84" s="361">
        <f>'Rev&amp;Expense'!$D98*'Function Allocators'!E195</f>
        <v>0</v>
      </c>
      <c r="J84" s="361">
        <f>'Rev&amp;Expense'!$D98*'Function Allocators'!F195</f>
        <v>0</v>
      </c>
      <c r="K84" s="361">
        <f>'Rev&amp;Expense'!$D98*'Function Allocators'!G195</f>
        <v>4313.3799999999992</v>
      </c>
      <c r="L84" s="361">
        <f>'Rev&amp;Expense'!$D98*'Function Allocators'!H195</f>
        <v>0</v>
      </c>
      <c r="M84" s="361">
        <f>'Rev&amp;Expense'!$D98*'Function Allocators'!I195</f>
        <v>0</v>
      </c>
      <c r="N84" s="361">
        <f>'Rev&amp;Expense'!$D98*'Function Allocators'!J195</f>
        <v>0</v>
      </c>
      <c r="O84" s="361">
        <f>'Rev&amp;Expense'!$D98*'Function Allocators'!K195</f>
        <v>0</v>
      </c>
      <c r="P84" s="361">
        <f>'Rev&amp;Expense'!$D98*'Function Allocators'!L195</f>
        <v>0</v>
      </c>
      <c r="Q84" s="361">
        <f>'Rev&amp;Expense'!$D98*'Function Allocators'!M195</f>
        <v>0</v>
      </c>
      <c r="R84" s="361">
        <f>'Rev&amp;Expense'!$D98*'Function Allocators'!N195</f>
        <v>0</v>
      </c>
      <c r="S84" s="361">
        <f>'Rev&amp;Expense'!$D98*'Function Allocators'!O195</f>
        <v>0</v>
      </c>
      <c r="U84" s="361">
        <f>D84-'Rev&amp;Expense'!D98</f>
        <v>0</v>
      </c>
    </row>
    <row r="85" spans="1:21">
      <c r="A85" s="365">
        <f t="shared" si="20"/>
        <v>34</v>
      </c>
      <c r="B85" s="385">
        <v>376</v>
      </c>
      <c r="C85" s="379" t="s">
        <v>83</v>
      </c>
      <c r="D85" s="457">
        <f t="shared" si="25"/>
        <v>5091481.1477239998</v>
      </c>
      <c r="E85" s="456">
        <f t="shared" si="26"/>
        <v>2468668.2688770341</v>
      </c>
      <c r="F85" s="456">
        <f t="shared" si="27"/>
        <v>0</v>
      </c>
      <c r="G85" s="456">
        <f t="shared" si="28"/>
        <v>2622812.8788469657</v>
      </c>
      <c r="H85" s="361">
        <f>'Rev&amp;Expense'!$D99*'Function Allocators'!D196</f>
        <v>0</v>
      </c>
      <c r="I85" s="361">
        <f>'Rev&amp;Expense'!$D99*'Function Allocators'!E196</f>
        <v>2468668.2688770341</v>
      </c>
      <c r="J85" s="361">
        <f>'Rev&amp;Expense'!$D99*'Function Allocators'!F196</f>
        <v>0</v>
      </c>
      <c r="K85" s="361">
        <f>'Rev&amp;Expense'!$D99*'Function Allocators'!G196</f>
        <v>0</v>
      </c>
      <c r="L85" s="361">
        <f>'Rev&amp;Expense'!$D99*'Function Allocators'!H196</f>
        <v>0</v>
      </c>
      <c r="M85" s="361">
        <f>'Rev&amp;Expense'!$D99*'Function Allocators'!I196</f>
        <v>0</v>
      </c>
      <c r="N85" s="361">
        <f>'Rev&amp;Expense'!$D99*'Function Allocators'!J196</f>
        <v>2622812.8788469657</v>
      </c>
      <c r="O85" s="361">
        <f>'Rev&amp;Expense'!$D99*'Function Allocators'!K196</f>
        <v>0</v>
      </c>
      <c r="P85" s="361">
        <f>'Rev&amp;Expense'!$D99*'Function Allocators'!L196</f>
        <v>0</v>
      </c>
      <c r="Q85" s="361">
        <f>'Rev&amp;Expense'!$D99*'Function Allocators'!M196</f>
        <v>0</v>
      </c>
      <c r="R85" s="361">
        <f>'Rev&amp;Expense'!$D99*'Function Allocators'!N196</f>
        <v>0</v>
      </c>
      <c r="S85" s="361">
        <f>'Rev&amp;Expense'!$D99*'Function Allocators'!O196</f>
        <v>0</v>
      </c>
      <c r="U85" s="361">
        <f>D85-'Rev&amp;Expense'!D99</f>
        <v>0</v>
      </c>
    </row>
    <row r="86" spans="1:21">
      <c r="A86" s="365">
        <f t="shared" si="20"/>
        <v>35</v>
      </c>
      <c r="B86" s="385">
        <v>378</v>
      </c>
      <c r="C86" s="379" t="s">
        <v>198</v>
      </c>
      <c r="D86" s="457">
        <f t="shared" si="25"/>
        <v>128392.031</v>
      </c>
      <c r="E86" s="456">
        <f t="shared" si="26"/>
        <v>128392.031</v>
      </c>
      <c r="F86" s="456">
        <f t="shared" si="27"/>
        <v>0</v>
      </c>
      <c r="G86" s="456">
        <f t="shared" si="28"/>
        <v>0</v>
      </c>
      <c r="H86" s="361">
        <f>'Rev&amp;Expense'!$D100*'Function Allocators'!D197</f>
        <v>0</v>
      </c>
      <c r="I86" s="361">
        <f>'Rev&amp;Expense'!$D100*'Function Allocators'!E197</f>
        <v>0</v>
      </c>
      <c r="J86" s="361">
        <f>'Rev&amp;Expense'!$D100*'Function Allocators'!F197</f>
        <v>128392.031</v>
      </c>
      <c r="K86" s="361">
        <f>'Rev&amp;Expense'!$D100*'Function Allocators'!G197</f>
        <v>0</v>
      </c>
      <c r="L86" s="361">
        <f>'Rev&amp;Expense'!$D100*'Function Allocators'!H197</f>
        <v>0</v>
      </c>
      <c r="M86" s="361">
        <f>'Rev&amp;Expense'!$D100*'Function Allocators'!I197</f>
        <v>0</v>
      </c>
      <c r="N86" s="361">
        <f>'Rev&amp;Expense'!$D100*'Function Allocators'!J197</f>
        <v>0</v>
      </c>
      <c r="O86" s="361">
        <f>'Rev&amp;Expense'!$D100*'Function Allocators'!K197</f>
        <v>0</v>
      </c>
      <c r="P86" s="361">
        <f>'Rev&amp;Expense'!$D100*'Function Allocators'!L197</f>
        <v>0</v>
      </c>
      <c r="Q86" s="361">
        <f>'Rev&amp;Expense'!$D100*'Function Allocators'!M197</f>
        <v>0</v>
      </c>
      <c r="R86" s="361">
        <f>'Rev&amp;Expense'!$D100*'Function Allocators'!N197</f>
        <v>0</v>
      </c>
      <c r="S86" s="361">
        <f>'Rev&amp;Expense'!$D100*'Function Allocators'!O197</f>
        <v>0</v>
      </c>
      <c r="U86" s="361">
        <f>D86-'Rev&amp;Expense'!D100</f>
        <v>0</v>
      </c>
    </row>
    <row r="87" spans="1:21">
      <c r="A87" s="365">
        <f t="shared" si="20"/>
        <v>36</v>
      </c>
      <c r="B87" s="385">
        <v>379</v>
      </c>
      <c r="C87" s="379" t="s">
        <v>199</v>
      </c>
      <c r="D87" s="457">
        <f t="shared" si="25"/>
        <v>94042.937700000009</v>
      </c>
      <c r="E87" s="456">
        <f t="shared" si="26"/>
        <v>94042.937700000009</v>
      </c>
      <c r="F87" s="456">
        <f t="shared" si="27"/>
        <v>0</v>
      </c>
      <c r="G87" s="456">
        <f t="shared" si="28"/>
        <v>0</v>
      </c>
      <c r="H87" s="361">
        <f>'Rev&amp;Expense'!$D101*'Function Allocators'!D198</f>
        <v>0</v>
      </c>
      <c r="I87" s="361">
        <f>'Rev&amp;Expense'!$D101*'Function Allocators'!E198</f>
        <v>0</v>
      </c>
      <c r="J87" s="361">
        <f>'Rev&amp;Expense'!$D101*'Function Allocators'!F198</f>
        <v>94042.937700000009</v>
      </c>
      <c r="K87" s="361">
        <f>'Rev&amp;Expense'!$D101*'Function Allocators'!G198</f>
        <v>0</v>
      </c>
      <c r="L87" s="361">
        <f>'Rev&amp;Expense'!$D101*'Function Allocators'!H198</f>
        <v>0</v>
      </c>
      <c r="M87" s="361">
        <f>'Rev&amp;Expense'!$D101*'Function Allocators'!I198</f>
        <v>0</v>
      </c>
      <c r="N87" s="361">
        <f>'Rev&amp;Expense'!$D101*'Function Allocators'!J198</f>
        <v>0</v>
      </c>
      <c r="O87" s="361">
        <f>'Rev&amp;Expense'!$D101*'Function Allocators'!K198</f>
        <v>0</v>
      </c>
      <c r="P87" s="361">
        <f>'Rev&amp;Expense'!$D101*'Function Allocators'!L198</f>
        <v>0</v>
      </c>
      <c r="Q87" s="361">
        <f>'Rev&amp;Expense'!$D101*'Function Allocators'!M198</f>
        <v>0</v>
      </c>
      <c r="R87" s="361">
        <f>'Rev&amp;Expense'!$D101*'Function Allocators'!N198</f>
        <v>0</v>
      </c>
      <c r="S87" s="361">
        <f>'Rev&amp;Expense'!$D101*'Function Allocators'!O198</f>
        <v>0</v>
      </c>
      <c r="U87" s="361">
        <f>D87-'Rev&amp;Expense'!D101</f>
        <v>0</v>
      </c>
    </row>
    <row r="88" spans="1:21">
      <c r="A88" s="365">
        <f t="shared" si="20"/>
        <v>37</v>
      </c>
      <c r="B88" s="385">
        <v>380</v>
      </c>
      <c r="C88" s="379" t="s">
        <v>86</v>
      </c>
      <c r="D88" s="457">
        <f t="shared" si="25"/>
        <v>4118144.0926400004</v>
      </c>
      <c r="E88" s="456">
        <f t="shared" si="26"/>
        <v>0</v>
      </c>
      <c r="F88" s="456">
        <f t="shared" si="27"/>
        <v>0</v>
      </c>
      <c r="G88" s="456">
        <f t="shared" si="28"/>
        <v>4118144.0926400004</v>
      </c>
      <c r="H88" s="361">
        <f>'Rev&amp;Expense'!$D102*'Function Allocators'!D199</f>
        <v>0</v>
      </c>
      <c r="I88" s="361">
        <f>'Rev&amp;Expense'!$D102*'Function Allocators'!E199</f>
        <v>0</v>
      </c>
      <c r="J88" s="361">
        <f>'Rev&amp;Expense'!$D102*'Function Allocators'!F199</f>
        <v>0</v>
      </c>
      <c r="K88" s="361">
        <f>'Rev&amp;Expense'!$D102*'Function Allocators'!G199</f>
        <v>0</v>
      </c>
      <c r="L88" s="361">
        <f>'Rev&amp;Expense'!$D102*'Function Allocators'!H199</f>
        <v>0</v>
      </c>
      <c r="M88" s="361">
        <f>'Rev&amp;Expense'!$D102*'Function Allocators'!I199</f>
        <v>0</v>
      </c>
      <c r="N88" s="361">
        <f>'Rev&amp;Expense'!$D102*'Function Allocators'!J199</f>
        <v>4118144.0926400004</v>
      </c>
      <c r="O88" s="361">
        <f>'Rev&amp;Expense'!$D102*'Function Allocators'!K199</f>
        <v>0</v>
      </c>
      <c r="P88" s="361">
        <f>'Rev&amp;Expense'!$D102*'Function Allocators'!L199</f>
        <v>0</v>
      </c>
      <c r="Q88" s="361">
        <f>'Rev&amp;Expense'!$D102*'Function Allocators'!M199</f>
        <v>0</v>
      </c>
      <c r="R88" s="361">
        <f>'Rev&amp;Expense'!$D102*'Function Allocators'!N199</f>
        <v>0</v>
      </c>
      <c r="S88" s="361">
        <f>'Rev&amp;Expense'!$D102*'Function Allocators'!O199</f>
        <v>0</v>
      </c>
      <c r="U88" s="361">
        <f>D88-'Rev&amp;Expense'!D102</f>
        <v>0</v>
      </c>
    </row>
    <row r="89" spans="1:21">
      <c r="A89" s="365">
        <f t="shared" si="20"/>
        <v>38</v>
      </c>
      <c r="B89" s="385">
        <v>381</v>
      </c>
      <c r="C89" s="379" t="s">
        <v>88</v>
      </c>
      <c r="D89" s="457">
        <f t="shared" si="25"/>
        <v>1485299.35565</v>
      </c>
      <c r="E89" s="456">
        <f t="shared" si="26"/>
        <v>0</v>
      </c>
      <c r="F89" s="456">
        <f t="shared" si="27"/>
        <v>0</v>
      </c>
      <c r="G89" s="456">
        <f t="shared" si="28"/>
        <v>1485299.35565</v>
      </c>
      <c r="H89" s="361">
        <f>'Rev&amp;Expense'!$D103*'Function Allocators'!D200</f>
        <v>0</v>
      </c>
      <c r="I89" s="361">
        <f>'Rev&amp;Expense'!$D103*'Function Allocators'!E200</f>
        <v>0</v>
      </c>
      <c r="J89" s="361">
        <f>'Rev&amp;Expense'!$D103*'Function Allocators'!F200</f>
        <v>0</v>
      </c>
      <c r="K89" s="361">
        <f>'Rev&amp;Expense'!$D103*'Function Allocators'!G200</f>
        <v>0</v>
      </c>
      <c r="L89" s="361">
        <f>'Rev&amp;Expense'!$D103*'Function Allocators'!H200</f>
        <v>0</v>
      </c>
      <c r="M89" s="361">
        <f>'Rev&amp;Expense'!$D103*'Function Allocators'!I200</f>
        <v>0</v>
      </c>
      <c r="N89" s="361">
        <f>'Rev&amp;Expense'!$D103*'Function Allocators'!J200</f>
        <v>0</v>
      </c>
      <c r="O89" s="361">
        <f>'Rev&amp;Expense'!$D103*'Function Allocators'!K200</f>
        <v>1485299.35565</v>
      </c>
      <c r="P89" s="361">
        <f>'Rev&amp;Expense'!$D103*'Function Allocators'!L200</f>
        <v>0</v>
      </c>
      <c r="Q89" s="361">
        <f>'Rev&amp;Expense'!$D103*'Function Allocators'!M200</f>
        <v>0</v>
      </c>
      <c r="R89" s="361">
        <f>'Rev&amp;Expense'!$D103*'Function Allocators'!N200</f>
        <v>0</v>
      </c>
      <c r="S89" s="361">
        <f>'Rev&amp;Expense'!$D103*'Function Allocators'!O200</f>
        <v>0</v>
      </c>
      <c r="U89" s="361">
        <f>D89-'Rev&amp;Expense'!D103</f>
        <v>0</v>
      </c>
    </row>
    <row r="90" spans="1:21">
      <c r="A90" s="365">
        <f t="shared" si="20"/>
        <v>39</v>
      </c>
      <c r="B90" s="385">
        <v>382</v>
      </c>
      <c r="C90" s="379" t="s">
        <v>90</v>
      </c>
      <c r="D90" s="457">
        <f t="shared" si="25"/>
        <v>548158.28496000008</v>
      </c>
      <c r="E90" s="456">
        <f t="shared" si="26"/>
        <v>0</v>
      </c>
      <c r="F90" s="456">
        <f t="shared" si="27"/>
        <v>0</v>
      </c>
      <c r="G90" s="456">
        <f t="shared" si="28"/>
        <v>548158.28496000008</v>
      </c>
      <c r="H90" s="361">
        <f>'Rev&amp;Expense'!$D104*'Function Allocators'!D201</f>
        <v>0</v>
      </c>
      <c r="I90" s="361">
        <f>'Rev&amp;Expense'!$D104*'Function Allocators'!E201</f>
        <v>0</v>
      </c>
      <c r="J90" s="361">
        <f>'Rev&amp;Expense'!$D104*'Function Allocators'!F201</f>
        <v>0</v>
      </c>
      <c r="K90" s="361">
        <f>'Rev&amp;Expense'!$D104*'Function Allocators'!G201</f>
        <v>0</v>
      </c>
      <c r="L90" s="361">
        <f>'Rev&amp;Expense'!$D104*'Function Allocators'!H201</f>
        <v>0</v>
      </c>
      <c r="M90" s="361">
        <f>'Rev&amp;Expense'!$D104*'Function Allocators'!I201</f>
        <v>0</v>
      </c>
      <c r="N90" s="361">
        <f>'Rev&amp;Expense'!$D104*'Function Allocators'!J201</f>
        <v>0</v>
      </c>
      <c r="O90" s="361">
        <f>'Rev&amp;Expense'!$D104*'Function Allocators'!K201</f>
        <v>548158.28496000008</v>
      </c>
      <c r="P90" s="361">
        <f>'Rev&amp;Expense'!$D104*'Function Allocators'!L201</f>
        <v>0</v>
      </c>
      <c r="Q90" s="361">
        <f>'Rev&amp;Expense'!$D104*'Function Allocators'!M201</f>
        <v>0</v>
      </c>
      <c r="R90" s="361">
        <f>'Rev&amp;Expense'!$D104*'Function Allocators'!N201</f>
        <v>0</v>
      </c>
      <c r="S90" s="361">
        <f>'Rev&amp;Expense'!$D104*'Function Allocators'!O201</f>
        <v>0</v>
      </c>
      <c r="U90" s="361">
        <f>D90-'Rev&amp;Expense'!D104</f>
        <v>0</v>
      </c>
    </row>
    <row r="91" spans="1:21">
      <c r="A91" s="365">
        <f t="shared" si="20"/>
        <v>40</v>
      </c>
      <c r="B91" s="385">
        <v>383</v>
      </c>
      <c r="C91" s="379" t="s">
        <v>92</v>
      </c>
      <c r="D91" s="457">
        <f t="shared" si="25"/>
        <v>117239.24</v>
      </c>
      <c r="E91" s="456">
        <f t="shared" si="26"/>
        <v>0</v>
      </c>
      <c r="F91" s="456">
        <f t="shared" si="27"/>
        <v>0</v>
      </c>
      <c r="G91" s="456">
        <f t="shared" si="28"/>
        <v>117239.24</v>
      </c>
      <c r="H91" s="361">
        <f>'Rev&amp;Expense'!$D105*'Function Allocators'!D202</f>
        <v>0</v>
      </c>
      <c r="I91" s="361">
        <f>'Rev&amp;Expense'!$D105*'Function Allocators'!E202</f>
        <v>0</v>
      </c>
      <c r="J91" s="361">
        <f>'Rev&amp;Expense'!$D105*'Function Allocators'!F202</f>
        <v>0</v>
      </c>
      <c r="K91" s="361">
        <f>'Rev&amp;Expense'!$D105*'Function Allocators'!G202</f>
        <v>0</v>
      </c>
      <c r="L91" s="361">
        <f>'Rev&amp;Expense'!$D105*'Function Allocators'!H202</f>
        <v>0</v>
      </c>
      <c r="M91" s="361">
        <f>'Rev&amp;Expense'!$D105*'Function Allocators'!I202</f>
        <v>0</v>
      </c>
      <c r="N91" s="361">
        <f>'Rev&amp;Expense'!$D105*'Function Allocators'!J202</f>
        <v>0</v>
      </c>
      <c r="O91" s="361">
        <f>'Rev&amp;Expense'!$D105*'Function Allocators'!K202</f>
        <v>0</v>
      </c>
      <c r="P91" s="361">
        <f>'Rev&amp;Expense'!$D105*'Function Allocators'!L202</f>
        <v>117239.24</v>
      </c>
      <c r="Q91" s="361">
        <f>'Rev&amp;Expense'!$D105*'Function Allocators'!M202</f>
        <v>0</v>
      </c>
      <c r="R91" s="361">
        <f>'Rev&amp;Expense'!$D105*'Function Allocators'!N202</f>
        <v>0</v>
      </c>
      <c r="S91" s="361">
        <f>'Rev&amp;Expense'!$D105*'Function Allocators'!O202</f>
        <v>0</v>
      </c>
      <c r="U91" s="361">
        <f>D91-'Rev&amp;Expense'!D105</f>
        <v>0</v>
      </c>
    </row>
    <row r="92" spans="1:21">
      <c r="A92" s="365">
        <f t="shared" si="20"/>
        <v>41</v>
      </c>
      <c r="B92" s="385">
        <v>384</v>
      </c>
      <c r="C92" s="379" t="s">
        <v>94</v>
      </c>
      <c r="D92" s="457">
        <f t="shared" si="25"/>
        <v>114003.93000000001</v>
      </c>
      <c r="E92" s="456">
        <f t="shared" si="26"/>
        <v>0</v>
      </c>
      <c r="F92" s="456">
        <f t="shared" si="27"/>
        <v>0</v>
      </c>
      <c r="G92" s="456">
        <f t="shared" si="28"/>
        <v>114003.93000000001</v>
      </c>
      <c r="H92" s="361">
        <f>'Rev&amp;Expense'!$D106*'Function Allocators'!D203</f>
        <v>0</v>
      </c>
      <c r="I92" s="361">
        <f>'Rev&amp;Expense'!$D106*'Function Allocators'!E203</f>
        <v>0</v>
      </c>
      <c r="J92" s="361">
        <f>'Rev&amp;Expense'!$D106*'Function Allocators'!F203</f>
        <v>0</v>
      </c>
      <c r="K92" s="361">
        <f>'Rev&amp;Expense'!$D106*'Function Allocators'!G203</f>
        <v>0</v>
      </c>
      <c r="L92" s="361">
        <f>'Rev&amp;Expense'!$D106*'Function Allocators'!H203</f>
        <v>0</v>
      </c>
      <c r="M92" s="361">
        <f>'Rev&amp;Expense'!$D106*'Function Allocators'!I203</f>
        <v>0</v>
      </c>
      <c r="N92" s="361">
        <f>'Rev&amp;Expense'!$D106*'Function Allocators'!J203</f>
        <v>0</v>
      </c>
      <c r="O92" s="361">
        <f>'Rev&amp;Expense'!$D106*'Function Allocators'!K203</f>
        <v>0</v>
      </c>
      <c r="P92" s="361">
        <f>'Rev&amp;Expense'!$D106*'Function Allocators'!L203</f>
        <v>114003.93000000001</v>
      </c>
      <c r="Q92" s="361">
        <f>'Rev&amp;Expense'!$D106*'Function Allocators'!M203</f>
        <v>0</v>
      </c>
      <c r="R92" s="361">
        <f>'Rev&amp;Expense'!$D106*'Function Allocators'!N203</f>
        <v>0</v>
      </c>
      <c r="S92" s="361">
        <f>'Rev&amp;Expense'!$D106*'Function Allocators'!O203</f>
        <v>0</v>
      </c>
      <c r="U92" s="361">
        <f>D92-'Rev&amp;Expense'!D106</f>
        <v>0</v>
      </c>
    </row>
    <row r="93" spans="1:21">
      <c r="A93" s="365">
        <f t="shared" si="20"/>
        <v>42</v>
      </c>
      <c r="B93" s="385">
        <v>385</v>
      </c>
      <c r="C93" s="379" t="s">
        <v>200</v>
      </c>
      <c r="D93" s="457">
        <f t="shared" si="25"/>
        <v>56889.460166000004</v>
      </c>
      <c r="E93" s="456">
        <f t="shared" si="26"/>
        <v>0</v>
      </c>
      <c r="F93" s="456">
        <f t="shared" si="27"/>
        <v>0</v>
      </c>
      <c r="G93" s="456">
        <f t="shared" si="28"/>
        <v>56889.460166000004</v>
      </c>
      <c r="H93" s="361">
        <f>'Rev&amp;Expense'!$D107*'Function Allocators'!D204</f>
        <v>0</v>
      </c>
      <c r="I93" s="361">
        <f>'Rev&amp;Expense'!$D107*'Function Allocators'!E204</f>
        <v>0</v>
      </c>
      <c r="J93" s="361">
        <f>'Rev&amp;Expense'!$D107*'Function Allocators'!F204</f>
        <v>0</v>
      </c>
      <c r="K93" s="361">
        <f>'Rev&amp;Expense'!$D107*'Function Allocators'!G204</f>
        <v>0</v>
      </c>
      <c r="L93" s="361">
        <f>'Rev&amp;Expense'!$D107*'Function Allocators'!H204</f>
        <v>0</v>
      </c>
      <c r="M93" s="361">
        <f>'Rev&amp;Expense'!$D107*'Function Allocators'!I204</f>
        <v>0</v>
      </c>
      <c r="N93" s="361">
        <f>'Rev&amp;Expense'!$D107*'Function Allocators'!J204</f>
        <v>0</v>
      </c>
      <c r="O93" s="361">
        <f>'Rev&amp;Expense'!$D107*'Function Allocators'!K204</f>
        <v>0</v>
      </c>
      <c r="P93" s="361">
        <f>'Rev&amp;Expense'!$D107*'Function Allocators'!L204</f>
        <v>56889.460166000004</v>
      </c>
      <c r="Q93" s="361">
        <f>'Rev&amp;Expense'!$D107*'Function Allocators'!M204</f>
        <v>0</v>
      </c>
      <c r="R93" s="361">
        <f>'Rev&amp;Expense'!$D107*'Function Allocators'!N204</f>
        <v>0</v>
      </c>
      <c r="S93" s="361">
        <f>'Rev&amp;Expense'!$D107*'Function Allocators'!O204</f>
        <v>0</v>
      </c>
      <c r="U93" s="361">
        <f>D93-'Rev&amp;Expense'!D107</f>
        <v>0</v>
      </c>
    </row>
    <row r="94" spans="1:21">
      <c r="A94" s="365">
        <f t="shared" si="20"/>
        <v>43</v>
      </c>
      <c r="B94" s="385">
        <v>387</v>
      </c>
      <c r="C94" s="379" t="s">
        <v>98</v>
      </c>
      <c r="D94" s="476">
        <f t="shared" si="25"/>
        <v>39512.97</v>
      </c>
      <c r="E94" s="475">
        <f t="shared" si="26"/>
        <v>39512.97</v>
      </c>
      <c r="F94" s="475">
        <f t="shared" si="27"/>
        <v>0</v>
      </c>
      <c r="G94" s="475">
        <f t="shared" si="28"/>
        <v>0</v>
      </c>
      <c r="H94" s="361">
        <f>'Rev&amp;Expense'!$D108*'Function Allocators'!D205</f>
        <v>0</v>
      </c>
      <c r="I94" s="361">
        <f>'Rev&amp;Expense'!$D108*'Function Allocators'!E205</f>
        <v>0</v>
      </c>
      <c r="J94" s="361">
        <f>'Rev&amp;Expense'!$D108*'Function Allocators'!F205</f>
        <v>0</v>
      </c>
      <c r="K94" s="361">
        <f>'Rev&amp;Expense'!$D108*'Function Allocators'!G205</f>
        <v>39512.97</v>
      </c>
      <c r="L94" s="361">
        <f>'Rev&amp;Expense'!$D108*'Function Allocators'!H205</f>
        <v>0</v>
      </c>
      <c r="M94" s="361">
        <f>'Rev&amp;Expense'!$D108*'Function Allocators'!I205</f>
        <v>0</v>
      </c>
      <c r="N94" s="361">
        <f>'Rev&amp;Expense'!$D108*'Function Allocators'!J205</f>
        <v>0</v>
      </c>
      <c r="O94" s="361">
        <f>'Rev&amp;Expense'!$D108*'Function Allocators'!K205</f>
        <v>0</v>
      </c>
      <c r="P94" s="361">
        <f>'Rev&amp;Expense'!$D108*'Function Allocators'!L205</f>
        <v>0</v>
      </c>
      <c r="Q94" s="361">
        <f>'Rev&amp;Expense'!$D108*'Function Allocators'!M205</f>
        <v>0</v>
      </c>
      <c r="R94" s="361">
        <f>'Rev&amp;Expense'!$D108*'Function Allocators'!N205</f>
        <v>0</v>
      </c>
      <c r="S94" s="361">
        <f>'Rev&amp;Expense'!$D108*'Function Allocators'!O205</f>
        <v>0</v>
      </c>
      <c r="U94" s="361">
        <f>D94-'Rev&amp;Expense'!D108</f>
        <v>0</v>
      </c>
    </row>
    <row r="95" spans="1:21">
      <c r="A95" s="365">
        <f t="shared" si="20"/>
        <v>44</v>
      </c>
      <c r="B95" s="385"/>
      <c r="C95" s="377" t="s">
        <v>201</v>
      </c>
      <c r="D95" s="474">
        <f t="shared" ref="D95:S95" si="29">SUM(D83:D94)</f>
        <v>11803856.964308001</v>
      </c>
      <c r="E95" s="474">
        <f t="shared" si="29"/>
        <v>2741309.7220450342</v>
      </c>
      <c r="F95" s="474">
        <f t="shared" si="29"/>
        <v>0</v>
      </c>
      <c r="G95" s="474">
        <f t="shared" si="29"/>
        <v>9062547.2422629669</v>
      </c>
      <c r="H95" s="474">
        <f t="shared" si="29"/>
        <v>0</v>
      </c>
      <c r="I95" s="474">
        <f t="shared" si="29"/>
        <v>2468668.2688770341</v>
      </c>
      <c r="J95" s="474">
        <f t="shared" si="29"/>
        <v>222434.96870000003</v>
      </c>
      <c r="K95" s="474">
        <f t="shared" si="29"/>
        <v>50206.484468000002</v>
      </c>
      <c r="L95" s="474">
        <f t="shared" si="29"/>
        <v>0</v>
      </c>
      <c r="M95" s="474">
        <f t="shared" si="29"/>
        <v>0</v>
      </c>
      <c r="N95" s="474">
        <f t="shared" si="29"/>
        <v>6740956.9714869661</v>
      </c>
      <c r="O95" s="474">
        <f t="shared" si="29"/>
        <v>2033457.6406100001</v>
      </c>
      <c r="P95" s="474">
        <f t="shared" si="29"/>
        <v>288132.63016599999</v>
      </c>
      <c r="Q95" s="474">
        <f t="shared" si="29"/>
        <v>0</v>
      </c>
      <c r="R95" s="474">
        <f t="shared" si="29"/>
        <v>0</v>
      </c>
      <c r="S95" s="474">
        <f t="shared" si="29"/>
        <v>0</v>
      </c>
      <c r="U95" s="361">
        <f>D95-'Rev&amp;Expense'!D109</f>
        <v>0</v>
      </c>
    </row>
    <row r="96" spans="1:21">
      <c r="A96" s="365">
        <f t="shared" si="20"/>
        <v>45</v>
      </c>
      <c r="B96" s="385"/>
      <c r="C96" s="377"/>
      <c r="D96" s="523"/>
      <c r="E96" s="475"/>
      <c r="F96" s="475"/>
      <c r="G96" s="475"/>
      <c r="H96" s="475"/>
      <c r="I96" s="475"/>
      <c r="J96" s="475"/>
      <c r="K96" s="475"/>
      <c r="L96" s="475"/>
      <c r="M96" s="475"/>
      <c r="N96" s="475"/>
      <c r="O96" s="475"/>
      <c r="P96" s="475"/>
      <c r="Q96" s="475"/>
      <c r="R96" s="475"/>
      <c r="S96" s="475"/>
      <c r="U96" s="361">
        <f>D96-'Rev&amp;Expense'!D110</f>
        <v>0</v>
      </c>
    </row>
    <row r="97" spans="1:21" ht="17.25" customHeight="1">
      <c r="A97" s="365">
        <f t="shared" si="20"/>
        <v>46</v>
      </c>
      <c r="B97" s="385"/>
      <c r="C97" s="377" t="s">
        <v>288</v>
      </c>
      <c r="D97" s="474">
        <f>SUM(E97:G97)</f>
        <v>15409055.107686002</v>
      </c>
      <c r="E97" s="474">
        <f t="shared" ref="E97:S97" si="30">+E95+E80+E72</f>
        <v>3929974.9361097403</v>
      </c>
      <c r="F97" s="474">
        <f t="shared" si="30"/>
        <v>0</v>
      </c>
      <c r="G97" s="474">
        <f t="shared" si="30"/>
        <v>11479080.171576262</v>
      </c>
      <c r="H97" s="474">
        <f t="shared" si="30"/>
        <v>0</v>
      </c>
      <c r="I97" s="474">
        <f t="shared" si="30"/>
        <v>3577963.8518732483</v>
      </c>
      <c r="J97" s="474">
        <f t="shared" si="30"/>
        <v>284597.70275065297</v>
      </c>
      <c r="K97" s="474">
        <f t="shared" si="30"/>
        <v>67413.381485838952</v>
      </c>
      <c r="L97" s="474">
        <f t="shared" si="30"/>
        <v>0</v>
      </c>
      <c r="M97" s="474">
        <f t="shared" si="30"/>
        <v>0</v>
      </c>
      <c r="N97" s="474">
        <f t="shared" si="30"/>
        <v>8699879.5804490726</v>
      </c>
      <c r="O97" s="474">
        <f t="shared" si="30"/>
        <v>2410628.3286605575</v>
      </c>
      <c r="P97" s="474">
        <f t="shared" si="30"/>
        <v>368572.2624666295</v>
      </c>
      <c r="Q97" s="474">
        <f t="shared" si="30"/>
        <v>0</v>
      </c>
      <c r="R97" s="474">
        <f t="shared" si="30"/>
        <v>0</v>
      </c>
      <c r="S97" s="474">
        <f t="shared" si="30"/>
        <v>0</v>
      </c>
      <c r="U97" s="361"/>
    </row>
    <row r="98" spans="1:21">
      <c r="B98" s="385"/>
      <c r="C98" s="377"/>
      <c r="E98" s="456"/>
      <c r="F98" s="456"/>
      <c r="G98" s="456"/>
      <c r="H98" s="456"/>
      <c r="I98" s="456"/>
      <c r="J98" s="456"/>
      <c r="K98" s="456"/>
      <c r="L98" s="456"/>
      <c r="M98" s="456"/>
      <c r="N98" s="456"/>
      <c r="O98" s="456"/>
      <c r="P98" s="456"/>
      <c r="Q98" s="456"/>
      <c r="R98" s="456"/>
      <c r="S98" s="456"/>
    </row>
    <row r="99" spans="1:21">
      <c r="B99" s="385"/>
      <c r="C99" s="377" t="s">
        <v>289</v>
      </c>
      <c r="E99" s="456"/>
      <c r="F99" s="456"/>
      <c r="G99" s="456"/>
      <c r="H99" s="456"/>
      <c r="I99" s="456"/>
      <c r="J99" s="456"/>
      <c r="K99" s="456"/>
      <c r="L99" s="456"/>
      <c r="M99" s="456"/>
      <c r="N99" s="456"/>
      <c r="O99" s="456"/>
      <c r="P99" s="456"/>
      <c r="Q99" s="456"/>
      <c r="R99" s="456"/>
      <c r="S99" s="456"/>
    </row>
    <row r="100" spans="1:21">
      <c r="A100" s="365">
        <v>1</v>
      </c>
      <c r="B100" s="385">
        <v>389</v>
      </c>
      <c r="C100" s="379" t="s">
        <v>290</v>
      </c>
      <c r="D100" s="521">
        <f t="shared" ref="D100:D109" si="31">SUM(E100:G100)</f>
        <v>-4.0000000000873108E-2</v>
      </c>
      <c r="E100" s="361">
        <f t="shared" ref="E100:E109" si="32">SUM(H100:K100)</f>
        <v>-1.134038870961763E-2</v>
      </c>
      <c r="F100" s="361">
        <f t="shared" ref="F100:F109" si="33">SUM(L100:M100)</f>
        <v>0</v>
      </c>
      <c r="G100" s="361">
        <f t="shared" ref="G100:G109" si="34">SUM(N100:S100)</f>
        <v>-2.865961129125548E-2</v>
      </c>
      <c r="H100" s="361">
        <f>'Rev&amp;Expense'!$D112*'Function Allocators'!D210</f>
        <v>0</v>
      </c>
      <c r="I100" s="361">
        <f>'Rev&amp;Expense'!$D112*'Function Allocators'!E210</f>
        <v>-1.0399080297404214E-2</v>
      </c>
      <c r="J100" s="361">
        <f>'Rev&amp;Expense'!$D112*'Function Allocators'!F210</f>
        <v>-7.3723795487432898E-4</v>
      </c>
      <c r="K100" s="361">
        <f>'Rev&amp;Expense'!$D112*'Function Allocators'!G210</f>
        <v>-2.04070457339087E-4</v>
      </c>
      <c r="L100" s="361">
        <f>'Rev&amp;Expense'!$D112*'Function Allocators'!H210</f>
        <v>0</v>
      </c>
      <c r="M100" s="361">
        <f>'Rev&amp;Expense'!$D112*'Function Allocators'!I210</f>
        <v>0</v>
      </c>
      <c r="N100" s="361">
        <f>'Rev&amp;Expense'!$D112*'Function Allocators'!J210</f>
        <v>-2.3232441752184151E-2</v>
      </c>
      <c r="O100" s="361">
        <f>'Rev&amp;Expense'!$D112*'Function Allocators'!K210</f>
        <v>-4.4731711200211577E-3</v>
      </c>
      <c r="P100" s="361">
        <f>'Rev&amp;Expense'!$D112*'Function Allocators'!L210</f>
        <v>-9.5399841905017093E-4</v>
      </c>
      <c r="Q100" s="361">
        <f>'Rev&amp;Expense'!$D112*'Function Allocators'!M210</f>
        <v>0</v>
      </c>
      <c r="R100" s="361">
        <f>'Rev&amp;Expense'!$D112*'Function Allocators'!N210</f>
        <v>0</v>
      </c>
      <c r="S100" s="361">
        <f>'Rev&amp;Expense'!$D112*'Function Allocators'!O210</f>
        <v>0</v>
      </c>
      <c r="U100" s="361">
        <f>D100-'Rev&amp;Expense'!D112</f>
        <v>0</v>
      </c>
    </row>
    <row r="101" spans="1:21">
      <c r="A101" s="365">
        <f t="shared" ref="A101:A136" si="35">+A100+1</f>
        <v>2</v>
      </c>
      <c r="B101" s="390">
        <v>390</v>
      </c>
      <c r="C101" s="379" t="s">
        <v>82</v>
      </c>
      <c r="D101" s="457">
        <f t="shared" si="31"/>
        <v>688046.30491900002</v>
      </c>
      <c r="E101" s="456">
        <f t="shared" si="32"/>
        <v>195067.81369568099</v>
      </c>
      <c r="F101" s="456">
        <f t="shared" si="33"/>
        <v>0</v>
      </c>
      <c r="G101" s="456">
        <f t="shared" si="34"/>
        <v>492978.49122331897</v>
      </c>
      <c r="H101" s="361">
        <f>'Rev&amp;Expense'!$D113*'Function Allocators'!D211</f>
        <v>0</v>
      </c>
      <c r="I101" s="361">
        <f>'Rev&amp;Expense'!$D113*'Function Allocators'!E211</f>
        <v>178876.21932571914</v>
      </c>
      <c r="J101" s="361">
        <f>'Rev&amp;Expense'!$D113*'Function Allocators'!F211</f>
        <v>12681.346267156257</v>
      </c>
      <c r="K101" s="361">
        <f>'Rev&amp;Expense'!$D113*'Function Allocators'!G211</f>
        <v>3510.2481028056095</v>
      </c>
      <c r="L101" s="361">
        <f>'Rev&amp;Expense'!$D113*'Function Allocators'!H211</f>
        <v>0</v>
      </c>
      <c r="M101" s="361">
        <f>'Rev&amp;Expense'!$D113*'Function Allocators'!I211</f>
        <v>0</v>
      </c>
      <c r="N101" s="361">
        <f>'Rev&amp;Expense'!$D113*'Function Allocators'!J211</f>
        <v>399624.89253718214</v>
      </c>
      <c r="O101" s="361">
        <f>'Rev&amp;Expense'!$D113*'Function Allocators'!K211</f>
        <v>76943.721508344039</v>
      </c>
      <c r="P101" s="361">
        <f>'Rev&amp;Expense'!$D113*'Function Allocators'!L211</f>
        <v>16409.877177792754</v>
      </c>
      <c r="Q101" s="361">
        <f>'Rev&amp;Expense'!$D113*'Function Allocators'!M211</f>
        <v>0</v>
      </c>
      <c r="R101" s="361">
        <f>'Rev&amp;Expense'!$D113*'Function Allocators'!N211</f>
        <v>0</v>
      </c>
      <c r="S101" s="361">
        <f>'Rev&amp;Expense'!$D113*'Function Allocators'!O211</f>
        <v>0</v>
      </c>
      <c r="U101" s="361">
        <f>D101-'Rev&amp;Expense'!D113</f>
        <v>0</v>
      </c>
    </row>
    <row r="102" spans="1:21">
      <c r="A102" s="365">
        <f t="shared" si="35"/>
        <v>3</v>
      </c>
      <c r="B102" s="385">
        <v>391</v>
      </c>
      <c r="C102" s="379" t="s">
        <v>245</v>
      </c>
      <c r="D102" s="457">
        <f t="shared" si="31"/>
        <v>712141.31397000002</v>
      </c>
      <c r="E102" s="456">
        <f t="shared" si="32"/>
        <v>201898.98291053428</v>
      </c>
      <c r="F102" s="456">
        <f t="shared" si="33"/>
        <v>0</v>
      </c>
      <c r="G102" s="456">
        <f t="shared" si="34"/>
        <v>510242.33105946577</v>
      </c>
      <c r="H102" s="361">
        <f>'Rev&amp;Expense'!$D114*'Function Allocators'!D212</f>
        <v>0</v>
      </c>
      <c r="I102" s="361">
        <f>'Rev&amp;Expense'!$D114*'Function Allocators'!E212</f>
        <v>185140.36767278318</v>
      </c>
      <c r="J102" s="361">
        <f>'Rev&amp;Expense'!$D114*'Function Allocators'!F212</f>
        <v>13125.440147032508</v>
      </c>
      <c r="K102" s="361">
        <f>'Rev&amp;Expense'!$D114*'Function Allocators'!G212</f>
        <v>3633.1750907186024</v>
      </c>
      <c r="L102" s="361">
        <f>'Rev&amp;Expense'!$D114*'Function Allocators'!H212</f>
        <v>0</v>
      </c>
      <c r="M102" s="361">
        <f>'Rev&amp;Expense'!$D114*'Function Allocators'!I212</f>
        <v>0</v>
      </c>
      <c r="N102" s="361">
        <f>'Rev&amp;Expense'!$D114*'Function Allocators'!J212</f>
        <v>413619.53989426943</v>
      </c>
      <c r="O102" s="361">
        <f>'Rev&amp;Expense'!$D114*'Function Allocators'!K212</f>
        <v>79638.248973874783</v>
      </c>
      <c r="P102" s="361">
        <f>'Rev&amp;Expense'!$D114*'Function Allocators'!L212</f>
        <v>16984.54219132155</v>
      </c>
      <c r="Q102" s="361">
        <f>'Rev&amp;Expense'!$D114*'Function Allocators'!M212</f>
        <v>0</v>
      </c>
      <c r="R102" s="361">
        <f>'Rev&amp;Expense'!$D114*'Function Allocators'!N212</f>
        <v>0</v>
      </c>
      <c r="S102" s="361">
        <f>'Rev&amp;Expense'!$D114*'Function Allocators'!O212</f>
        <v>0</v>
      </c>
      <c r="U102" s="361">
        <f>D102-'Rev&amp;Expense'!D114</f>
        <v>0</v>
      </c>
    </row>
    <row r="103" spans="1:21">
      <c r="A103" s="365">
        <f t="shared" si="35"/>
        <v>4</v>
      </c>
      <c r="B103" s="385">
        <v>392</v>
      </c>
      <c r="C103" s="379" t="s">
        <v>246</v>
      </c>
      <c r="D103" s="457">
        <f t="shared" ref="D103" si="36">SUM(E103:G103)</f>
        <v>-42245.22020399999</v>
      </c>
      <c r="E103" s="456">
        <f t="shared" ref="E103" si="37">SUM(H103:K103)</f>
        <v>-11976.930455657372</v>
      </c>
      <c r="F103" s="456">
        <f t="shared" ref="F103" si="38">SUM(L103:M103)</f>
        <v>0</v>
      </c>
      <c r="G103" s="456">
        <f t="shared" ref="G103" si="39">SUM(N103:S103)</f>
        <v>-30268.289748342617</v>
      </c>
      <c r="H103" s="361">
        <f>'Rev&amp;Expense'!$D115*'Function Allocators'!D213</f>
        <v>0</v>
      </c>
      <c r="I103" s="361">
        <f>'Rev&amp;Expense'!$D115*'Function Allocators'!E213</f>
        <v>-10982.785926833238</v>
      </c>
      <c r="J103" s="361">
        <f>'Rev&amp;Expense'!$D115*'Function Allocators'!F213</f>
        <v>-778.61949364332042</v>
      </c>
      <c r="K103" s="361">
        <f>'Rev&amp;Expense'!$D115*'Function Allocators'!G213</f>
        <v>-215.52503518081349</v>
      </c>
      <c r="L103" s="361">
        <f>'Rev&amp;Expense'!$D115*'Function Allocators'!H213</f>
        <v>0</v>
      </c>
      <c r="M103" s="361">
        <f>'Rev&amp;Expense'!$D115*'Function Allocators'!I213</f>
        <v>0</v>
      </c>
      <c r="N103" s="361">
        <f>'Rev&amp;Expense'!$D115*'Function Allocators'!J213</f>
        <v>-24536.490441904996</v>
      </c>
      <c r="O103" s="361">
        <f>'Rev&amp;Expense'!$D115*'Function Allocators'!K213</f>
        <v>-4724.2524742835576</v>
      </c>
      <c r="P103" s="361">
        <f>'Rev&amp;Expense'!$D115*'Function Allocators'!L213</f>
        <v>-1007.5468321540658</v>
      </c>
      <c r="Q103" s="361">
        <f>'Rev&amp;Expense'!$D115*'Function Allocators'!M213</f>
        <v>0</v>
      </c>
      <c r="R103" s="361">
        <f>'Rev&amp;Expense'!$D115*'Function Allocators'!N213</f>
        <v>0</v>
      </c>
      <c r="S103" s="361">
        <f>'Rev&amp;Expense'!$D115*'Function Allocators'!O213</f>
        <v>0</v>
      </c>
      <c r="U103" s="361">
        <f>D103-'Rev&amp;Expense'!D115</f>
        <v>0</v>
      </c>
    </row>
    <row r="104" spans="1:21">
      <c r="A104" s="365">
        <f t="shared" si="35"/>
        <v>5</v>
      </c>
      <c r="B104" s="385">
        <v>393</v>
      </c>
      <c r="C104" s="379" t="s">
        <v>247</v>
      </c>
      <c r="D104" s="457">
        <f t="shared" si="31"/>
        <v>9527.8799999999974</v>
      </c>
      <c r="E104" s="456">
        <f t="shared" si="32"/>
        <v>2701.2465694058278</v>
      </c>
      <c r="F104" s="456">
        <f t="shared" si="33"/>
        <v>0</v>
      </c>
      <c r="G104" s="456">
        <f t="shared" si="34"/>
        <v>6826.63343059417</v>
      </c>
      <c r="H104" s="361">
        <f>'Rev&amp;Expense'!$D116*'Function Allocators'!D213</f>
        <v>0</v>
      </c>
      <c r="I104" s="361">
        <f>'Rev&amp;Expense'!$D116*'Function Allocators'!E213</f>
        <v>2477.029729546723</v>
      </c>
      <c r="J104" s="361">
        <f>'Rev&amp;Expense'!$D116*'Function Allocators'!F213</f>
        <v>175.60786913336739</v>
      </c>
      <c r="K104" s="361">
        <f>'Rev&amp;Expense'!$D116*'Function Allocators'!G213</f>
        <v>48.608970725737471</v>
      </c>
      <c r="L104" s="361">
        <f>'Rev&amp;Expense'!$D116*'Function Allocators'!H213</f>
        <v>0</v>
      </c>
      <c r="M104" s="361">
        <f>'Rev&amp;Expense'!$D116*'Function Allocators'!I213</f>
        <v>0</v>
      </c>
      <c r="N104" s="361">
        <f>'Rev&amp;Expense'!$D116*'Function Allocators'!J213</f>
        <v>5533.8979279242149</v>
      </c>
      <c r="O104" s="361">
        <f>'Rev&amp;Expense'!$D116*'Function Allocators'!K213</f>
        <v>1065.4959412524222</v>
      </c>
      <c r="P104" s="361">
        <f>'Rev&amp;Expense'!$D116*'Function Allocators'!L213</f>
        <v>227.23956141753337</v>
      </c>
      <c r="Q104" s="361">
        <f>'Rev&amp;Expense'!$D116*'Function Allocators'!M213</f>
        <v>0</v>
      </c>
      <c r="R104" s="361">
        <f>'Rev&amp;Expense'!$D116*'Function Allocators'!N213</f>
        <v>0</v>
      </c>
      <c r="S104" s="361">
        <f>'Rev&amp;Expense'!$D116*'Function Allocators'!O213</f>
        <v>0</v>
      </c>
      <c r="U104" s="361">
        <f>D104-'Rev&amp;Expense'!D116</f>
        <v>0</v>
      </c>
    </row>
    <row r="105" spans="1:21">
      <c r="A105" s="365">
        <f t="shared" si="35"/>
        <v>6</v>
      </c>
      <c r="B105" s="385">
        <v>394</v>
      </c>
      <c r="C105" s="379" t="s">
        <v>248</v>
      </c>
      <c r="D105" s="457">
        <f t="shared" si="31"/>
        <v>284676.16680000001</v>
      </c>
      <c r="E105" s="456">
        <f t="shared" si="32"/>
        <v>80708.459695136931</v>
      </c>
      <c r="F105" s="456">
        <f t="shared" si="33"/>
        <v>0</v>
      </c>
      <c r="G105" s="456">
        <f t="shared" si="34"/>
        <v>203967.70710486305</v>
      </c>
      <c r="H105" s="361">
        <f>'Rev&amp;Expense'!$D117*'Function Allocators'!D214</f>
        <v>0</v>
      </c>
      <c r="I105" s="361">
        <f>'Rev&amp;Expense'!$D117*'Function Allocators'!E214</f>
        <v>74009.257931145417</v>
      </c>
      <c r="J105" s="361">
        <f>'Rev&amp;Expense'!$D117*'Function Allocators'!F214</f>
        <v>5246.8518752128566</v>
      </c>
      <c r="K105" s="361">
        <f>'Rev&amp;Expense'!$D117*'Function Allocators'!G214</f>
        <v>1452.3498887786536</v>
      </c>
      <c r="L105" s="361">
        <f>'Rev&amp;Expense'!$D117*'Function Allocators'!H214</f>
        <v>0</v>
      </c>
      <c r="M105" s="361">
        <f>'Rev&amp;Expense'!$D117*'Function Allocators'!I214</f>
        <v>0</v>
      </c>
      <c r="N105" s="361">
        <f>'Rev&amp;Expense'!$D117*'Function Allocators'!J214</f>
        <v>165343.06158179243</v>
      </c>
      <c r="O105" s="361">
        <f>'Rev&amp;Expense'!$D117*'Function Allocators'!K214</f>
        <v>31835.130196507256</v>
      </c>
      <c r="P105" s="361">
        <f>'Rev&amp;Expense'!$D117*'Function Allocators'!L214</f>
        <v>6789.515326563368</v>
      </c>
      <c r="Q105" s="361">
        <f>'Rev&amp;Expense'!$D117*'Function Allocators'!M214</f>
        <v>0</v>
      </c>
      <c r="R105" s="361">
        <f>'Rev&amp;Expense'!$D117*'Function Allocators'!N214</f>
        <v>0</v>
      </c>
      <c r="S105" s="361">
        <f>'Rev&amp;Expense'!$D117*'Function Allocators'!O214</f>
        <v>0</v>
      </c>
      <c r="U105" s="361">
        <f>D105-'Rev&amp;Expense'!D117</f>
        <v>0</v>
      </c>
    </row>
    <row r="106" spans="1:21">
      <c r="A106" s="365">
        <f t="shared" si="35"/>
        <v>7</v>
      </c>
      <c r="B106" s="385">
        <v>395</v>
      </c>
      <c r="C106" s="379" t="s">
        <v>249</v>
      </c>
      <c r="D106" s="457">
        <f t="shared" si="31"/>
        <v>3681.3048720000002</v>
      </c>
      <c r="E106" s="456">
        <f t="shared" si="32"/>
        <v>1043.685705154448</v>
      </c>
      <c r="F106" s="456">
        <f t="shared" si="33"/>
        <v>0</v>
      </c>
      <c r="G106" s="456">
        <f t="shared" si="34"/>
        <v>2637.6191668455522</v>
      </c>
      <c r="H106" s="361">
        <f>'Rev&amp;Expense'!$D118*'Function Allocators'!D215</f>
        <v>0</v>
      </c>
      <c r="I106" s="361">
        <f>'Rev&amp;Expense'!$D118*'Function Allocators'!E215</f>
        <v>957.05462405794322</v>
      </c>
      <c r="J106" s="361">
        <f>'Rev&amp;Expense'!$D118*'Function Allocators'!F215</f>
        <v>67.849941876073586</v>
      </c>
      <c r="K106" s="361">
        <f>'Rev&amp;Expense'!$D118*'Function Allocators'!G215</f>
        <v>18.781139220431278</v>
      </c>
      <c r="L106" s="361">
        <f>'Rev&amp;Expense'!$D118*'Function Allocators'!H215</f>
        <v>0</v>
      </c>
      <c r="M106" s="361">
        <f>'Rev&amp;Expense'!$D118*'Function Allocators'!I215</f>
        <v>0</v>
      </c>
      <c r="N106" s="361">
        <f>'Rev&amp;Expense'!$D118*'Function Allocators'!J215</f>
        <v>2138.1425252226227</v>
      </c>
      <c r="O106" s="361">
        <f>'Rev&amp;Expense'!$D118*'Function Allocators'!K215</f>
        <v>411.67766592660365</v>
      </c>
      <c r="P106" s="361">
        <f>'Rev&amp;Expense'!$D118*'Function Allocators'!L215</f>
        <v>87.79897569632584</v>
      </c>
      <c r="Q106" s="361">
        <f>'Rev&amp;Expense'!$D118*'Function Allocators'!M215</f>
        <v>0</v>
      </c>
      <c r="R106" s="361">
        <f>'Rev&amp;Expense'!$D118*'Function Allocators'!N215</f>
        <v>0</v>
      </c>
      <c r="S106" s="361">
        <f>'Rev&amp;Expense'!$D118*'Function Allocators'!O215</f>
        <v>0</v>
      </c>
      <c r="U106" s="361">
        <f>D106-'Rev&amp;Expense'!D118</f>
        <v>0</v>
      </c>
    </row>
    <row r="107" spans="1:21">
      <c r="A107" s="365">
        <f t="shared" si="35"/>
        <v>8</v>
      </c>
      <c r="B107" s="385">
        <v>396</v>
      </c>
      <c r="C107" s="379" t="s">
        <v>250</v>
      </c>
      <c r="D107" s="457">
        <f t="shared" si="31"/>
        <v>94167.121488999997</v>
      </c>
      <c r="E107" s="456">
        <f t="shared" si="32"/>
        <v>26697.294033193441</v>
      </c>
      <c r="F107" s="456">
        <f t="shared" si="33"/>
        <v>0</v>
      </c>
      <c r="G107" s="456">
        <f t="shared" si="34"/>
        <v>67469.82745580656</v>
      </c>
      <c r="H107" s="361">
        <f>'Rev&amp;Expense'!$D119*'Function Allocators'!D216</f>
        <v>0</v>
      </c>
      <c r="I107" s="361">
        <f>'Rev&amp;Expense'!$D119*'Function Allocators'!E216</f>
        <v>24481.286442953849</v>
      </c>
      <c r="J107" s="361">
        <f>'Rev&amp;Expense'!$D119*'Function Allocators'!F216</f>
        <v>1735.589401535937</v>
      </c>
      <c r="K107" s="361">
        <f>'Rev&amp;Expense'!$D119*'Function Allocators'!G216</f>
        <v>480.41818870365347</v>
      </c>
      <c r="L107" s="361">
        <f>'Rev&amp;Expense'!$D119*'Function Allocators'!H216</f>
        <v>0</v>
      </c>
      <c r="M107" s="361">
        <f>'Rev&amp;Expense'!$D119*'Function Allocators'!I216</f>
        <v>0</v>
      </c>
      <c r="N107" s="361">
        <f>'Rev&amp;Expense'!$D119*'Function Allocators'!J216</f>
        <v>54693.304122907197</v>
      </c>
      <c r="O107" s="361">
        <f>'Rev&amp;Expense'!$D119*'Function Allocators'!K216</f>
        <v>10530.641207273104</v>
      </c>
      <c r="P107" s="361">
        <f>'Rev&amp;Expense'!$D119*'Function Allocators'!L216</f>
        <v>2245.8821256262618</v>
      </c>
      <c r="Q107" s="361">
        <f>'Rev&amp;Expense'!$D119*'Function Allocators'!M216</f>
        <v>0</v>
      </c>
      <c r="R107" s="361">
        <f>'Rev&amp;Expense'!$D119*'Function Allocators'!N216</f>
        <v>0</v>
      </c>
      <c r="S107" s="361">
        <f>'Rev&amp;Expense'!$D119*'Function Allocators'!O216</f>
        <v>0</v>
      </c>
      <c r="U107" s="361">
        <f>D107-'Rev&amp;Expense'!D119</f>
        <v>0</v>
      </c>
    </row>
    <row r="108" spans="1:21">
      <c r="A108" s="365">
        <f t="shared" si="35"/>
        <v>9</v>
      </c>
      <c r="B108" s="385">
        <v>397</v>
      </c>
      <c r="C108" s="379" t="s">
        <v>251</v>
      </c>
      <c r="D108" s="457">
        <f t="shared" si="31"/>
        <v>279337.67963700002</v>
      </c>
      <c r="E108" s="456">
        <f t="shared" si="32"/>
        <v>79194.946706426883</v>
      </c>
      <c r="F108" s="456">
        <f t="shared" si="33"/>
        <v>0</v>
      </c>
      <c r="G108" s="456">
        <f t="shared" si="34"/>
        <v>200142.73293057314</v>
      </c>
      <c r="H108" s="361">
        <f>'Rev&amp;Expense'!$D120*'Function Allocators'!D217</f>
        <v>0</v>
      </c>
      <c r="I108" s="361">
        <f>'Rev&amp;Expense'!$D120*'Function Allocators'!E217</f>
        <v>72621.374014308254</v>
      </c>
      <c r="J108" s="361">
        <f>'Rev&amp;Expense'!$D120*'Function Allocators'!F217</f>
        <v>5148.4584912606797</v>
      </c>
      <c r="K108" s="361">
        <f>'Rev&amp;Expense'!$D120*'Function Allocators'!G217</f>
        <v>1425.1142008579418</v>
      </c>
      <c r="L108" s="361">
        <f>'Rev&amp;Expense'!$D120*'Function Allocators'!H217</f>
        <v>0</v>
      </c>
      <c r="M108" s="361">
        <f>'Rev&amp;Expense'!$D120*'Function Allocators'!I217</f>
        <v>0</v>
      </c>
      <c r="N108" s="361">
        <f>'Rev&amp;Expense'!$D120*'Function Allocators'!J217</f>
        <v>162242.40928038061</v>
      </c>
      <c r="O108" s="361">
        <f>'Rev&amp;Expense'!$D120*'Function Allocators'!K217</f>
        <v>31238.131031466906</v>
      </c>
      <c r="P108" s="361">
        <f>'Rev&amp;Expense'!$D120*'Function Allocators'!L217</f>
        <v>6662.1926187256067</v>
      </c>
      <c r="Q108" s="361">
        <f>'Rev&amp;Expense'!$D120*'Function Allocators'!M217</f>
        <v>0</v>
      </c>
      <c r="R108" s="361">
        <f>'Rev&amp;Expense'!$D120*'Function Allocators'!N217</f>
        <v>0</v>
      </c>
      <c r="S108" s="361">
        <f>'Rev&amp;Expense'!$D120*'Function Allocators'!O217</f>
        <v>0</v>
      </c>
      <c r="U108" s="361">
        <f>D108-'Rev&amp;Expense'!D120</f>
        <v>0</v>
      </c>
    </row>
    <row r="109" spans="1:21">
      <c r="A109" s="365">
        <f t="shared" si="35"/>
        <v>10</v>
      </c>
      <c r="B109" s="385">
        <v>398</v>
      </c>
      <c r="C109" s="379" t="s">
        <v>252</v>
      </c>
      <c r="D109" s="476">
        <f t="shared" si="31"/>
        <v>6674.743199999999</v>
      </c>
      <c r="E109" s="475">
        <f t="shared" si="32"/>
        <v>1892.3545605806198</v>
      </c>
      <c r="F109" s="475">
        <f t="shared" si="33"/>
        <v>0</v>
      </c>
      <c r="G109" s="475">
        <f t="shared" si="34"/>
        <v>4782.3886394193787</v>
      </c>
      <c r="H109" s="361">
        <f>'Rev&amp;Expense'!$D121*'Function Allocators'!D218</f>
        <v>0</v>
      </c>
      <c r="I109" s="361">
        <f>'Rev&amp;Expense'!$D121*'Function Allocators'!E218</f>
        <v>1735.279762495941</v>
      </c>
      <c r="J109" s="361">
        <f>'Rev&amp;Expense'!$D121*'Function Allocators'!F218</f>
        <v>123.02185064929803</v>
      </c>
      <c r="K109" s="361">
        <f>'Rev&amp;Expense'!$D121*'Function Allocators'!G218</f>
        <v>34.052947435380716</v>
      </c>
      <c r="L109" s="361">
        <f>'Rev&amp;Expense'!$D121*'Function Allocators'!H218</f>
        <v>0</v>
      </c>
      <c r="M109" s="361">
        <f>'Rev&amp;Expense'!$D121*'Function Allocators'!I218</f>
        <v>0</v>
      </c>
      <c r="N109" s="361">
        <f>'Rev&amp;Expense'!$D121*'Function Allocators'!J218</f>
        <v>3876.7645650350591</v>
      </c>
      <c r="O109" s="361">
        <f>'Rev&amp;Expense'!$D121*'Function Allocators'!K218</f>
        <v>746.43171287864709</v>
      </c>
      <c r="P109" s="361">
        <f>'Rev&amp;Expense'!$D121*'Function Allocators'!L218</f>
        <v>159.1923615056721</v>
      </c>
      <c r="Q109" s="361">
        <f>'Rev&amp;Expense'!$D121*'Function Allocators'!M218</f>
        <v>0</v>
      </c>
      <c r="R109" s="361">
        <f>'Rev&amp;Expense'!$D121*'Function Allocators'!N218</f>
        <v>0</v>
      </c>
      <c r="S109" s="361">
        <f>'Rev&amp;Expense'!$D121*'Function Allocators'!O218</f>
        <v>0</v>
      </c>
      <c r="U109" s="361">
        <f>D109-'Rev&amp;Expense'!D121</f>
        <v>0</v>
      </c>
    </row>
    <row r="110" spans="1:21">
      <c r="A110" s="365">
        <f t="shared" si="35"/>
        <v>11</v>
      </c>
      <c r="B110" s="385"/>
      <c r="C110" s="377" t="s">
        <v>202</v>
      </c>
      <c r="D110" s="474">
        <f t="shared" ref="D110:S110" si="40">SUM(D100:D109)</f>
        <v>2036007.2546829998</v>
      </c>
      <c r="E110" s="474">
        <f t="shared" si="40"/>
        <v>577227.84208006726</v>
      </c>
      <c r="F110" s="474">
        <f t="shared" si="40"/>
        <v>0</v>
      </c>
      <c r="G110" s="474">
        <f t="shared" si="40"/>
        <v>1458779.4126029324</v>
      </c>
      <c r="H110" s="474">
        <f t="shared" si="40"/>
        <v>0</v>
      </c>
      <c r="I110" s="474">
        <f t="shared" si="40"/>
        <v>529315.0731770969</v>
      </c>
      <c r="J110" s="474">
        <f t="shared" si="40"/>
        <v>37525.5456129757</v>
      </c>
      <c r="K110" s="474">
        <f t="shared" si="40"/>
        <v>10387.223289994739</v>
      </c>
      <c r="L110" s="474">
        <f t="shared" si="40"/>
        <v>0</v>
      </c>
      <c r="M110" s="474">
        <f t="shared" si="40"/>
        <v>0</v>
      </c>
      <c r="N110" s="474">
        <f t="shared" si="40"/>
        <v>1182535.498760367</v>
      </c>
      <c r="O110" s="474">
        <f t="shared" si="40"/>
        <v>227685.22129006908</v>
      </c>
      <c r="P110" s="474">
        <f t="shared" si="40"/>
        <v>48558.692552496592</v>
      </c>
      <c r="Q110" s="474">
        <f t="shared" si="40"/>
        <v>0</v>
      </c>
      <c r="R110" s="474">
        <f t="shared" si="40"/>
        <v>0</v>
      </c>
      <c r="S110" s="474">
        <f t="shared" si="40"/>
        <v>0</v>
      </c>
      <c r="U110" s="361">
        <f>D110-'Rev&amp;Expense'!D122</f>
        <v>0</v>
      </c>
    </row>
    <row r="111" spans="1:21">
      <c r="A111" s="365">
        <f t="shared" si="35"/>
        <v>12</v>
      </c>
      <c r="B111" s="385"/>
      <c r="C111" s="377"/>
      <c r="E111" s="456"/>
      <c r="F111" s="456"/>
      <c r="G111" s="456"/>
      <c r="H111" s="456"/>
      <c r="I111" s="456"/>
      <c r="J111" s="456"/>
      <c r="K111" s="456"/>
      <c r="L111" s="456"/>
      <c r="M111" s="456"/>
      <c r="N111" s="456"/>
      <c r="O111" s="456"/>
      <c r="P111" s="456"/>
      <c r="Q111" s="456"/>
      <c r="R111" s="456"/>
      <c r="S111" s="456"/>
    </row>
    <row r="112" spans="1:21">
      <c r="A112" s="365">
        <f t="shared" si="35"/>
        <v>13</v>
      </c>
      <c r="B112" s="390"/>
      <c r="C112" s="377" t="s">
        <v>203</v>
      </c>
      <c r="E112" s="456"/>
      <c r="F112" s="456"/>
      <c r="G112" s="456"/>
      <c r="H112" s="456"/>
      <c r="I112" s="456"/>
      <c r="J112" s="456"/>
      <c r="K112" s="456"/>
      <c r="L112" s="456"/>
      <c r="M112" s="456"/>
      <c r="N112" s="456"/>
      <c r="O112" s="361">
        <f>+O72</f>
        <v>377170.68805055745</v>
      </c>
      <c r="P112" s="456"/>
      <c r="Q112" s="456"/>
      <c r="R112" s="456"/>
      <c r="S112" s="456"/>
    </row>
    <row r="113" spans="1:21">
      <c r="A113" s="365">
        <f t="shared" si="35"/>
        <v>14</v>
      </c>
      <c r="B113" s="385"/>
      <c r="C113" s="379" t="s">
        <v>205</v>
      </c>
      <c r="D113" s="521">
        <f>SUM(E113:G113)</f>
        <v>3372736.5033780001</v>
      </c>
      <c r="E113" s="361">
        <f t="shared" ref="E113:N113" si="41">+E72</f>
        <v>956203.57406470587</v>
      </c>
      <c r="F113" s="361">
        <f t="shared" si="41"/>
        <v>0</v>
      </c>
      <c r="G113" s="361">
        <f t="shared" si="41"/>
        <v>2416532.9293132941</v>
      </c>
      <c r="H113" s="361">
        <f t="shared" si="41"/>
        <v>0</v>
      </c>
      <c r="I113" s="361">
        <f t="shared" si="41"/>
        <v>876833.94299621414</v>
      </c>
      <c r="J113" s="361">
        <f t="shared" si="41"/>
        <v>62162.734050652929</v>
      </c>
      <c r="K113" s="361">
        <f t="shared" si="41"/>
        <v>17206.89701783895</v>
      </c>
      <c r="L113" s="361">
        <f t="shared" si="41"/>
        <v>0</v>
      </c>
      <c r="M113" s="361">
        <f t="shared" si="41"/>
        <v>0</v>
      </c>
      <c r="N113" s="361">
        <f t="shared" si="41"/>
        <v>1958922.608962107</v>
      </c>
      <c r="P113" s="361">
        <f>+P72</f>
        <v>80439.632300629513</v>
      </c>
      <c r="Q113" s="361">
        <f>+Q72</f>
        <v>0</v>
      </c>
      <c r="R113" s="361">
        <f>+R72</f>
        <v>0</v>
      </c>
      <c r="S113" s="361">
        <f>+S72</f>
        <v>0</v>
      </c>
      <c r="U113" s="361">
        <f>D113-'Rev&amp;Expense'!D125</f>
        <v>0</v>
      </c>
    </row>
    <row r="114" spans="1:21">
      <c r="A114" s="365">
        <f t="shared" si="35"/>
        <v>15</v>
      </c>
      <c r="B114" s="385"/>
      <c r="C114" s="379" t="s">
        <v>207</v>
      </c>
      <c r="D114" s="457">
        <f>SUM(E114:G114)</f>
        <v>232461.64</v>
      </c>
      <c r="E114" s="456">
        <f t="shared" ref="E114:S114" si="42">+E80</f>
        <v>232461.64</v>
      </c>
      <c r="F114" s="456">
        <f t="shared" si="42"/>
        <v>0</v>
      </c>
      <c r="G114" s="456">
        <f t="shared" si="42"/>
        <v>0</v>
      </c>
      <c r="H114" s="456">
        <f t="shared" si="42"/>
        <v>0</v>
      </c>
      <c r="I114" s="456">
        <f t="shared" si="42"/>
        <v>232461.64</v>
      </c>
      <c r="J114" s="456">
        <f t="shared" si="42"/>
        <v>0</v>
      </c>
      <c r="K114" s="456">
        <f t="shared" si="42"/>
        <v>0</v>
      </c>
      <c r="L114" s="456">
        <f t="shared" si="42"/>
        <v>0</v>
      </c>
      <c r="M114" s="456">
        <f t="shared" si="42"/>
        <v>0</v>
      </c>
      <c r="N114" s="456">
        <f t="shared" si="42"/>
        <v>0</v>
      </c>
      <c r="O114" s="456">
        <f t="shared" si="42"/>
        <v>0</v>
      </c>
      <c r="P114" s="456">
        <f t="shared" si="42"/>
        <v>0</v>
      </c>
      <c r="Q114" s="456">
        <f t="shared" si="42"/>
        <v>0</v>
      </c>
      <c r="R114" s="456">
        <f t="shared" si="42"/>
        <v>0</v>
      </c>
      <c r="S114" s="456">
        <f t="shared" si="42"/>
        <v>0</v>
      </c>
      <c r="U114" s="361">
        <f>D114-'Rev&amp;Expense'!D126</f>
        <v>0</v>
      </c>
    </row>
    <row r="115" spans="1:21">
      <c r="A115" s="365">
        <f t="shared" si="35"/>
        <v>16</v>
      </c>
      <c r="B115" s="385"/>
      <c r="C115" s="379" t="s">
        <v>80</v>
      </c>
      <c r="D115" s="457">
        <f>SUM(E115:G115)</f>
        <v>11803856.964308001</v>
      </c>
      <c r="E115" s="456">
        <f t="shared" ref="E115:S115" si="43">+E95</f>
        <v>2741309.7220450342</v>
      </c>
      <c r="F115" s="456">
        <f t="shared" si="43"/>
        <v>0</v>
      </c>
      <c r="G115" s="456">
        <f t="shared" si="43"/>
        <v>9062547.2422629669</v>
      </c>
      <c r="H115" s="456">
        <f t="shared" si="43"/>
        <v>0</v>
      </c>
      <c r="I115" s="456">
        <f t="shared" si="43"/>
        <v>2468668.2688770341</v>
      </c>
      <c r="J115" s="456">
        <f t="shared" si="43"/>
        <v>222434.96870000003</v>
      </c>
      <c r="K115" s="456">
        <f t="shared" si="43"/>
        <v>50206.484468000002</v>
      </c>
      <c r="L115" s="456">
        <f t="shared" si="43"/>
        <v>0</v>
      </c>
      <c r="M115" s="456">
        <f t="shared" si="43"/>
        <v>0</v>
      </c>
      <c r="N115" s="456">
        <f t="shared" si="43"/>
        <v>6740956.9714869661</v>
      </c>
      <c r="O115" s="456">
        <f t="shared" si="43"/>
        <v>2033457.6406100001</v>
      </c>
      <c r="P115" s="456">
        <f t="shared" si="43"/>
        <v>288132.63016599999</v>
      </c>
      <c r="Q115" s="456">
        <f t="shared" si="43"/>
        <v>0</v>
      </c>
      <c r="R115" s="456">
        <f t="shared" si="43"/>
        <v>0</v>
      </c>
      <c r="S115" s="456">
        <f t="shared" si="43"/>
        <v>0</v>
      </c>
      <c r="U115" s="361">
        <f>D115-'Rev&amp;Expense'!D127</f>
        <v>0</v>
      </c>
    </row>
    <row r="116" spans="1:21">
      <c r="A116" s="365">
        <f t="shared" si="35"/>
        <v>17</v>
      </c>
      <c r="B116" s="385"/>
      <c r="C116" s="379" t="s">
        <v>208</v>
      </c>
      <c r="D116" s="476">
        <f>SUM(E116:G116)</f>
        <v>2036007.2546829996</v>
      </c>
      <c r="E116" s="475">
        <f t="shared" ref="E116:S116" si="44">+E110</f>
        <v>577227.84208006726</v>
      </c>
      <c r="F116" s="475">
        <f t="shared" si="44"/>
        <v>0</v>
      </c>
      <c r="G116" s="475">
        <f t="shared" si="44"/>
        <v>1458779.4126029324</v>
      </c>
      <c r="H116" s="475">
        <f t="shared" si="44"/>
        <v>0</v>
      </c>
      <c r="I116" s="475">
        <f t="shared" si="44"/>
        <v>529315.0731770969</v>
      </c>
      <c r="J116" s="475">
        <f t="shared" si="44"/>
        <v>37525.5456129757</v>
      </c>
      <c r="K116" s="475">
        <f t="shared" si="44"/>
        <v>10387.223289994739</v>
      </c>
      <c r="L116" s="475">
        <f t="shared" si="44"/>
        <v>0</v>
      </c>
      <c r="M116" s="475">
        <f t="shared" si="44"/>
        <v>0</v>
      </c>
      <c r="N116" s="475">
        <f t="shared" si="44"/>
        <v>1182535.498760367</v>
      </c>
      <c r="O116" s="475">
        <f t="shared" si="44"/>
        <v>227685.22129006908</v>
      </c>
      <c r="P116" s="475">
        <f t="shared" si="44"/>
        <v>48558.692552496592</v>
      </c>
      <c r="Q116" s="475">
        <f t="shared" si="44"/>
        <v>0</v>
      </c>
      <c r="R116" s="475">
        <f t="shared" si="44"/>
        <v>0</v>
      </c>
      <c r="S116" s="475">
        <f t="shared" si="44"/>
        <v>0</v>
      </c>
      <c r="U116" s="361">
        <f>D116-'Rev&amp;Expense'!D128</f>
        <v>0</v>
      </c>
    </row>
    <row r="117" spans="1:21">
      <c r="A117" s="365">
        <f t="shared" si="35"/>
        <v>18</v>
      </c>
      <c r="B117" s="385"/>
      <c r="C117" s="377" t="s">
        <v>209</v>
      </c>
      <c r="D117" s="474">
        <f t="shared" ref="D117:N117" si="45">SUM(D113:D116)</f>
        <v>17445062.362369001</v>
      </c>
      <c r="E117" s="474">
        <f t="shared" si="45"/>
        <v>4507202.7781898072</v>
      </c>
      <c r="F117" s="474">
        <f t="shared" si="45"/>
        <v>0</v>
      </c>
      <c r="G117" s="474">
        <f t="shared" si="45"/>
        <v>12937859.584179195</v>
      </c>
      <c r="H117" s="474">
        <f t="shared" si="45"/>
        <v>0</v>
      </c>
      <c r="I117" s="474">
        <f t="shared" si="45"/>
        <v>4107278.9250503452</v>
      </c>
      <c r="J117" s="474">
        <f t="shared" si="45"/>
        <v>322123.24836362869</v>
      </c>
      <c r="K117" s="474">
        <f t="shared" si="45"/>
        <v>77800.604775833694</v>
      </c>
      <c r="L117" s="474">
        <f t="shared" si="45"/>
        <v>0</v>
      </c>
      <c r="M117" s="474">
        <f t="shared" si="45"/>
        <v>0</v>
      </c>
      <c r="N117" s="474">
        <f t="shared" si="45"/>
        <v>9882415.0792094395</v>
      </c>
      <c r="O117" s="474">
        <f>SUM(O112:O116)</f>
        <v>2638313.5499506267</v>
      </c>
      <c r="P117" s="474">
        <f>SUM(P113:P116)</f>
        <v>417130.95501912606</v>
      </c>
      <c r="Q117" s="474">
        <f>SUM(Q113:Q116)</f>
        <v>0</v>
      </c>
      <c r="R117" s="474">
        <f>SUM(R113:R116)</f>
        <v>0</v>
      </c>
      <c r="S117" s="474">
        <f>SUM(S113:S116)</f>
        <v>0</v>
      </c>
      <c r="U117" s="361">
        <f>D117-'Rev&amp;Expense'!D129</f>
        <v>0</v>
      </c>
    </row>
    <row r="118" spans="1:21">
      <c r="A118" s="365">
        <f t="shared" si="35"/>
        <v>19</v>
      </c>
      <c r="B118" s="390"/>
      <c r="C118" s="377"/>
      <c r="E118" s="456"/>
      <c r="F118" s="456"/>
      <c r="G118" s="456"/>
      <c r="H118" s="456"/>
      <c r="I118" s="456"/>
      <c r="J118" s="456"/>
      <c r="K118" s="456"/>
      <c r="L118" s="456"/>
      <c r="M118" s="456"/>
      <c r="N118" s="456"/>
      <c r="O118" s="456"/>
      <c r="P118" s="456"/>
      <c r="Q118" s="456"/>
      <c r="R118" s="456"/>
      <c r="S118" s="456"/>
    </row>
    <row r="119" spans="1:21">
      <c r="A119" s="365">
        <f t="shared" si="35"/>
        <v>20</v>
      </c>
      <c r="B119" s="385"/>
      <c r="C119" s="387" t="s">
        <v>38</v>
      </c>
      <c r="D119" s="457"/>
      <c r="E119" s="456"/>
      <c r="F119" s="456"/>
      <c r="G119" s="456"/>
      <c r="H119" s="456"/>
      <c r="I119" s="456"/>
      <c r="J119" s="456"/>
      <c r="K119" s="456"/>
      <c r="L119" s="456"/>
      <c r="M119" s="456"/>
      <c r="N119" s="456"/>
      <c r="O119" s="456"/>
      <c r="P119" s="456"/>
      <c r="Q119" s="456"/>
      <c r="R119" s="456"/>
      <c r="S119" s="456"/>
    </row>
    <row r="120" spans="1:21">
      <c r="A120" s="365">
        <f t="shared" si="35"/>
        <v>21</v>
      </c>
      <c r="B120" s="390">
        <v>431</v>
      </c>
      <c r="C120" s="379" t="s">
        <v>291</v>
      </c>
      <c r="D120" s="476">
        <f>SUM(E120:G120)</f>
        <v>53976.84</v>
      </c>
      <c r="E120" s="475">
        <f>SUM(H120:K120)</f>
        <v>0</v>
      </c>
      <c r="F120" s="475">
        <f>SUM(L120:M120)</f>
        <v>0</v>
      </c>
      <c r="G120" s="475">
        <f>SUM(N120:S120)</f>
        <v>53976.84</v>
      </c>
      <c r="H120" s="475">
        <f>'Rev&amp;Expense'!$D137*'Function Allocators'!D222</f>
        <v>0</v>
      </c>
      <c r="I120" s="475">
        <f>'Rev&amp;Expense'!$D137*'Function Allocators'!E222</f>
        <v>0</v>
      </c>
      <c r="J120" s="475">
        <f>'Rev&amp;Expense'!$D137*'Function Allocators'!F222</f>
        <v>0</v>
      </c>
      <c r="K120" s="475">
        <f>'Rev&amp;Expense'!$D137*'Function Allocators'!G222</f>
        <v>0</v>
      </c>
      <c r="L120" s="475">
        <f>'Rev&amp;Expense'!$D137*'Function Allocators'!H222</f>
        <v>0</v>
      </c>
      <c r="M120" s="475">
        <f>'Rev&amp;Expense'!$D137*'Function Allocators'!I222</f>
        <v>0</v>
      </c>
      <c r="N120" s="475">
        <f>'Rev&amp;Expense'!$D137*'Function Allocators'!J222</f>
        <v>0</v>
      </c>
      <c r="O120" s="475">
        <f>'Rev&amp;Expense'!$D137*'Function Allocators'!K222</f>
        <v>0</v>
      </c>
      <c r="P120" s="475">
        <f>'Rev&amp;Expense'!$D137*'Function Allocators'!L222</f>
        <v>0</v>
      </c>
      <c r="Q120" s="475">
        <f>'Rev&amp;Expense'!$D137*'Function Allocators'!M222</f>
        <v>0</v>
      </c>
      <c r="R120" s="475">
        <f>'Rev&amp;Expense'!$D137*'Function Allocators'!N222</f>
        <v>0</v>
      </c>
      <c r="S120" s="475">
        <f>'Rev&amp;Expense'!$D137*'Function Allocators'!O222</f>
        <v>53976.84</v>
      </c>
      <c r="U120" s="456">
        <f>D120-'Rev&amp;Expense'!D137</f>
        <v>0</v>
      </c>
    </row>
    <row r="121" spans="1:21">
      <c r="A121" s="365">
        <f t="shared" si="35"/>
        <v>22</v>
      </c>
      <c r="B121" s="385"/>
      <c r="C121" s="377" t="s">
        <v>210</v>
      </c>
      <c r="D121" s="474">
        <f t="shared" ref="D121:S121" si="46">SUM(D120)</f>
        <v>53976.84</v>
      </c>
      <c r="E121" s="474">
        <f t="shared" si="46"/>
        <v>0</v>
      </c>
      <c r="F121" s="474">
        <f t="shared" si="46"/>
        <v>0</v>
      </c>
      <c r="G121" s="474">
        <f t="shared" si="46"/>
        <v>53976.84</v>
      </c>
      <c r="H121" s="474">
        <f t="shared" si="46"/>
        <v>0</v>
      </c>
      <c r="I121" s="474">
        <f t="shared" si="46"/>
        <v>0</v>
      </c>
      <c r="J121" s="474">
        <f t="shared" si="46"/>
        <v>0</v>
      </c>
      <c r="K121" s="474">
        <f t="shared" si="46"/>
        <v>0</v>
      </c>
      <c r="L121" s="474">
        <f t="shared" si="46"/>
        <v>0</v>
      </c>
      <c r="M121" s="474">
        <f t="shared" si="46"/>
        <v>0</v>
      </c>
      <c r="N121" s="474">
        <f t="shared" si="46"/>
        <v>0</v>
      </c>
      <c r="O121" s="474">
        <f t="shared" si="46"/>
        <v>0</v>
      </c>
      <c r="P121" s="474">
        <f t="shared" si="46"/>
        <v>0</v>
      </c>
      <c r="Q121" s="474">
        <f t="shared" si="46"/>
        <v>0</v>
      </c>
      <c r="R121" s="474">
        <f t="shared" si="46"/>
        <v>0</v>
      </c>
      <c r="S121" s="474">
        <f t="shared" si="46"/>
        <v>53976.84</v>
      </c>
    </row>
    <row r="122" spans="1:21">
      <c r="A122" s="365">
        <f t="shared" si="35"/>
        <v>23</v>
      </c>
      <c r="B122" s="385"/>
      <c r="C122" s="387"/>
      <c r="E122" s="456"/>
      <c r="F122" s="456"/>
      <c r="G122" s="456"/>
      <c r="H122" s="456"/>
      <c r="I122" s="456"/>
      <c r="J122" s="456"/>
      <c r="K122" s="456"/>
      <c r="L122" s="456"/>
      <c r="M122" s="456"/>
      <c r="N122" s="456"/>
      <c r="O122" s="456"/>
      <c r="P122" s="456"/>
      <c r="Q122" s="456"/>
      <c r="R122" s="456"/>
      <c r="S122" s="456"/>
    </row>
    <row r="123" spans="1:21">
      <c r="A123" s="365">
        <f t="shared" si="35"/>
        <v>24</v>
      </c>
      <c r="B123" s="385"/>
      <c r="C123" s="377" t="s">
        <v>212</v>
      </c>
      <c r="E123" s="456"/>
      <c r="F123" s="456"/>
      <c r="G123" s="456"/>
      <c r="H123" s="456"/>
      <c r="I123" s="456"/>
      <c r="J123" s="456"/>
      <c r="K123" s="456"/>
      <c r="L123" s="456"/>
      <c r="M123" s="456"/>
      <c r="N123" s="456"/>
      <c r="O123" s="456"/>
      <c r="P123" s="456"/>
      <c r="Q123" s="456"/>
      <c r="R123" s="456"/>
      <c r="S123" s="456"/>
    </row>
    <row r="124" spans="1:21">
      <c r="A124" s="365">
        <f t="shared" si="35"/>
        <v>25</v>
      </c>
      <c r="B124" s="385">
        <v>408</v>
      </c>
      <c r="C124" s="379" t="s">
        <v>213</v>
      </c>
      <c r="D124" s="521">
        <f>SUM(E124:G124)</f>
        <v>4971210.869877005</v>
      </c>
      <c r="E124" s="361">
        <f>SUM(H124:K124)</f>
        <v>1409386.5905162767</v>
      </c>
      <c r="F124" s="361">
        <f>SUM(L124:M124)</f>
        <v>0</v>
      </c>
      <c r="G124" s="361">
        <f>SUM(N124:S124)</f>
        <v>3561824.2793607283</v>
      </c>
      <c r="H124" s="361">
        <f>'Rev&amp;Expense'!$D132*'Function Allocators'!D226</f>
        <v>0</v>
      </c>
      <c r="I124" s="361">
        <f>'Rev&amp;Expense'!$D132*'Function Allocators'!E226</f>
        <v>1292400.5252512803</v>
      </c>
      <c r="J124" s="361">
        <f>'Rev&amp;Expense'!$D132*'Function Allocators'!F226</f>
        <v>91624.133371928969</v>
      </c>
      <c r="K124" s="361">
        <f>'Rev&amp;Expense'!$D132*'Function Allocators'!G226</f>
        <v>25361.931893067427</v>
      </c>
      <c r="L124" s="361">
        <f>'Rev&amp;Expense'!$D132*'Function Allocators'!H226</f>
        <v>0</v>
      </c>
      <c r="M124" s="361">
        <f>'Rev&amp;Expense'!$D132*'Function Allocators'!I226</f>
        <v>0</v>
      </c>
      <c r="N124" s="361">
        <f>'Rev&amp;Expense'!$D132*'Function Allocators'!J226</f>
        <v>2887334.1742430315</v>
      </c>
      <c r="O124" s="361">
        <f>'Rev&amp;Expense'!$D132*'Function Allocators'!K226</f>
        <v>555926.92235459224</v>
      </c>
      <c r="P124" s="361">
        <f>'Rev&amp;Expense'!$D132*'Function Allocators'!L226</f>
        <v>118563.18276310421</v>
      </c>
      <c r="Q124" s="361">
        <f>'Rev&amp;Expense'!$D132*'Function Allocators'!M226</f>
        <v>0</v>
      </c>
      <c r="R124" s="361">
        <f>'Rev&amp;Expense'!$D132*'Function Allocators'!N226</f>
        <v>0</v>
      </c>
      <c r="S124" s="361">
        <f>'Rev&amp;Expense'!$D132*'Function Allocators'!O226</f>
        <v>0</v>
      </c>
      <c r="U124" s="361">
        <f>D124-'Rev&amp;Expense'!D132</f>
        <v>0</v>
      </c>
    </row>
    <row r="125" spans="1:21">
      <c r="A125" s="365">
        <f t="shared" si="35"/>
        <v>26</v>
      </c>
      <c r="B125" s="385">
        <v>408</v>
      </c>
      <c r="C125" s="381" t="s">
        <v>214</v>
      </c>
      <c r="D125" s="476">
        <f>SUM(E125:G125)</f>
        <v>881569.91580000008</v>
      </c>
      <c r="E125" s="475">
        <f>SUM(H125:K125)</f>
        <v>249933.63799146662</v>
      </c>
      <c r="F125" s="475">
        <f>SUM(L125:M125)</f>
        <v>0</v>
      </c>
      <c r="G125" s="475">
        <f>SUM(N125:S125)</f>
        <v>631636.27780853352</v>
      </c>
      <c r="H125" s="361">
        <f>'Rev&amp;Expense'!$D133*'Function Allocators'!D227</f>
        <v>0</v>
      </c>
      <c r="I125" s="361">
        <f>'Rev&amp;Expense'!$D133*'Function Allocators'!E227</f>
        <v>229187.90854949915</v>
      </c>
      <c r="J125" s="361">
        <f>'Rev&amp;Expense'!$D133*'Function Allocators'!F227</f>
        <v>16248.170044723502</v>
      </c>
      <c r="K125" s="361">
        <f>'Rev&amp;Expense'!$D133*'Function Allocators'!G227</f>
        <v>4497.5593972439892</v>
      </c>
      <c r="L125" s="361">
        <f>'Rev&amp;Expense'!$D133*'Function Allocators'!H227</f>
        <v>0</v>
      </c>
      <c r="M125" s="361">
        <f>'Rev&amp;Expense'!$D133*'Function Allocators'!I227</f>
        <v>0</v>
      </c>
      <c r="N125" s="361">
        <f>'Rev&amp;Expense'!$D133*'Function Allocators'!J227</f>
        <v>512025.5429713584</v>
      </c>
      <c r="O125" s="361">
        <f>'Rev&amp;Expense'!$D133*'Function Allocators'!K227</f>
        <v>98585.327188749216</v>
      </c>
      <c r="P125" s="361">
        <f>'Rev&amp;Expense'!$D133*'Function Allocators'!L227</f>
        <v>21025.407648425869</v>
      </c>
      <c r="Q125" s="361">
        <f>'Rev&amp;Expense'!$D133*'Function Allocators'!M227</f>
        <v>0</v>
      </c>
      <c r="R125" s="361">
        <f>'Rev&amp;Expense'!$D133*'Function Allocators'!N227</f>
        <v>0</v>
      </c>
      <c r="S125" s="361">
        <f>'Rev&amp;Expense'!$D133*'Function Allocators'!O227</f>
        <v>0</v>
      </c>
      <c r="U125" s="361">
        <f>D125-'Rev&amp;Expense'!D133</f>
        <v>0</v>
      </c>
    </row>
    <row r="126" spans="1:21">
      <c r="A126" s="365">
        <f t="shared" si="35"/>
        <v>27</v>
      </c>
      <c r="B126" s="385"/>
      <c r="C126" s="377" t="s">
        <v>215</v>
      </c>
      <c r="D126" s="474">
        <f t="shared" ref="D126:S126" si="47">SUM(D124:D125)</f>
        <v>5852780.7856770046</v>
      </c>
      <c r="E126" s="474">
        <f t="shared" si="47"/>
        <v>1659320.2285077432</v>
      </c>
      <c r="F126" s="474">
        <f t="shared" si="47"/>
        <v>0</v>
      </c>
      <c r="G126" s="474">
        <f t="shared" si="47"/>
        <v>4193460.5571692619</v>
      </c>
      <c r="H126" s="474">
        <f t="shared" si="47"/>
        <v>0</v>
      </c>
      <c r="I126" s="474">
        <f t="shared" si="47"/>
        <v>1521588.4338007795</v>
      </c>
      <c r="J126" s="474">
        <f t="shared" si="47"/>
        <v>107872.30341665247</v>
      </c>
      <c r="K126" s="474">
        <f t="shared" si="47"/>
        <v>29859.491290311416</v>
      </c>
      <c r="L126" s="474">
        <f t="shared" si="47"/>
        <v>0</v>
      </c>
      <c r="M126" s="474">
        <f t="shared" si="47"/>
        <v>0</v>
      </c>
      <c r="N126" s="474">
        <f t="shared" si="47"/>
        <v>3399359.7172143897</v>
      </c>
      <c r="O126" s="474">
        <f t="shared" si="47"/>
        <v>654512.24954334146</v>
      </c>
      <c r="P126" s="474">
        <f t="shared" si="47"/>
        <v>139588.59041153008</v>
      </c>
      <c r="Q126" s="474">
        <f t="shared" si="47"/>
        <v>0</v>
      </c>
      <c r="R126" s="474">
        <f t="shared" si="47"/>
        <v>0</v>
      </c>
      <c r="S126" s="474">
        <f t="shared" si="47"/>
        <v>0</v>
      </c>
      <c r="U126" s="361">
        <f>D126-'Rev&amp;Expense'!D134</f>
        <v>0</v>
      </c>
    </row>
    <row r="127" spans="1:21">
      <c r="A127" s="365">
        <f t="shared" si="35"/>
        <v>28</v>
      </c>
      <c r="B127" s="385"/>
      <c r="C127" s="387"/>
      <c r="D127" s="523"/>
      <c r="E127" s="475"/>
      <c r="F127" s="475"/>
      <c r="G127" s="475"/>
      <c r="H127" s="475"/>
      <c r="I127" s="475"/>
      <c r="J127" s="475"/>
      <c r="K127" s="475"/>
      <c r="L127" s="475"/>
      <c r="M127" s="475"/>
      <c r="N127" s="475"/>
      <c r="O127" s="475"/>
      <c r="P127" s="475"/>
      <c r="Q127" s="475"/>
      <c r="R127" s="475"/>
      <c r="S127" s="475"/>
    </row>
    <row r="128" spans="1:21" s="364" customFormat="1">
      <c r="A128" s="365">
        <f t="shared" si="35"/>
        <v>29</v>
      </c>
      <c r="B128" s="522"/>
      <c r="C128" s="387" t="s">
        <v>292</v>
      </c>
      <c r="D128" s="474">
        <f t="shared" ref="D128:S128" si="48">+D126+D121+D117+D65</f>
        <v>52314640.538121127</v>
      </c>
      <c r="E128" s="474">
        <f t="shared" si="48"/>
        <v>11359772.681527356</v>
      </c>
      <c r="F128" s="474">
        <f t="shared" si="48"/>
        <v>256290.8951683788</v>
      </c>
      <c r="G128" s="474">
        <f t="shared" si="48"/>
        <v>40698576.961425394</v>
      </c>
      <c r="H128" s="474">
        <f t="shared" si="48"/>
        <v>0</v>
      </c>
      <c r="I128" s="474">
        <f t="shared" si="48"/>
        <v>9501107.415534813</v>
      </c>
      <c r="J128" s="474">
        <f t="shared" si="48"/>
        <v>1617490.58905767</v>
      </c>
      <c r="K128" s="474">
        <f t="shared" si="48"/>
        <v>241174.67693487304</v>
      </c>
      <c r="L128" s="474">
        <f t="shared" si="48"/>
        <v>256290.8951683788</v>
      </c>
      <c r="M128" s="474">
        <f t="shared" si="48"/>
        <v>0</v>
      </c>
      <c r="N128" s="474">
        <f t="shared" si="48"/>
        <v>22231653.68872958</v>
      </c>
      <c r="O128" s="474">
        <f t="shared" si="48"/>
        <v>10072082.026568055</v>
      </c>
      <c r="P128" s="474">
        <f t="shared" si="48"/>
        <v>1635689.7530481024</v>
      </c>
      <c r="Q128" s="474">
        <f t="shared" si="48"/>
        <v>108946.5715256031</v>
      </c>
      <c r="R128" s="474">
        <f t="shared" si="48"/>
        <v>5775076.0166293187</v>
      </c>
      <c r="S128" s="474">
        <f t="shared" si="48"/>
        <v>875128.90492473356</v>
      </c>
      <c r="U128" s="361"/>
    </row>
    <row r="129" spans="1:21">
      <c r="A129" s="365">
        <f t="shared" si="35"/>
        <v>30</v>
      </c>
      <c r="B129" s="385"/>
      <c r="C129" s="387"/>
      <c r="D129" s="458"/>
      <c r="E129" s="456"/>
      <c r="F129" s="456"/>
      <c r="G129" s="456"/>
      <c r="H129" s="456"/>
      <c r="I129" s="456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</row>
    <row r="130" spans="1:21">
      <c r="A130" s="365">
        <f t="shared" si="35"/>
        <v>31</v>
      </c>
      <c r="B130" s="385"/>
      <c r="C130" s="387" t="s">
        <v>216</v>
      </c>
      <c r="E130" s="456"/>
      <c r="F130" s="456"/>
      <c r="G130" s="456"/>
      <c r="H130" s="456"/>
      <c r="I130" s="456"/>
      <c r="J130" s="456"/>
      <c r="K130" s="456"/>
      <c r="L130" s="456"/>
      <c r="M130" s="456"/>
      <c r="N130" s="456"/>
      <c r="O130" s="456"/>
      <c r="P130" s="456"/>
      <c r="Q130" s="456"/>
      <c r="R130" s="456"/>
      <c r="S130" s="456"/>
    </row>
    <row r="131" spans="1:21">
      <c r="A131" s="365">
        <f t="shared" si="35"/>
        <v>32</v>
      </c>
      <c r="B131" s="385">
        <v>409</v>
      </c>
      <c r="C131" s="381" t="s">
        <v>217</v>
      </c>
      <c r="D131" s="521">
        <f>SUM(E131:G131)</f>
        <v>1368864.2109483427</v>
      </c>
      <c r="E131" s="361">
        <f>SUM(H131:K131)</f>
        <v>388086.30606248468</v>
      </c>
      <c r="F131" s="361">
        <f>SUM(L131:M131)</f>
        <v>0</v>
      </c>
      <c r="G131" s="361">
        <f>SUM(N131:S131)</f>
        <v>980777.90488585806</v>
      </c>
      <c r="H131" s="361">
        <f>'Rev&amp;Expense'!$D141*'Function Allocators'!D231</f>
        <v>0</v>
      </c>
      <c r="I131" s="361">
        <f>'Rev&amp;Expense'!$D141*'Function Allocators'!E231</f>
        <v>355873.22113959899</v>
      </c>
      <c r="J131" s="361">
        <f>'Rev&amp;Expense'!$D141*'Function Allocators'!F231</f>
        <v>25229.466283954756</v>
      </c>
      <c r="K131" s="361">
        <f>'Rev&amp;Expense'!$D141*'Function Allocators'!G231</f>
        <v>6983.6186389309823</v>
      </c>
      <c r="L131" s="361">
        <f>'Rev&amp;Expense'!$D141*'Function Allocators'!H231</f>
        <v>0</v>
      </c>
      <c r="M131" s="361">
        <f>'Rev&amp;Expense'!$D141*'Function Allocators'!I231</f>
        <v>0</v>
      </c>
      <c r="N131" s="361">
        <f>'Rev&amp;Expense'!$D141*'Function Allocators'!J231</f>
        <v>795051.45117031818</v>
      </c>
      <c r="O131" s="361">
        <f>'Rev&amp;Expense'!$D141*'Function Allocators'!K231</f>
        <v>153079.09638777556</v>
      </c>
      <c r="P131" s="361">
        <f>'Rev&amp;Expense'!$D141*'Function Allocators'!L231</f>
        <v>32647.357327764348</v>
      </c>
      <c r="Q131" s="361">
        <f>'Rev&amp;Expense'!$D141*'Function Allocators'!M231</f>
        <v>0</v>
      </c>
      <c r="R131" s="361">
        <f>'Rev&amp;Expense'!$D141*'Function Allocators'!N231</f>
        <v>0</v>
      </c>
      <c r="S131" s="361">
        <f>'Rev&amp;Expense'!$D141*'Function Allocators'!O231</f>
        <v>0</v>
      </c>
      <c r="U131" s="361">
        <f>D131-'Rev&amp;Expense'!D141</f>
        <v>0</v>
      </c>
    </row>
    <row r="132" spans="1:21">
      <c r="A132" s="365">
        <f t="shared" si="35"/>
        <v>33</v>
      </c>
      <c r="B132" s="390">
        <v>410.1</v>
      </c>
      <c r="C132" s="379" t="s">
        <v>218</v>
      </c>
      <c r="D132" s="457">
        <f>SUM(E132:G132)</f>
        <v>2527569.4974074755</v>
      </c>
      <c r="E132" s="456">
        <f>SUM(H132:K132)</f>
        <v>716590.5147636995</v>
      </c>
      <c r="F132" s="456">
        <f>SUM(L132:M132)</f>
        <v>0</v>
      </c>
      <c r="G132" s="456">
        <f>SUM(N132:S132)</f>
        <v>1810978.9826437761</v>
      </c>
      <c r="H132" s="361">
        <f>'Rev&amp;Expense'!$D142*'Function Allocators'!D232</f>
        <v>0</v>
      </c>
      <c r="I132" s="361">
        <f>'Rev&amp;Expense'!$D142*'Function Allocators'!E232</f>
        <v>657109.95400590554</v>
      </c>
      <c r="J132" s="361">
        <f>'Rev&amp;Expense'!$D142*'Function Allocators'!F232</f>
        <v>46585.504175768721</v>
      </c>
      <c r="K132" s="361">
        <f>'Rev&amp;Expense'!$D142*'Function Allocators'!G232</f>
        <v>12895.056582025276</v>
      </c>
      <c r="L132" s="361">
        <f>'Rev&amp;Expense'!$D142*'Function Allocators'!H232</f>
        <v>0</v>
      </c>
      <c r="M132" s="361">
        <f>'Rev&amp;Expense'!$D142*'Function Allocators'!I232</f>
        <v>0</v>
      </c>
      <c r="N132" s="361">
        <f>'Rev&amp;Expense'!$D142*'Function Allocators'!J232</f>
        <v>1468040.2780458697</v>
      </c>
      <c r="O132" s="361">
        <f>'Rev&amp;Expense'!$D142*'Function Allocators'!K232</f>
        <v>282656.27198506804</v>
      </c>
      <c r="P132" s="361">
        <f>'Rev&amp;Expense'!$D142*'Function Allocators'!L232</f>
        <v>60282.43261283834</v>
      </c>
      <c r="Q132" s="361">
        <f>'Rev&amp;Expense'!$D142*'Function Allocators'!M232</f>
        <v>0</v>
      </c>
      <c r="R132" s="361">
        <f>'Rev&amp;Expense'!$D142*'Function Allocators'!N232</f>
        <v>0</v>
      </c>
      <c r="S132" s="361">
        <f>'Rev&amp;Expense'!$D142*'Function Allocators'!O232</f>
        <v>0</v>
      </c>
      <c r="U132" s="361">
        <f>D132-'Rev&amp;Expense'!D142</f>
        <v>0</v>
      </c>
    </row>
    <row r="133" spans="1:21">
      <c r="A133" s="365">
        <f t="shared" si="35"/>
        <v>34</v>
      </c>
      <c r="B133" s="385">
        <v>411</v>
      </c>
      <c r="C133" s="379" t="s">
        <v>219</v>
      </c>
      <c r="D133" s="476">
        <f>SUM(E133:G133)</f>
        <v>-2143670.7200000002</v>
      </c>
      <c r="E133" s="475">
        <f>SUM(H133:K133)</f>
        <v>-607751.48074238154</v>
      </c>
      <c r="F133" s="475">
        <f>SUM(L133:M133)</f>
        <v>0</v>
      </c>
      <c r="G133" s="475">
        <f>SUM(N133:S133)</f>
        <v>-1535919.2392576186</v>
      </c>
      <c r="H133" s="361">
        <f>'Rev&amp;Expense'!$D143*'Function Allocators'!D233</f>
        <v>0</v>
      </c>
      <c r="I133" s="361">
        <f>'Rev&amp;Expense'!$D143*'Function Allocators'!E233</f>
        <v>-557305.09869969287</v>
      </c>
      <c r="J133" s="361">
        <f>'Rev&amp;Expense'!$D143*'Function Allocators'!F233</f>
        <v>-39509.885437557095</v>
      </c>
      <c r="K133" s="361">
        <f>'Rev&amp;Expense'!$D143*'Function Allocators'!G233</f>
        <v>-10936.496605131528</v>
      </c>
      <c r="L133" s="361">
        <f>'Rev&amp;Expense'!$D143*'Function Allocators'!H233</f>
        <v>0</v>
      </c>
      <c r="M133" s="361">
        <f>'Rev&amp;Expense'!$D143*'Function Allocators'!I233</f>
        <v>0</v>
      </c>
      <c r="N133" s="361">
        <f>'Rev&amp;Expense'!$D143*'Function Allocators'!J233</f>
        <v>-1245067.6284293896</v>
      </c>
      <c r="O133" s="361">
        <f>'Rev&amp;Expense'!$D143*'Function Allocators'!K233</f>
        <v>-239725.14888324137</v>
      </c>
      <c r="P133" s="361">
        <f>'Rev&amp;Expense'!$D143*'Function Allocators'!L233</f>
        <v>-51126.461944987561</v>
      </c>
      <c r="Q133" s="361">
        <f>'Rev&amp;Expense'!$D143*'Function Allocators'!M233</f>
        <v>0</v>
      </c>
      <c r="R133" s="361">
        <f>'Rev&amp;Expense'!$D143*'Function Allocators'!N233</f>
        <v>0</v>
      </c>
      <c r="S133" s="361">
        <f>'Rev&amp;Expense'!$D143*'Function Allocators'!O233</f>
        <v>0</v>
      </c>
      <c r="U133" s="361">
        <f>D133-'Rev&amp;Expense'!D143</f>
        <v>0</v>
      </c>
    </row>
    <row r="134" spans="1:21">
      <c r="A134" s="365">
        <f t="shared" si="35"/>
        <v>35</v>
      </c>
      <c r="B134" s="385"/>
      <c r="C134" s="377" t="s">
        <v>220</v>
      </c>
      <c r="D134" s="474">
        <f t="shared" ref="D134:S134" si="49">SUM(D131:D133)</f>
        <v>1752762.9883558177</v>
      </c>
      <c r="E134" s="474">
        <f t="shared" si="49"/>
        <v>496925.3400838027</v>
      </c>
      <c r="F134" s="474">
        <f t="shared" si="49"/>
        <v>0</v>
      </c>
      <c r="G134" s="474">
        <f t="shared" si="49"/>
        <v>1255837.6482720154</v>
      </c>
      <c r="H134" s="474">
        <f t="shared" si="49"/>
        <v>0</v>
      </c>
      <c r="I134" s="474">
        <f t="shared" si="49"/>
        <v>455678.07644581166</v>
      </c>
      <c r="J134" s="474">
        <f t="shared" si="49"/>
        <v>32305.085022166386</v>
      </c>
      <c r="K134" s="474">
        <f t="shared" si="49"/>
        <v>8942.1786158247305</v>
      </c>
      <c r="L134" s="474">
        <f t="shared" si="49"/>
        <v>0</v>
      </c>
      <c r="M134" s="474">
        <f t="shared" si="49"/>
        <v>0</v>
      </c>
      <c r="N134" s="474">
        <f t="shared" si="49"/>
        <v>1018024.1007867982</v>
      </c>
      <c r="O134" s="474">
        <f t="shared" si="49"/>
        <v>196010.21948960223</v>
      </c>
      <c r="P134" s="474">
        <f t="shared" si="49"/>
        <v>41803.327995615124</v>
      </c>
      <c r="Q134" s="474">
        <f t="shared" si="49"/>
        <v>0</v>
      </c>
      <c r="R134" s="474">
        <f t="shared" si="49"/>
        <v>0</v>
      </c>
      <c r="S134" s="474">
        <f t="shared" si="49"/>
        <v>0</v>
      </c>
      <c r="U134" s="361">
        <f>D134-'Rev&amp;Expense'!D144</f>
        <v>0</v>
      </c>
    </row>
    <row r="135" spans="1:21">
      <c r="A135" s="365">
        <f t="shared" si="35"/>
        <v>36</v>
      </c>
      <c r="B135" s="385"/>
      <c r="C135" s="377"/>
      <c r="E135" s="456"/>
      <c r="F135" s="456"/>
      <c r="G135" s="456"/>
      <c r="H135" s="456"/>
      <c r="I135" s="456"/>
      <c r="J135" s="456"/>
      <c r="K135" s="456"/>
      <c r="L135" s="456"/>
      <c r="M135" s="456"/>
      <c r="N135" s="456"/>
      <c r="O135" s="456"/>
      <c r="P135" s="456"/>
      <c r="Q135" s="456"/>
      <c r="R135" s="456"/>
      <c r="S135" s="456"/>
    </row>
    <row r="136" spans="1:21" ht="21.75" customHeight="1" thickBot="1">
      <c r="A136" s="365">
        <f t="shared" si="35"/>
        <v>37</v>
      </c>
      <c r="B136" s="385"/>
      <c r="C136" s="387" t="s">
        <v>293</v>
      </c>
      <c r="D136" s="488">
        <f t="shared" ref="D136:S136" si="50">+D134+D128</f>
        <v>54067403.526476942</v>
      </c>
      <c r="E136" s="488">
        <f t="shared" si="50"/>
        <v>11856698.021611158</v>
      </c>
      <c r="F136" s="488">
        <f t="shared" si="50"/>
        <v>256290.8951683788</v>
      </c>
      <c r="G136" s="488">
        <f t="shared" si="50"/>
        <v>41954414.609697409</v>
      </c>
      <c r="H136" s="488">
        <f t="shared" si="50"/>
        <v>0</v>
      </c>
      <c r="I136" s="488">
        <f t="shared" si="50"/>
        <v>9956785.4919806253</v>
      </c>
      <c r="J136" s="488">
        <f t="shared" si="50"/>
        <v>1649795.6740798363</v>
      </c>
      <c r="K136" s="488">
        <f t="shared" si="50"/>
        <v>250116.85555069777</v>
      </c>
      <c r="L136" s="488">
        <f t="shared" si="50"/>
        <v>256290.8951683788</v>
      </c>
      <c r="M136" s="488">
        <f t="shared" si="50"/>
        <v>0</v>
      </c>
      <c r="N136" s="488">
        <f t="shared" si="50"/>
        <v>23249677.789516378</v>
      </c>
      <c r="O136" s="488">
        <f t="shared" si="50"/>
        <v>10268092.246057658</v>
      </c>
      <c r="P136" s="488">
        <f t="shared" si="50"/>
        <v>1677493.0810437175</v>
      </c>
      <c r="Q136" s="488">
        <f t="shared" si="50"/>
        <v>108946.5715256031</v>
      </c>
      <c r="R136" s="488">
        <f t="shared" si="50"/>
        <v>5775076.0166293187</v>
      </c>
      <c r="S136" s="488">
        <f t="shared" si="50"/>
        <v>875128.90492473356</v>
      </c>
      <c r="U136" s="361">
        <f>D136-'Rev&amp;Expense'!D150</f>
        <v>0</v>
      </c>
    </row>
    <row r="137" spans="1:21" ht="12" thickTop="1"/>
    <row r="138" spans="1:21">
      <c r="D138" s="520"/>
    </row>
  </sheetData>
  <mergeCells count="5">
    <mergeCell ref="N1:S1"/>
    <mergeCell ref="I2:K2"/>
    <mergeCell ref="L2:M2"/>
    <mergeCell ref="H1:K1"/>
    <mergeCell ref="L1:M1"/>
  </mergeCells>
  <pageMargins left="0.7" right="0.7" top="1" bottom="0.75" header="0.55000000000000004" footer="0.3"/>
  <pageSetup scale="75" pageOrder="overThenDown" orientation="landscape" r:id="rId1"/>
  <headerFooter>
    <oddHeader>&amp;C&amp;"Arial,Bold"&amp;10UNS GAS, INC.
FUNCTIONALIZATION OF EXPENSE
FOR THE TEST PERIOD ENDING JUNE 30, 2024&amp;R&amp;"Arial,Bold"&amp;10SCHEDULE G-6
SHEET &amp;P OF &amp;N</oddHeader>
  </headerFooter>
  <rowBreaks count="2" manualBreakCount="2">
    <brk id="48" max="18" man="1"/>
    <brk id="97" max="1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7FCE6-882D-43D4-88A6-A1066715EE39}">
  <sheetPr codeName="Sheet39">
    <tabColor theme="8" tint="0.59999389629810485"/>
  </sheetPr>
  <dimension ref="A1:G62"/>
  <sheetViews>
    <sheetView topLeftCell="A33" zoomScaleNormal="100" zoomScaleSheetLayoutView="136" workbookViewId="0">
      <selection activeCell="G65" sqref="G65"/>
    </sheetView>
  </sheetViews>
  <sheetFormatPr defaultColWidth="9.140625" defaultRowHeight="11.25"/>
  <cols>
    <col min="1" max="1" width="6.85546875" style="2" customWidth="1"/>
    <col min="2" max="2" width="30.28515625" style="2" customWidth="1"/>
    <col min="3" max="3" width="10" style="2" bestFit="1" customWidth="1"/>
    <col min="4" max="4" width="10.42578125" style="2" customWidth="1"/>
    <col min="5" max="5" width="10" style="2" bestFit="1" customWidth="1"/>
    <col min="6" max="6" width="16.5703125" style="2" customWidth="1"/>
    <col min="7" max="7" width="11.28515625" style="2" customWidth="1"/>
    <col min="8" max="16384" width="9.140625" style="2"/>
  </cols>
  <sheetData>
    <row r="1" spans="1:7" ht="15.75">
      <c r="A1" s="783"/>
      <c r="B1" s="783"/>
      <c r="C1" s="783"/>
      <c r="D1" s="783"/>
      <c r="E1" s="783"/>
      <c r="F1" s="783"/>
      <c r="G1" s="783"/>
    </row>
    <row r="2" spans="1:7">
      <c r="A2" s="784"/>
      <c r="B2" s="784"/>
      <c r="C2" s="784"/>
      <c r="D2" s="784"/>
      <c r="E2" s="784"/>
      <c r="F2" s="784"/>
      <c r="G2" s="784"/>
    </row>
    <row r="3" spans="1:7" ht="15" customHeight="1">
      <c r="A3" s="785" t="s">
        <v>0</v>
      </c>
      <c r="C3" s="545"/>
      <c r="D3" s="785" t="s">
        <v>294</v>
      </c>
      <c r="E3" s="785" t="s">
        <v>3</v>
      </c>
      <c r="F3" s="785" t="s">
        <v>4</v>
      </c>
      <c r="G3" s="785" t="s">
        <v>5</v>
      </c>
    </row>
    <row r="4" spans="1:7" ht="10.5" customHeight="1">
      <c r="A4" s="785"/>
      <c r="B4" s="534" t="s">
        <v>295</v>
      </c>
      <c r="C4" s="78" t="s">
        <v>2</v>
      </c>
      <c r="D4" s="785"/>
      <c r="E4" s="785"/>
      <c r="F4" s="785"/>
      <c r="G4" s="785"/>
    </row>
    <row r="5" spans="1:7">
      <c r="B5" s="544" t="s">
        <v>296</v>
      </c>
      <c r="C5" s="544" t="s">
        <v>296</v>
      </c>
      <c r="D5" s="544"/>
      <c r="E5" s="544" t="s">
        <v>296</v>
      </c>
      <c r="F5" s="544" t="s">
        <v>296</v>
      </c>
      <c r="G5" s="544"/>
    </row>
    <row r="6" spans="1:7">
      <c r="A6" s="63">
        <v>1</v>
      </c>
      <c r="B6" s="540" t="s">
        <v>297</v>
      </c>
      <c r="C6" s="3">
        <f>+SUM(E6:G6)</f>
        <v>19064139.170844123</v>
      </c>
      <c r="D6" s="3">
        <f>SUM(E6:G6)</f>
        <v>19064139.170844123</v>
      </c>
      <c r="E6" s="3">
        <f>+E8+E9+E11</f>
        <v>9911351.6778138205</v>
      </c>
      <c r="F6" s="3">
        <f>+F8+F9+F11</f>
        <v>4784853.695216585</v>
      </c>
      <c r="G6" s="3">
        <f>+G8+G9+G11</f>
        <v>4367933.7978137182</v>
      </c>
    </row>
    <row r="7" spans="1:7">
      <c r="A7" s="63">
        <f t="shared" ref="A7:A38" si="0">+A6+1</f>
        <v>2</v>
      </c>
      <c r="C7" s="64" t="s">
        <v>298</v>
      </c>
      <c r="D7" s="64"/>
      <c r="E7" s="64"/>
      <c r="F7" s="64"/>
      <c r="G7" s="64"/>
    </row>
    <row r="8" spans="1:7">
      <c r="A8" s="63">
        <f t="shared" si="0"/>
        <v>3</v>
      </c>
      <c r="B8" s="534" t="s">
        <v>299</v>
      </c>
      <c r="D8" s="3">
        <v>0</v>
      </c>
      <c r="E8" s="3">
        <v>0</v>
      </c>
      <c r="F8" s="3">
        <v>0</v>
      </c>
      <c r="G8" s="3">
        <v>0</v>
      </c>
    </row>
    <row r="9" spans="1:7">
      <c r="A9" s="63">
        <f t="shared" si="0"/>
        <v>4</v>
      </c>
      <c r="B9" s="540" t="s">
        <v>300</v>
      </c>
      <c r="C9" s="64"/>
      <c r="D9" s="3">
        <f>SUM(E9:G9)</f>
        <v>0</v>
      </c>
      <c r="E9" s="3">
        <f>+'Functionalization RES'!G152</f>
        <v>0</v>
      </c>
      <c r="F9" s="3">
        <f>+'Functionalization SMALL'!G152</f>
        <v>0</v>
      </c>
      <c r="G9" s="3">
        <f>+'Functionalization LARGE'!G152</f>
        <v>0</v>
      </c>
    </row>
    <row r="10" spans="1:7">
      <c r="A10" s="63">
        <f t="shared" si="0"/>
        <v>5</v>
      </c>
      <c r="B10" s="543"/>
      <c r="E10" s="64"/>
    </row>
    <row r="11" spans="1:7">
      <c r="A11" s="63">
        <f t="shared" si="0"/>
        <v>6</v>
      </c>
      <c r="B11" s="534" t="s">
        <v>301</v>
      </c>
      <c r="C11" s="64"/>
      <c r="D11" s="3">
        <f>SUM(E11:G11)</f>
        <v>19064139.170844123</v>
      </c>
      <c r="E11" s="3">
        <f>SUM(E12:E14)</f>
        <v>9911351.6778138205</v>
      </c>
      <c r="F11" s="3">
        <f>SUM(F12:F14)</f>
        <v>4784853.695216585</v>
      </c>
      <c r="G11" s="3">
        <f>SUM(G12:G14)</f>
        <v>4367933.7978137182</v>
      </c>
    </row>
    <row r="12" spans="1:7">
      <c r="A12" s="63">
        <f t="shared" si="0"/>
        <v>7</v>
      </c>
      <c r="B12" s="543" t="s">
        <v>302</v>
      </c>
      <c r="C12" s="64"/>
      <c r="D12" s="64">
        <f>SUM(E12:G12)</f>
        <v>16284120.635413356</v>
      </c>
      <c r="E12" s="64">
        <f>+'Functionalization RES'!H152</f>
        <v>8433927.3366021011</v>
      </c>
      <c r="F12" s="64">
        <f>+'Functionalization SMALL'!H152</f>
        <v>4104741.4374234886</v>
      </c>
      <c r="G12" s="64">
        <f>+'Functionalization LARGE'!H152</f>
        <v>3745451.8613877674</v>
      </c>
    </row>
    <row r="13" spans="1:7">
      <c r="A13" s="63">
        <f t="shared" si="0"/>
        <v>8</v>
      </c>
      <c r="B13" s="543" t="s">
        <v>303</v>
      </c>
      <c r="D13" s="64">
        <f>SUM(E13:G13)</f>
        <v>2431134.6988288858</v>
      </c>
      <c r="E13" s="64">
        <f>+'Functionalization RES'!I152</f>
        <v>1294385.6017814435</v>
      </c>
      <c r="F13" s="64">
        <f>+'Functionalization SMALL'!I152</f>
        <v>593456.43950869853</v>
      </c>
      <c r="G13" s="64">
        <f>+'Functionalization LARGE'!I152</f>
        <v>543292.65753874357</v>
      </c>
    </row>
    <row r="14" spans="1:7">
      <c r="A14" s="63">
        <f t="shared" si="0"/>
        <v>9</v>
      </c>
      <c r="B14" s="543" t="s">
        <v>304</v>
      </c>
      <c r="D14" s="64">
        <f>SUM(E14:G14)</f>
        <v>348883.83660188189</v>
      </c>
      <c r="E14" s="64">
        <f>+'Functionalization RES'!J152</f>
        <v>183038.739430277</v>
      </c>
      <c r="F14" s="64">
        <f>+'Functionalization SMALL'!J152</f>
        <v>86655.818284397683</v>
      </c>
      <c r="G14" s="64">
        <f>+'Functionalization LARGE'!J152</f>
        <v>79189.278887207198</v>
      </c>
    </row>
    <row r="15" spans="1:7">
      <c r="A15" s="63">
        <f t="shared" si="0"/>
        <v>10</v>
      </c>
      <c r="B15" s="543"/>
      <c r="E15" s="64"/>
    </row>
    <row r="16" spans="1:7">
      <c r="A16" s="63">
        <f t="shared" si="0"/>
        <v>11</v>
      </c>
      <c r="B16" s="540" t="s">
        <v>305</v>
      </c>
      <c r="C16" s="3">
        <f>+SUM(E16:G16)</f>
        <v>256604.30133829758</v>
      </c>
      <c r="D16" s="64">
        <f>SUM(E16:G16)</f>
        <v>256604.30133829758</v>
      </c>
      <c r="E16" s="64">
        <f>+'Functionalization RES'!K152</f>
        <v>132250.76636247244</v>
      </c>
      <c r="F16" s="64">
        <f>+'Functionalization SMALL'!K152</f>
        <v>57154.471754980797</v>
      </c>
      <c r="G16" s="64">
        <f>'Functionalization LARGE'!K152</f>
        <v>67199.063220844342</v>
      </c>
    </row>
    <row r="17" spans="1:7">
      <c r="A17" s="63">
        <f t="shared" si="0"/>
        <v>12</v>
      </c>
      <c r="B17" s="543"/>
      <c r="E17" s="64"/>
    </row>
    <row r="18" spans="1:7">
      <c r="A18" s="63">
        <f t="shared" si="0"/>
        <v>13</v>
      </c>
      <c r="B18" s="534" t="s">
        <v>306</v>
      </c>
      <c r="C18" s="3">
        <f>+D18</f>
        <v>59393884.842054486</v>
      </c>
      <c r="D18" s="3">
        <f t="shared" ref="D18:D25" si="1">SUM(E18:G18)</f>
        <v>59393884.842054486</v>
      </c>
      <c r="E18" s="3">
        <f>SUM(E19:E24)</f>
        <v>52993591.651910208</v>
      </c>
      <c r="F18" s="3">
        <f>SUM(F19:F24)</f>
        <v>5966364.5431774426</v>
      </c>
      <c r="G18" s="3">
        <f>SUM(G19:G24)</f>
        <v>433928.64696683717</v>
      </c>
    </row>
    <row r="19" spans="1:7">
      <c r="A19" s="63">
        <f t="shared" si="0"/>
        <v>14</v>
      </c>
      <c r="B19" s="543" t="s">
        <v>307</v>
      </c>
      <c r="D19" s="64">
        <f t="shared" si="1"/>
        <v>34973389.048240505</v>
      </c>
      <c r="E19" s="64">
        <f>+'Functionalization RES'!M152</f>
        <v>31701812.790333278</v>
      </c>
      <c r="F19" s="64">
        <f>+'Functionalization SMALL'!M152</f>
        <v>3171840.0663096975</v>
      </c>
      <c r="G19" s="64">
        <f>+'Functionalization LARGE'!M152</f>
        <v>99736.191597527897</v>
      </c>
    </row>
    <row r="20" spans="1:7">
      <c r="A20" s="63">
        <f t="shared" si="0"/>
        <v>15</v>
      </c>
      <c r="B20" s="543" t="s">
        <v>308</v>
      </c>
      <c r="D20" s="64">
        <f t="shared" si="1"/>
        <v>15264526.497972403</v>
      </c>
      <c r="E20" s="64">
        <f>+'Functionalization RES'!N152</f>
        <v>13224381.769317916</v>
      </c>
      <c r="F20" s="64">
        <f>+'Functionalization SMALL'!N152</f>
        <v>1971437.4149691761</v>
      </c>
      <c r="G20" s="64">
        <f>+'Functionalization LARGE'!N152</f>
        <v>68707.313685310917</v>
      </c>
    </row>
    <row r="21" spans="1:7">
      <c r="A21" s="63">
        <f t="shared" si="0"/>
        <v>16</v>
      </c>
      <c r="B21" s="543" t="s">
        <v>309</v>
      </c>
      <c r="D21" s="64">
        <f t="shared" si="1"/>
        <v>2396817.802761924</v>
      </c>
      <c r="E21" s="64">
        <f>+'Functionalization RES'!O152</f>
        <v>1950138.7205008436</v>
      </c>
      <c r="F21" s="64">
        <f>+'Functionalization SMALL'!O152</f>
        <v>207580.83082211943</v>
      </c>
      <c r="G21" s="64">
        <f>+'Functionalization LARGE'!O152</f>
        <v>239098.25143896107</v>
      </c>
    </row>
    <row r="22" spans="1:7">
      <c r="A22" s="63">
        <f t="shared" si="0"/>
        <v>17</v>
      </c>
      <c r="B22" s="543" t="s">
        <v>310</v>
      </c>
      <c r="D22" s="64">
        <f t="shared" si="1"/>
        <v>108946.5715256031</v>
      </c>
      <c r="E22" s="64">
        <f>+'Functionalization RES'!P152</f>
        <v>100410.38862623923</v>
      </c>
      <c r="F22" s="64">
        <f>+'Functionalization SMALL'!P152</f>
        <v>8486.4263562893393</v>
      </c>
      <c r="G22" s="64">
        <f>+'Functionalization LARGE'!P152</f>
        <v>49.75654307453096</v>
      </c>
    </row>
    <row r="23" spans="1:7">
      <c r="A23" s="63">
        <f t="shared" si="0"/>
        <v>18</v>
      </c>
      <c r="B23" s="543" t="s">
        <v>311</v>
      </c>
      <c r="D23" s="64">
        <f t="shared" si="1"/>
        <v>5775076.0166293187</v>
      </c>
      <c r="E23" s="64">
        <f>+'Functionalization RES'!Q152</f>
        <v>5322587.2008239264</v>
      </c>
      <c r="F23" s="64">
        <f>+'Functionalization SMALL'!Q152</f>
        <v>449851.30445871735</v>
      </c>
      <c r="G23" s="64">
        <f>+'Functionalization LARGE'!Q152</f>
        <v>2637.5113466749058</v>
      </c>
    </row>
    <row r="24" spans="1:7">
      <c r="A24" s="63">
        <f t="shared" si="0"/>
        <v>19</v>
      </c>
      <c r="B24" s="543" t="s">
        <v>312</v>
      </c>
      <c r="D24" s="72">
        <f t="shared" si="1"/>
        <v>875128.90492473368</v>
      </c>
      <c r="E24" s="72">
        <f>+'Functionalization RES'!R152</f>
        <v>694260.78230800305</v>
      </c>
      <c r="F24" s="72">
        <f>+'Functionalization SMALL'!R152</f>
        <v>157168.50026144285</v>
      </c>
      <c r="G24" s="72">
        <f>+'Functionalization LARGE'!R152</f>
        <v>23699.622355287793</v>
      </c>
    </row>
    <row r="25" spans="1:7">
      <c r="A25" s="63">
        <f t="shared" si="0"/>
        <v>20</v>
      </c>
      <c r="B25" s="534" t="s">
        <v>294</v>
      </c>
      <c r="C25" s="67">
        <f>+SUM(C6,C16:C18)</f>
        <v>78714628.314236909</v>
      </c>
      <c r="D25" s="67">
        <f t="shared" si="1"/>
        <v>78714628.314236909</v>
      </c>
      <c r="E25" s="67">
        <f>+SUM(E6,E16:E18)</f>
        <v>63037194.096086502</v>
      </c>
      <c r="F25" s="67">
        <f>+SUM(F6,F16:F18)</f>
        <v>10808372.710149009</v>
      </c>
      <c r="G25" s="67">
        <f>+SUM(G6,G16:G18)</f>
        <v>4869061.5080014002</v>
      </c>
    </row>
    <row r="26" spans="1:7">
      <c r="A26" s="63">
        <f t="shared" si="0"/>
        <v>21</v>
      </c>
      <c r="B26" s="541"/>
    </row>
    <row r="27" spans="1:7" ht="15.75" customHeight="1">
      <c r="A27" s="63">
        <f t="shared" si="0"/>
        <v>22</v>
      </c>
      <c r="B27" s="534" t="s">
        <v>313</v>
      </c>
    </row>
    <row r="28" spans="1:7">
      <c r="A28" s="63">
        <f t="shared" si="0"/>
        <v>23</v>
      </c>
      <c r="B28" s="540" t="s">
        <v>297</v>
      </c>
      <c r="C28" s="65">
        <f>SUM(D28:G28)</f>
        <v>0.70579999999999998</v>
      </c>
      <c r="D28" s="71">
        <f>+D30+D31+D33</f>
        <v>0.35289999999999994</v>
      </c>
      <c r="E28" s="71">
        <f>+(E30+E31+E33)</f>
        <v>0.11819999999999999</v>
      </c>
      <c r="F28" s="71">
        <f>+F30+F31+F33</f>
        <v>0.13210000000000002</v>
      </c>
      <c r="G28" s="71">
        <f>+G30+G31+G33</f>
        <v>0.10260000000000001</v>
      </c>
    </row>
    <row r="29" spans="1:7">
      <c r="A29" s="63">
        <f t="shared" si="0"/>
        <v>24</v>
      </c>
      <c r="D29" s="71"/>
      <c r="E29" s="71"/>
    </row>
    <row r="30" spans="1:7">
      <c r="A30" s="63">
        <f t="shared" si="0"/>
        <v>25</v>
      </c>
      <c r="B30" s="534" t="s">
        <v>299</v>
      </c>
      <c r="D30" s="71">
        <f>SUM(E30:G30)</f>
        <v>0</v>
      </c>
      <c r="E30" s="71">
        <f>+ROUND(E8/E55,4)</f>
        <v>0</v>
      </c>
      <c r="F30" s="71">
        <f>+ROUND(F8/F55,4)</f>
        <v>0</v>
      </c>
      <c r="G30" s="71">
        <f>+ROUND(G8/G55,4)</f>
        <v>0</v>
      </c>
    </row>
    <row r="31" spans="1:7">
      <c r="A31" s="63">
        <f t="shared" si="0"/>
        <v>26</v>
      </c>
      <c r="B31" s="540" t="s">
        <v>300</v>
      </c>
      <c r="D31" s="71">
        <f>SUM(E31:G31)</f>
        <v>0</v>
      </c>
      <c r="E31" s="71">
        <f>+ROUND(E9/E55,4)</f>
        <v>0</v>
      </c>
      <c r="F31" s="71">
        <f>+ROUND(F9/F55,4)</f>
        <v>0</v>
      </c>
      <c r="G31" s="71">
        <f>+ROUND(G9/G55,4)</f>
        <v>0</v>
      </c>
    </row>
    <row r="32" spans="1:7">
      <c r="A32" s="63">
        <f t="shared" si="0"/>
        <v>27</v>
      </c>
      <c r="B32" s="543"/>
      <c r="D32" s="68"/>
      <c r="E32" s="68"/>
      <c r="F32" s="68"/>
      <c r="G32" s="68"/>
    </row>
    <row r="33" spans="1:7">
      <c r="A33" s="63">
        <f t="shared" si="0"/>
        <v>28</v>
      </c>
      <c r="B33" s="534" t="s">
        <v>301</v>
      </c>
      <c r="C33" s="71"/>
      <c r="D33" s="71">
        <f>SUM(D34:D36)</f>
        <v>0.35289999999999994</v>
      </c>
      <c r="E33" s="71">
        <f>SUM(E34:E36)</f>
        <v>0.11819999999999999</v>
      </c>
      <c r="F33" s="71">
        <f>SUM(F34:F36)</f>
        <v>0.13210000000000002</v>
      </c>
      <c r="G33" s="71">
        <f>SUM(G34:G36)</f>
        <v>0.10260000000000001</v>
      </c>
    </row>
    <row r="34" spans="1:7">
      <c r="A34" s="63">
        <f t="shared" si="0"/>
        <v>29</v>
      </c>
      <c r="B34" s="543" t="s">
        <v>302</v>
      </c>
      <c r="D34" s="71">
        <f>SUM(E34:G34)</f>
        <v>0.30179999999999996</v>
      </c>
      <c r="E34" s="71">
        <f>+ROUND(E12/E55,4)</f>
        <v>0.10059999999999999</v>
      </c>
      <c r="F34" s="71">
        <f>+ROUND(F12/F55,4)</f>
        <v>0.1133</v>
      </c>
      <c r="G34" s="71">
        <f>+ROUND(G12/G55,4)</f>
        <v>8.7900000000000006E-2</v>
      </c>
    </row>
    <row r="35" spans="1:7">
      <c r="A35" s="63">
        <f t="shared" si="0"/>
        <v>30</v>
      </c>
      <c r="B35" s="543" t="s">
        <v>303</v>
      </c>
      <c r="D35" s="71">
        <f>SUM(E35:G35)</f>
        <v>4.4600000000000001E-2</v>
      </c>
      <c r="E35" s="71">
        <f>+ROUND(E13/E55,4)</f>
        <v>1.54E-2</v>
      </c>
      <c r="F35" s="71">
        <f>+ROUND(F13/F55,4)</f>
        <v>1.6400000000000001E-2</v>
      </c>
      <c r="G35" s="71">
        <f>+ROUND(G13/G55,4)</f>
        <v>1.2800000000000001E-2</v>
      </c>
    </row>
    <row r="36" spans="1:7">
      <c r="A36" s="63">
        <f t="shared" si="0"/>
        <v>31</v>
      </c>
      <c r="B36" s="543" t="s">
        <v>304</v>
      </c>
      <c r="D36" s="71">
        <f>SUM(E36:G36)</f>
        <v>6.4999999999999997E-3</v>
      </c>
      <c r="E36" s="71">
        <f>+ROUND(E14/E55,4)</f>
        <v>2.2000000000000001E-3</v>
      </c>
      <c r="F36" s="71">
        <f>+ROUND(F14/F55,4)</f>
        <v>2.3999999999999998E-3</v>
      </c>
      <c r="G36" s="71">
        <f>+ROUND(G14/G55,4)</f>
        <v>1.9E-3</v>
      </c>
    </row>
    <row r="37" spans="1:7">
      <c r="A37" s="63">
        <f t="shared" si="0"/>
        <v>32</v>
      </c>
      <c r="B37" s="543"/>
      <c r="D37" s="68"/>
      <c r="E37" s="68"/>
      <c r="F37" s="68"/>
      <c r="G37" s="68"/>
    </row>
    <row r="38" spans="1:7">
      <c r="A38" s="63">
        <f t="shared" si="0"/>
        <v>33</v>
      </c>
      <c r="B38" s="540" t="s">
        <v>305</v>
      </c>
      <c r="D38" s="71">
        <f>SUM(E38:G38)</f>
        <v>4.8000000000000004E-3</v>
      </c>
      <c r="E38" s="71">
        <f>+ROUND(E16/E55,4)</f>
        <v>1.6000000000000001E-3</v>
      </c>
      <c r="F38" s="71">
        <f>+ROUND(F16/F55,4)</f>
        <v>1.6000000000000001E-3</v>
      </c>
      <c r="G38" s="71">
        <f>+ROUND(G16/G55,4)</f>
        <v>1.6000000000000001E-3</v>
      </c>
    </row>
    <row r="39" spans="1:7">
      <c r="A39" s="63">
        <f t="shared" ref="A39:A56" si="2">+A38+1</f>
        <v>34</v>
      </c>
      <c r="B39" s="543"/>
    </row>
    <row r="40" spans="1:7">
      <c r="A40" s="63">
        <f t="shared" si="2"/>
        <v>35</v>
      </c>
      <c r="B40" s="534" t="s">
        <v>306</v>
      </c>
      <c r="C40" s="65">
        <f>SUM(D40:G40)</f>
        <v>1.6137999999999999</v>
      </c>
      <c r="D40" s="71">
        <f>SUM(D41:D46)</f>
        <v>0.80689999999999984</v>
      </c>
      <c r="E40" s="71">
        <f>SUM(E41:E46)</f>
        <v>0.6321</v>
      </c>
      <c r="F40" s="71">
        <f>SUM(F41:F46)</f>
        <v>0.1646</v>
      </c>
      <c r="G40" s="71">
        <f>SUM(G41:G46)</f>
        <v>1.0199999999999999E-2</v>
      </c>
    </row>
    <row r="41" spans="1:7">
      <c r="A41" s="63">
        <f t="shared" si="2"/>
        <v>36</v>
      </c>
      <c r="B41" s="543" t="s">
        <v>307</v>
      </c>
      <c r="D41" s="71">
        <f t="shared" ref="D41:D46" si="3">SUM(E41:G41)</f>
        <v>0.46800000000000003</v>
      </c>
      <c r="E41" s="71">
        <f>+ROUND(E19/E55,4)</f>
        <v>0.37809999999999999</v>
      </c>
      <c r="F41" s="71">
        <f>+ROUND(F19/F55,4)</f>
        <v>8.7599999999999997E-2</v>
      </c>
      <c r="G41" s="71">
        <f>+ROUND(G19/G55,4)</f>
        <v>2.3E-3</v>
      </c>
    </row>
    <row r="42" spans="1:7">
      <c r="A42" s="63">
        <f t="shared" si="2"/>
        <v>37</v>
      </c>
      <c r="B42" s="543" t="s">
        <v>308</v>
      </c>
      <c r="D42" s="71">
        <f t="shared" si="3"/>
        <v>0.2137</v>
      </c>
      <c r="E42" s="71">
        <f>+ROUND(E20/E55,4)</f>
        <v>0.15770000000000001</v>
      </c>
      <c r="F42" s="71">
        <f>+ROUND(F20/F55,4)</f>
        <v>5.4399999999999997E-2</v>
      </c>
      <c r="G42" s="71">
        <f>+ROUND(G20/G55,4)</f>
        <v>1.6000000000000001E-3</v>
      </c>
    </row>
    <row r="43" spans="1:7">
      <c r="A43" s="63">
        <f t="shared" si="2"/>
        <v>38</v>
      </c>
      <c r="B43" s="543" t="s">
        <v>309</v>
      </c>
      <c r="D43" s="71">
        <f t="shared" si="3"/>
        <v>3.4599999999999999E-2</v>
      </c>
      <c r="E43" s="71">
        <f>+ROUND(E21/E55,4)</f>
        <v>2.3300000000000001E-2</v>
      </c>
      <c r="F43" s="71">
        <f>+ROUND(F21/F55,4)</f>
        <v>5.7000000000000002E-3</v>
      </c>
      <c r="G43" s="71">
        <f>+ROUND(G21/G55,4)</f>
        <v>5.5999999999999999E-3</v>
      </c>
    </row>
    <row r="44" spans="1:7">
      <c r="A44" s="63">
        <f t="shared" si="2"/>
        <v>39</v>
      </c>
      <c r="B44" s="543" t="s">
        <v>310</v>
      </c>
      <c r="D44" s="71">
        <f t="shared" si="3"/>
        <v>1.4E-3</v>
      </c>
      <c r="E44" s="71">
        <f>+ROUND(E22/E55,4)</f>
        <v>1.1999999999999999E-3</v>
      </c>
      <c r="F44" s="71">
        <f>+ROUND(F22/F55,4)</f>
        <v>2.0000000000000001E-4</v>
      </c>
      <c r="G44" s="71">
        <f>+ROUND(G22/G55,4)</f>
        <v>0</v>
      </c>
    </row>
    <row r="45" spans="1:7">
      <c r="A45" s="63">
        <f t="shared" si="2"/>
        <v>40</v>
      </c>
      <c r="B45" s="543" t="s">
        <v>311</v>
      </c>
      <c r="D45" s="71">
        <f t="shared" si="3"/>
        <v>7.5999999999999998E-2</v>
      </c>
      <c r="E45" s="71">
        <f>+ROUND(E23/E55,4)</f>
        <v>6.3500000000000001E-2</v>
      </c>
      <c r="F45" s="71">
        <f>+ROUND(F23/F55,4)</f>
        <v>1.24E-2</v>
      </c>
      <c r="G45" s="71">
        <f>+ROUND(G23/G55,4)</f>
        <v>1E-4</v>
      </c>
    </row>
    <row r="46" spans="1:7">
      <c r="A46" s="63">
        <f t="shared" si="2"/>
        <v>41</v>
      </c>
      <c r="B46" s="543" t="s">
        <v>312</v>
      </c>
      <c r="D46" s="71">
        <f t="shared" si="3"/>
        <v>1.32E-2</v>
      </c>
      <c r="E46" s="71">
        <f>+ROUND(E24/E55,4)</f>
        <v>8.3000000000000001E-3</v>
      </c>
      <c r="F46" s="71">
        <f>+ROUND(F24/F55,4)</f>
        <v>4.3E-3</v>
      </c>
      <c r="G46" s="71">
        <f>+ROUND(G24/G55,4)</f>
        <v>5.9999999999999995E-4</v>
      </c>
    </row>
    <row r="47" spans="1:7">
      <c r="A47" s="63">
        <f t="shared" si="2"/>
        <v>42</v>
      </c>
      <c r="B47" s="534" t="s">
        <v>294</v>
      </c>
      <c r="C47" s="65">
        <f>+C28+C40</f>
        <v>2.3195999999999999</v>
      </c>
      <c r="D47" s="71">
        <f>+D28+D40</f>
        <v>1.1597999999999997</v>
      </c>
      <c r="E47" s="71">
        <f>+E28+E40</f>
        <v>0.75029999999999997</v>
      </c>
      <c r="F47" s="71">
        <f>+F28+F40</f>
        <v>0.29670000000000002</v>
      </c>
      <c r="G47" s="71">
        <f>+G28+G40</f>
        <v>0.11280000000000001</v>
      </c>
    </row>
    <row r="48" spans="1:7">
      <c r="A48" s="63">
        <f t="shared" si="2"/>
        <v>43</v>
      </c>
      <c r="B48" s="541"/>
      <c r="D48" s="68"/>
    </row>
    <row r="49" spans="1:7">
      <c r="A49" s="63">
        <f t="shared" si="2"/>
        <v>44</v>
      </c>
      <c r="B49" s="542"/>
      <c r="C49" s="69"/>
      <c r="D49" s="69"/>
      <c r="E49" s="69"/>
      <c r="F49" s="69"/>
      <c r="G49" s="69"/>
    </row>
    <row r="50" spans="1:7">
      <c r="A50" s="63">
        <f t="shared" si="2"/>
        <v>45</v>
      </c>
      <c r="B50" s="541"/>
    </row>
    <row r="51" spans="1:7">
      <c r="A51" s="63">
        <f t="shared" si="2"/>
        <v>46</v>
      </c>
      <c r="B51" s="540" t="s">
        <v>314</v>
      </c>
      <c r="D51" s="71">
        <f>SUM(E51:G51)</f>
        <v>0.35290000000000005</v>
      </c>
      <c r="E51" s="71">
        <f>+E28</f>
        <v>0.11819999999999999</v>
      </c>
      <c r="F51" s="71">
        <f>+F28</f>
        <v>0.13210000000000002</v>
      </c>
      <c r="G51" s="71">
        <f>+G28</f>
        <v>0.10260000000000001</v>
      </c>
    </row>
    <row r="52" spans="1:7">
      <c r="A52" s="63">
        <f t="shared" si="2"/>
        <v>47</v>
      </c>
      <c r="B52" s="534"/>
    </row>
    <row r="53" spans="1:7" ht="12.75">
      <c r="A53" s="63">
        <f t="shared" si="2"/>
        <v>48</v>
      </c>
      <c r="B53" s="539" t="s">
        <v>315</v>
      </c>
      <c r="C53" s="538"/>
      <c r="D53" s="537">
        <f>+D18/D56/12</f>
        <v>29.057599533964147</v>
      </c>
      <c r="E53" s="537">
        <f>+E18/E56/12</f>
        <v>28.130423879051381</v>
      </c>
      <c r="F53" s="537">
        <f>+F18/F56/12</f>
        <v>37.476832735539624</v>
      </c>
      <c r="G53" s="537">
        <f>+G18/G56/12</f>
        <v>456.522272392172</v>
      </c>
    </row>
    <row r="54" spans="1:7">
      <c r="A54" s="63">
        <f t="shared" si="2"/>
        <v>49</v>
      </c>
      <c r="B54" s="536"/>
    </row>
    <row r="55" spans="1:7">
      <c r="A55" s="63">
        <f t="shared" si="2"/>
        <v>50</v>
      </c>
      <c r="B55" s="535" t="s">
        <v>316</v>
      </c>
      <c r="D55" s="64">
        <f>SUM(E55:G55)</f>
        <v>162655194.52705711</v>
      </c>
      <c r="E55" s="64">
        <f>+'Schedule G-2 Proposed Rates'!E48</f>
        <v>83845183.570931241</v>
      </c>
      <c r="F55" s="64">
        <f>+'Schedule G-2 Proposed Rates'!F48</f>
        <v>36221648.273520097</v>
      </c>
      <c r="G55" s="64">
        <f>+'Schedule G-2 Proposed Rates'!G48</f>
        <v>42588362.682605758</v>
      </c>
    </row>
    <row r="56" spans="1:7">
      <c r="A56" s="63">
        <f t="shared" si="2"/>
        <v>51</v>
      </c>
      <c r="B56" s="534" t="s">
        <v>317</v>
      </c>
      <c r="D56" s="64">
        <f>SUM(E56:G56)</f>
        <v>170333.76751301496</v>
      </c>
      <c r="E56" s="64">
        <f>+'Schedule G-2 Proposed Rates'!E50</f>
        <v>156987.77439851736</v>
      </c>
      <c r="F56" s="64">
        <f>+'Schedule G-2 Proposed Rates'!F50</f>
        <v>13266.784009559333</v>
      </c>
      <c r="G56" s="64">
        <f>+'Schedule G-2 Proposed Rates'!G50</f>
        <v>79.209104938271608</v>
      </c>
    </row>
    <row r="58" spans="1:7">
      <c r="F58" s="68"/>
    </row>
    <row r="59" spans="1:7">
      <c r="F59" s="68"/>
      <c r="G59" s="68"/>
    </row>
    <row r="61" spans="1:7">
      <c r="C61" s="3"/>
      <c r="D61" s="3"/>
      <c r="E61" s="64">
        <f>+E25-'Functionalization RES'!$C$152</f>
        <v>0</v>
      </c>
      <c r="F61" s="64">
        <f>+F25-'Functionalization SMALL'!$C$152</f>
        <v>0</v>
      </c>
      <c r="G61" s="64">
        <f>+G25-'Functionalization LARGE'!$C$152</f>
        <v>0</v>
      </c>
    </row>
    <row r="62" spans="1:7">
      <c r="C62" s="3"/>
    </row>
  </sheetData>
  <mergeCells count="7">
    <mergeCell ref="A1:G1"/>
    <mergeCell ref="A2:G2"/>
    <mergeCell ref="A3:A4"/>
    <mergeCell ref="E3:E4"/>
    <mergeCell ref="F3:F4"/>
    <mergeCell ref="G3:G4"/>
    <mergeCell ref="D3:D4"/>
  </mergeCells>
  <pageMargins left="0.7" right="0.7" top="1" bottom="0.75" header="0.55000000000000004" footer="0.3"/>
  <pageSetup scale="78" pageOrder="overThenDown" orientation="landscape" r:id="rId1"/>
  <headerFooter>
    <oddHeader>&amp;C&amp;"Arial,Bold"&amp;10UNS GAS, INC.
UNIT COST FIGURES
FOR THE TEST PERIOD ENDING JUNE 30, 2024&amp;R&amp;"Arial,Bold"&amp;10SCHEDULE G-6-1
SHEET &amp;P OF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23BBB-0A9F-4957-A5BD-9A0B678E1EDC}">
  <sheetPr codeName="Sheet40">
    <tabColor theme="8" tint="0.59999389629810485"/>
  </sheetPr>
  <dimension ref="A1:BE110"/>
  <sheetViews>
    <sheetView topLeftCell="B1" zoomScaleNormal="100" workbookViewId="0">
      <selection sqref="A1:H4"/>
    </sheetView>
  </sheetViews>
  <sheetFormatPr defaultColWidth="9.140625" defaultRowHeight="11.25" customHeight="1"/>
  <cols>
    <col min="1" max="1" width="9.42578125" style="320" customWidth="1"/>
    <col min="2" max="2" width="36.5703125" style="304" bestFit="1" customWidth="1"/>
    <col min="3" max="3" width="11.85546875" style="304" bestFit="1" customWidth="1"/>
    <col min="4" max="4" width="9.42578125" style="304" customWidth="1"/>
    <col min="5" max="5" width="11.5703125" style="305" bestFit="1" customWidth="1"/>
    <col min="6" max="6" width="16.85546875" style="304" bestFit="1" customWidth="1"/>
    <col min="7" max="11" width="14" style="304" customWidth="1"/>
    <col min="12" max="14" width="12.140625" style="304" customWidth="1"/>
    <col min="15" max="16384" width="9.140625" style="304"/>
  </cols>
  <sheetData>
    <row r="1" spans="1:34" ht="11.25" customHeight="1">
      <c r="A1" s="581"/>
      <c r="B1" s="579"/>
      <c r="C1" s="577"/>
      <c r="D1" s="578"/>
      <c r="E1" s="580"/>
      <c r="F1" s="579"/>
      <c r="G1" s="578"/>
      <c r="H1" s="578"/>
      <c r="I1" s="578"/>
      <c r="J1" s="578"/>
      <c r="K1" s="577"/>
      <c r="L1" s="579"/>
      <c r="M1" s="578"/>
      <c r="N1" s="577"/>
    </row>
    <row r="2" spans="1:34" ht="11.25" customHeight="1">
      <c r="A2" s="571"/>
      <c r="B2" s="576" t="s">
        <v>318</v>
      </c>
      <c r="C2" s="575"/>
      <c r="D2" s="364"/>
      <c r="E2" s="514"/>
      <c r="F2" s="573"/>
      <c r="I2" s="574"/>
      <c r="K2" s="572"/>
      <c r="L2" s="573"/>
      <c r="N2" s="572"/>
    </row>
    <row r="3" spans="1:34" s="307" customFormat="1" ht="11.25" customHeight="1">
      <c r="A3" s="571" t="s">
        <v>130</v>
      </c>
      <c r="B3" s="570"/>
      <c r="C3" s="568" t="s">
        <v>319</v>
      </c>
      <c r="D3" s="320"/>
      <c r="E3" s="569" t="s">
        <v>61</v>
      </c>
      <c r="F3" s="786" t="s">
        <v>3</v>
      </c>
      <c r="G3" s="787"/>
      <c r="H3" s="787"/>
      <c r="I3" s="788" t="s">
        <v>4</v>
      </c>
      <c r="J3" s="787"/>
      <c r="K3" s="789"/>
      <c r="L3" s="786" t="s">
        <v>5</v>
      </c>
      <c r="M3" s="787"/>
      <c r="N3" s="789"/>
    </row>
    <row r="4" spans="1:34" s="307" customFormat="1" ht="11.25" customHeight="1" thickBot="1">
      <c r="A4" s="567" t="s">
        <v>62</v>
      </c>
      <c r="B4" s="566" t="s">
        <v>320</v>
      </c>
      <c r="C4" s="563" t="s">
        <v>321</v>
      </c>
      <c r="D4" s="564" t="s">
        <v>322</v>
      </c>
      <c r="E4" s="423"/>
      <c r="F4" s="423" t="s">
        <v>67</v>
      </c>
      <c r="G4" s="564" t="s">
        <v>68</v>
      </c>
      <c r="H4" s="564" t="s">
        <v>69</v>
      </c>
      <c r="I4" s="565" t="s">
        <v>67</v>
      </c>
      <c r="J4" s="564" t="s">
        <v>68</v>
      </c>
      <c r="K4" s="563" t="s">
        <v>69</v>
      </c>
      <c r="L4" s="423" t="s">
        <v>67</v>
      </c>
      <c r="M4" s="564" t="s">
        <v>68</v>
      </c>
      <c r="N4" s="563" t="s">
        <v>69</v>
      </c>
    </row>
    <row r="5" spans="1:34" ht="11.25" customHeight="1">
      <c r="C5" s="305"/>
      <c r="D5" s="305"/>
    </row>
    <row r="6" spans="1:34" ht="11.25" customHeight="1">
      <c r="B6" s="307" t="s">
        <v>323</v>
      </c>
      <c r="C6" s="305"/>
      <c r="D6" s="305"/>
    </row>
    <row r="7" spans="1:34" s="360" customFormat="1" ht="11.25" customHeight="1">
      <c r="A7" s="365">
        <v>1</v>
      </c>
      <c r="B7" s="360" t="s">
        <v>324</v>
      </c>
      <c r="C7" s="360" t="s">
        <v>133</v>
      </c>
      <c r="E7" s="555">
        <f>SUM(F7:N7)</f>
        <v>162655194.52705711</v>
      </c>
      <c r="F7" s="553"/>
      <c r="G7" s="553">
        <f>G20</f>
        <v>83845183.570931241</v>
      </c>
      <c r="H7" s="562"/>
      <c r="I7" s="553"/>
      <c r="J7" s="553">
        <f>J20</f>
        <v>36221648.273520097</v>
      </c>
      <c r="K7" s="553"/>
      <c r="L7" s="553"/>
      <c r="M7" s="553">
        <f>M20</f>
        <v>42588362.682605758</v>
      </c>
      <c r="N7" s="553"/>
    </row>
    <row r="8" spans="1:34" ht="11.25" customHeight="1">
      <c r="C8" s="360"/>
      <c r="D8" s="360"/>
      <c r="E8" s="557"/>
    </row>
    <row r="9" spans="1:34" ht="11.25" customHeight="1">
      <c r="B9" s="307" t="s">
        <v>325</v>
      </c>
      <c r="C9" s="360"/>
      <c r="D9" s="360"/>
    </row>
    <row r="10" spans="1:34" ht="11.25" customHeight="1">
      <c r="A10" s="320">
        <v>2</v>
      </c>
      <c r="B10" s="304" t="s">
        <v>326</v>
      </c>
      <c r="C10" s="304" t="s">
        <v>79</v>
      </c>
      <c r="D10" s="304">
        <v>41</v>
      </c>
      <c r="E10" s="547">
        <f>SUM(F10:N10)</f>
        <v>0.99999999999999989</v>
      </c>
      <c r="F10" s="546">
        <f>+$F$17</f>
        <v>0.54791528140993784</v>
      </c>
      <c r="G10" s="546"/>
      <c r="H10" s="546"/>
      <c r="I10" s="546">
        <f>+$I$17</f>
        <v>0.23559513812689983</v>
      </c>
      <c r="J10" s="546"/>
      <c r="K10" s="546"/>
      <c r="L10" s="546">
        <f>+$L$17</f>
        <v>0.21648958046316222</v>
      </c>
      <c r="M10" s="546"/>
      <c r="N10" s="546"/>
      <c r="O10" s="313"/>
      <c r="P10" s="313"/>
      <c r="Q10" s="313"/>
      <c r="R10" s="313"/>
      <c r="S10" s="313"/>
      <c r="T10" s="313"/>
      <c r="U10" s="313"/>
      <c r="V10" s="313"/>
      <c r="W10" s="313"/>
      <c r="X10" s="313"/>
      <c r="Y10" s="313"/>
      <c r="Z10" s="313"/>
      <c r="AA10" s="313"/>
      <c r="AB10" s="313"/>
      <c r="AC10" s="313"/>
      <c r="AD10" s="313"/>
      <c r="AE10" s="313"/>
      <c r="AF10" s="313"/>
      <c r="AG10" s="313"/>
      <c r="AH10" s="313"/>
    </row>
    <row r="11" spans="1:34" ht="11.25" customHeight="1">
      <c r="C11" s="360"/>
      <c r="D11" s="360"/>
    </row>
    <row r="12" spans="1:34" ht="11.25" customHeight="1">
      <c r="B12" s="307" t="s">
        <v>327</v>
      </c>
      <c r="C12" s="360"/>
      <c r="D12" s="360"/>
      <c r="E12" s="561"/>
    </row>
    <row r="13" spans="1:34" ht="11.1" customHeight="1">
      <c r="A13" s="320">
        <v>3</v>
      </c>
      <c r="B13" s="304" t="s">
        <v>326</v>
      </c>
      <c r="C13" s="304" t="s">
        <v>99</v>
      </c>
      <c r="D13" s="304">
        <v>42</v>
      </c>
      <c r="E13" s="547">
        <f>SUM(F13:N13)</f>
        <v>0.99999999999999989</v>
      </c>
      <c r="F13" s="546">
        <f>+$F$17</f>
        <v>0.54791528140993784</v>
      </c>
      <c r="G13" s="546"/>
      <c r="H13" s="546"/>
      <c r="I13" s="546">
        <f>+$I$17</f>
        <v>0.23559513812689983</v>
      </c>
      <c r="J13" s="546"/>
      <c r="K13" s="546"/>
      <c r="L13" s="546">
        <f>+$L$17</f>
        <v>0.21648958046316222</v>
      </c>
      <c r="M13" s="546"/>
      <c r="N13" s="546"/>
      <c r="O13" s="313"/>
      <c r="P13" s="313"/>
      <c r="Q13" s="313"/>
      <c r="R13" s="313"/>
      <c r="S13" s="313"/>
      <c r="T13" s="313"/>
      <c r="U13" s="313"/>
      <c r="V13" s="313"/>
      <c r="W13" s="313"/>
      <c r="X13" s="313"/>
      <c r="Y13" s="313"/>
      <c r="Z13" s="313"/>
      <c r="AA13" s="313"/>
      <c r="AB13" s="313"/>
      <c r="AC13" s="313"/>
      <c r="AD13" s="313"/>
      <c r="AE13" s="313"/>
      <c r="AF13" s="313"/>
      <c r="AG13" s="313"/>
      <c r="AH13" s="313"/>
    </row>
    <row r="14" spans="1:34" ht="11.25" customHeight="1">
      <c r="A14" s="320">
        <v>4</v>
      </c>
      <c r="B14" s="304" t="s">
        <v>328</v>
      </c>
      <c r="C14" s="304" t="s">
        <v>155</v>
      </c>
      <c r="D14" s="304">
        <v>43</v>
      </c>
      <c r="E14" s="547">
        <f>SUM(F14:N14)</f>
        <v>0.99999999999999989</v>
      </c>
      <c r="F14" s="546">
        <f>('G-5 Function Rate Base'!E22/'G-5 Function Rate Base'!$D$22)*$F$17</f>
        <v>0.26566357215212211</v>
      </c>
      <c r="G14" s="546"/>
      <c r="H14" s="546">
        <f>'Function Allocators'!J26*(H24/E24)</f>
        <v>0.47477544291955731</v>
      </c>
      <c r="I14" s="546">
        <f>('G-5 Function Rate Base'!E22/'G-5 Function Rate Base'!$D$22)*$I$17</f>
        <v>0.11423124723845239</v>
      </c>
      <c r="J14" s="546"/>
      <c r="K14" s="546">
        <f>'Function Allocators'!J26*(K24/E24)</f>
        <v>4.0126792528503173E-2</v>
      </c>
      <c r="L14" s="546">
        <f>('G-5 Function Rate Base'!E22/'G-5 Function Rate Base'!$D$22)*$L$17</f>
        <v>0.10496767881990814</v>
      </c>
      <c r="M14" s="546"/>
      <c r="N14" s="546">
        <f>'Function Allocators'!J26*(N24/E24)</f>
        <v>2.3526634145685661E-4</v>
      </c>
      <c r="O14" s="313"/>
      <c r="P14" s="313"/>
      <c r="Q14" s="313"/>
      <c r="R14" s="313"/>
      <c r="S14" s="313"/>
      <c r="T14" s="313"/>
      <c r="U14" s="313"/>
      <c r="V14" s="313"/>
      <c r="W14" s="313"/>
      <c r="X14" s="313"/>
      <c r="Y14" s="313"/>
      <c r="Z14" s="313"/>
      <c r="AA14" s="313"/>
      <c r="AB14" s="313"/>
      <c r="AC14" s="313"/>
      <c r="AD14" s="313"/>
      <c r="AE14" s="313"/>
      <c r="AF14" s="313"/>
      <c r="AG14" s="313"/>
      <c r="AH14" s="313"/>
    </row>
    <row r="15" spans="1:34" ht="11.25" customHeight="1">
      <c r="A15" s="320">
        <v>5</v>
      </c>
      <c r="B15" s="304" t="s">
        <v>329</v>
      </c>
      <c r="C15" s="304" t="s">
        <v>143</v>
      </c>
      <c r="D15" s="304">
        <v>44</v>
      </c>
      <c r="E15" s="547">
        <f>SUM(F15:N15)</f>
        <v>0.99999999999999989</v>
      </c>
      <c r="F15" s="546">
        <f>+$F$17</f>
        <v>0.54791528140993784</v>
      </c>
      <c r="G15" s="546"/>
      <c r="H15" s="546"/>
      <c r="I15" s="546">
        <f>+$I$17</f>
        <v>0.23559513812689983</v>
      </c>
      <c r="J15" s="546"/>
      <c r="K15" s="546"/>
      <c r="L15" s="546">
        <f>+$L$17</f>
        <v>0.21648958046316222</v>
      </c>
      <c r="M15" s="546"/>
      <c r="N15" s="546"/>
      <c r="O15" s="313"/>
      <c r="P15" s="313"/>
      <c r="Q15" s="313"/>
      <c r="R15" s="313"/>
      <c r="S15" s="313"/>
      <c r="T15" s="313"/>
      <c r="U15" s="313"/>
      <c r="V15" s="313"/>
      <c r="W15" s="313"/>
      <c r="X15" s="313"/>
      <c r="Y15" s="313"/>
      <c r="Z15" s="313"/>
      <c r="AA15" s="313"/>
      <c r="AB15" s="313"/>
      <c r="AC15" s="313"/>
      <c r="AD15" s="313"/>
      <c r="AE15" s="313"/>
      <c r="AF15" s="313"/>
      <c r="AG15" s="313"/>
      <c r="AH15" s="313"/>
    </row>
    <row r="16" spans="1:34" ht="11.25" customHeight="1">
      <c r="E16" s="547"/>
      <c r="F16" s="546"/>
      <c r="G16" s="546"/>
      <c r="H16" s="546"/>
      <c r="I16" s="546"/>
      <c r="J16" s="546"/>
      <c r="K16" s="546"/>
      <c r="L16" s="546"/>
      <c r="M16" s="546"/>
      <c r="N16" s="546"/>
      <c r="O16" s="313"/>
      <c r="P16" s="313"/>
      <c r="Q16" s="313"/>
      <c r="R16" s="313"/>
      <c r="S16" s="313"/>
      <c r="T16" s="313"/>
      <c r="U16" s="313"/>
      <c r="V16" s="313"/>
      <c r="W16" s="313"/>
      <c r="X16" s="313"/>
      <c r="Y16" s="313"/>
      <c r="Z16" s="313"/>
      <c r="AA16" s="313"/>
      <c r="AB16" s="313"/>
      <c r="AC16" s="313"/>
      <c r="AD16" s="313"/>
      <c r="AE16" s="313"/>
      <c r="AF16" s="313"/>
      <c r="AG16" s="313"/>
      <c r="AH16" s="313"/>
    </row>
    <row r="17" spans="1:34" ht="11.25" customHeight="1">
      <c r="A17" s="320">
        <v>6</v>
      </c>
      <c r="B17" s="304" t="s">
        <v>326</v>
      </c>
      <c r="E17" s="547">
        <f>SUM(F17:N17)</f>
        <v>0.99999999999999989</v>
      </c>
      <c r="F17" s="556">
        <f>[7]PR!$C$98</f>
        <v>0.54791528140993784</v>
      </c>
      <c r="G17" s="546"/>
      <c r="H17" s="546"/>
      <c r="I17" s="556">
        <f>[7]PR!$C$99</f>
        <v>0.23559513812689983</v>
      </c>
      <c r="J17" s="556"/>
      <c r="K17" s="556"/>
      <c r="L17" s="556">
        <f>[7]PR!$C$100</f>
        <v>0.21648958046316222</v>
      </c>
      <c r="M17" s="556"/>
      <c r="N17" s="556"/>
      <c r="O17" s="313"/>
      <c r="P17" s="313"/>
      <c r="Q17" s="313"/>
      <c r="R17" s="313"/>
      <c r="S17" s="313"/>
      <c r="T17" s="313"/>
      <c r="U17" s="313"/>
      <c r="V17" s="313"/>
      <c r="W17" s="313"/>
      <c r="X17" s="313"/>
      <c r="Y17" s="313"/>
      <c r="Z17" s="313"/>
      <c r="AA17" s="313"/>
      <c r="AB17" s="313"/>
      <c r="AC17" s="313"/>
      <c r="AD17" s="313"/>
      <c r="AE17" s="313"/>
      <c r="AF17" s="313"/>
      <c r="AG17" s="313"/>
      <c r="AH17" s="313"/>
    </row>
    <row r="18" spans="1:34" ht="11.25" customHeight="1">
      <c r="E18" s="560"/>
      <c r="F18" s="558"/>
      <c r="G18" s="360"/>
      <c r="H18" s="360"/>
      <c r="I18" s="558"/>
      <c r="J18" s="360"/>
      <c r="K18" s="558"/>
      <c r="L18" s="558"/>
      <c r="M18" s="360"/>
      <c r="N18" s="360"/>
      <c r="O18" s="313"/>
      <c r="P18" s="313"/>
      <c r="Q18" s="313"/>
      <c r="R18" s="313"/>
      <c r="S18" s="313"/>
      <c r="T18" s="313"/>
      <c r="U18" s="313"/>
      <c r="V18" s="313"/>
      <c r="W18" s="313"/>
      <c r="X18" s="313"/>
      <c r="Y18" s="313"/>
      <c r="Z18" s="313"/>
      <c r="AA18" s="313"/>
      <c r="AB18" s="313"/>
      <c r="AC18" s="313"/>
      <c r="AD18" s="313"/>
      <c r="AE18" s="313"/>
      <c r="AF18" s="313"/>
      <c r="AG18" s="313"/>
      <c r="AH18" s="313"/>
    </row>
    <row r="19" spans="1:34" ht="11.25" customHeight="1">
      <c r="B19" s="307" t="s">
        <v>330</v>
      </c>
      <c r="E19" s="559"/>
      <c r="F19" s="558"/>
      <c r="G19" s="360"/>
      <c r="H19" s="360"/>
      <c r="I19" s="558"/>
      <c r="J19" s="360"/>
      <c r="K19" s="558"/>
      <c r="L19" s="558"/>
      <c r="M19" s="360"/>
      <c r="N19" s="360"/>
      <c r="O19" s="313"/>
      <c r="P19" s="313"/>
      <c r="Q19" s="313"/>
      <c r="R19" s="313"/>
      <c r="S19" s="313"/>
      <c r="T19" s="313"/>
      <c r="U19" s="313"/>
      <c r="V19" s="313"/>
      <c r="W19" s="313"/>
      <c r="X19" s="313"/>
      <c r="Y19" s="313"/>
      <c r="Z19" s="313"/>
      <c r="AA19" s="313"/>
      <c r="AB19" s="313"/>
      <c r="AC19" s="313"/>
      <c r="AD19" s="313"/>
      <c r="AE19" s="313"/>
      <c r="AF19" s="313"/>
      <c r="AG19" s="313"/>
      <c r="AH19" s="313"/>
    </row>
    <row r="20" spans="1:34" ht="11.25" customHeight="1">
      <c r="A20" s="320">
        <v>7</v>
      </c>
      <c r="B20" s="304" t="s">
        <v>324</v>
      </c>
      <c r="C20" s="304" t="s">
        <v>331</v>
      </c>
      <c r="E20" s="557">
        <f>SUM(F20:N20)</f>
        <v>162655194.52705711</v>
      </c>
      <c r="G20" s="410">
        <f>'Schedule H2'!$N$8</f>
        <v>83845183.570931241</v>
      </c>
      <c r="H20" s="410"/>
      <c r="I20" s="410"/>
      <c r="J20" s="410">
        <f>'Schedule H2'!$N$9</f>
        <v>36221648.273520097</v>
      </c>
      <c r="K20" s="410"/>
      <c r="L20" s="410"/>
      <c r="M20" s="410">
        <f>'Schedule H2'!$N$10</f>
        <v>42588362.682605758</v>
      </c>
      <c r="N20" s="410"/>
      <c r="O20" s="313"/>
      <c r="P20" s="313"/>
      <c r="Q20" s="313"/>
      <c r="R20" s="313"/>
      <c r="S20" s="313"/>
      <c r="T20" s="313"/>
      <c r="U20" s="313"/>
      <c r="V20" s="313"/>
      <c r="W20" s="313"/>
      <c r="X20" s="313"/>
      <c r="Y20" s="313"/>
      <c r="Z20" s="313"/>
      <c r="AA20" s="313"/>
      <c r="AB20" s="313"/>
      <c r="AC20" s="313"/>
      <c r="AD20" s="313"/>
      <c r="AE20" s="313"/>
      <c r="AF20" s="313"/>
      <c r="AG20" s="313"/>
      <c r="AH20" s="313"/>
    </row>
    <row r="21" spans="1:34" customFormat="1" ht="11.25" customHeight="1"/>
    <row r="22" spans="1:34" ht="11.25" customHeight="1">
      <c r="E22" s="559"/>
      <c r="F22" s="558"/>
      <c r="G22" s="360"/>
      <c r="H22" s="360"/>
      <c r="I22" s="558"/>
      <c r="J22" s="360"/>
      <c r="K22" s="558"/>
      <c r="L22" s="558"/>
      <c r="M22" s="360"/>
      <c r="N22" s="360"/>
      <c r="O22" s="313"/>
      <c r="P22" s="313"/>
      <c r="Q22" s="313"/>
      <c r="R22" s="313"/>
      <c r="S22" s="313"/>
      <c r="T22" s="313"/>
      <c r="U22" s="313"/>
      <c r="V22" s="313"/>
      <c r="W22" s="313"/>
      <c r="X22" s="313"/>
      <c r="Y22" s="313"/>
      <c r="Z22" s="313"/>
      <c r="AA22" s="313"/>
      <c r="AB22" s="313"/>
      <c r="AC22" s="313"/>
      <c r="AD22" s="313"/>
      <c r="AE22" s="313"/>
      <c r="AF22" s="313"/>
      <c r="AG22" s="313"/>
      <c r="AH22" s="313"/>
    </row>
    <row r="23" spans="1:34" ht="11.25" customHeight="1">
      <c r="B23" s="307" t="s">
        <v>332</v>
      </c>
      <c r="E23" s="559"/>
      <c r="F23" s="558"/>
      <c r="G23" s="360"/>
      <c r="H23" s="360"/>
      <c r="I23" s="558"/>
      <c r="J23" s="360"/>
      <c r="K23" s="558"/>
      <c r="L23" s="558"/>
      <c r="M23" s="360"/>
      <c r="N23" s="360"/>
      <c r="O23" s="313"/>
      <c r="P23" s="313"/>
      <c r="Q23" s="313"/>
      <c r="R23" s="313"/>
      <c r="S23" s="313"/>
      <c r="T23" s="313"/>
      <c r="U23" s="313"/>
      <c r="V23" s="313"/>
      <c r="W23" s="313"/>
      <c r="X23" s="313"/>
      <c r="Y23" s="313"/>
      <c r="Z23" s="313"/>
      <c r="AA23" s="313"/>
      <c r="AB23" s="313"/>
      <c r="AC23" s="313"/>
      <c r="AD23" s="313"/>
      <c r="AE23" s="313"/>
      <c r="AF23" s="313"/>
      <c r="AG23" s="313"/>
      <c r="AH23" s="313"/>
    </row>
    <row r="24" spans="1:34" ht="11.25" customHeight="1">
      <c r="A24" s="365">
        <v>9</v>
      </c>
      <c r="B24" s="304" t="s">
        <v>333</v>
      </c>
      <c r="C24" s="304" t="s">
        <v>120</v>
      </c>
      <c r="E24" s="557">
        <f t="shared" ref="E24:E37" si="0">SUM(F24:N24)</f>
        <v>170333.76751301496</v>
      </c>
      <c r="F24" s="456">
        <v>0</v>
      </c>
      <c r="G24" s="456">
        <v>0</v>
      </c>
      <c r="H24" s="456">
        <f>('Schedule H2'!$I$8/12)</f>
        <v>156987.77439851736</v>
      </c>
      <c r="I24" s="456">
        <v>0</v>
      </c>
      <c r="J24" s="456">
        <v>0</v>
      </c>
      <c r="K24" s="456">
        <f>('Schedule H2'!$I$9/12)</f>
        <v>13268.200676225999</v>
      </c>
      <c r="L24" s="456">
        <v>0</v>
      </c>
      <c r="M24" s="456">
        <v>0</v>
      </c>
      <c r="N24" s="456">
        <f>('Schedule H2'!$I$10/12)</f>
        <v>77.792438271604937</v>
      </c>
      <c r="O24" s="410"/>
      <c r="P24" s="410"/>
      <c r="Q24" s="410"/>
      <c r="R24" s="410"/>
      <c r="S24" s="410"/>
      <c r="T24" s="410"/>
      <c r="U24" s="410"/>
      <c r="V24" s="410"/>
      <c r="W24" s="410"/>
      <c r="X24" s="410"/>
      <c r="Y24" s="410"/>
      <c r="Z24" s="410"/>
      <c r="AA24" s="313"/>
      <c r="AB24" s="313"/>
      <c r="AC24" s="313"/>
      <c r="AD24" s="313"/>
      <c r="AE24" s="313"/>
      <c r="AF24" s="313"/>
      <c r="AG24" s="313"/>
    </row>
    <row r="25" spans="1:34" ht="11.25" customHeight="1">
      <c r="A25" s="365">
        <f t="shared" ref="A25:A37" si="1">+A24+1</f>
        <v>10</v>
      </c>
      <c r="B25" s="304" t="s">
        <v>334</v>
      </c>
      <c r="C25" s="304" t="s">
        <v>87</v>
      </c>
      <c r="E25" s="557">
        <f t="shared" si="0"/>
        <v>257557758.8600001</v>
      </c>
      <c r="F25" s="456">
        <v>0</v>
      </c>
      <c r="G25" s="456">
        <v>0</v>
      </c>
      <c r="H25" s="456">
        <f>'[8]Allocation Factor'!$E$34</f>
        <v>237320166.91454643</v>
      </c>
      <c r="I25" s="456">
        <v>0</v>
      </c>
      <c r="J25" s="456">
        <v>0</v>
      </c>
      <c r="K25" s="456">
        <f>'[8]Allocation Factor'!$E$35</f>
        <v>20008238.998515166</v>
      </c>
      <c r="L25" s="456">
        <v>0</v>
      </c>
      <c r="M25" s="456">
        <v>0</v>
      </c>
      <c r="N25" s="456">
        <f>'[8]Allocation Factor'!$E$36</f>
        <v>229352.94693850589</v>
      </c>
      <c r="O25" s="410"/>
      <c r="P25" s="410"/>
      <c r="Q25" s="410"/>
      <c r="R25" s="313"/>
      <c r="S25" s="313"/>
      <c r="T25" s="313"/>
      <c r="U25" s="313"/>
      <c r="V25" s="313"/>
      <c r="W25" s="313"/>
      <c r="X25" s="313"/>
      <c r="Y25" s="313"/>
      <c r="Z25" s="313"/>
      <c r="AA25" s="313"/>
      <c r="AB25" s="313"/>
      <c r="AC25" s="313"/>
      <c r="AD25" s="313"/>
      <c r="AE25" s="313"/>
      <c r="AF25" s="313"/>
      <c r="AG25" s="313"/>
      <c r="AH25" s="313"/>
    </row>
    <row r="26" spans="1:34" ht="11.25" customHeight="1">
      <c r="A26" s="320">
        <f t="shared" si="1"/>
        <v>11</v>
      </c>
      <c r="B26" s="304" t="s">
        <v>335</v>
      </c>
      <c r="C26" s="304" t="s">
        <v>89</v>
      </c>
      <c r="E26" s="557">
        <f t="shared" si="0"/>
        <v>32629466.760000005</v>
      </c>
      <c r="F26" s="456">
        <v>0</v>
      </c>
      <c r="G26" s="456">
        <v>0</v>
      </c>
      <c r="H26" s="456">
        <f>'[9]Updated tab for COSS 1'!$J$83</f>
        <v>25771665.56000001</v>
      </c>
      <c r="I26" s="456">
        <v>0</v>
      </c>
      <c r="J26" s="456">
        <v>0</v>
      </c>
      <c r="K26" s="456">
        <f>'[9]Updated tab for COSS 1'!$J$200</f>
        <v>6617454.9199999962</v>
      </c>
      <c r="L26" s="456">
        <v>0</v>
      </c>
      <c r="M26" s="456">
        <v>0</v>
      </c>
      <c r="N26" s="456">
        <f>'[9]Updated tab for COSS 1'!$J$242</f>
        <v>240346.28000000017</v>
      </c>
      <c r="O26" s="410"/>
      <c r="P26" s="410"/>
      <c r="Q26" s="410"/>
      <c r="R26" s="313"/>
      <c r="S26" s="313"/>
      <c r="T26" s="313"/>
      <c r="U26" s="313"/>
      <c r="V26" s="313"/>
      <c r="W26" s="313"/>
      <c r="X26" s="313"/>
      <c r="Y26" s="313"/>
      <c r="Z26" s="313"/>
      <c r="AA26" s="313"/>
      <c r="AB26" s="313"/>
      <c r="AC26" s="313"/>
      <c r="AD26" s="313"/>
      <c r="AE26" s="313"/>
      <c r="AF26" s="313"/>
      <c r="AG26" s="313"/>
      <c r="AH26" s="313"/>
    </row>
    <row r="27" spans="1:34" ht="11.25" customHeight="1">
      <c r="A27" s="320">
        <f t="shared" si="1"/>
        <v>12</v>
      </c>
      <c r="B27" s="304" t="s">
        <v>336</v>
      </c>
      <c r="C27" s="304" t="s">
        <v>91</v>
      </c>
      <c r="E27" s="557">
        <f t="shared" si="0"/>
        <v>15912787.510000002</v>
      </c>
      <c r="F27" s="456">
        <v>0</v>
      </c>
      <c r="G27" s="456">
        <v>0</v>
      </c>
      <c r="H27" s="456">
        <f>'[9]Meter&amp;Cust Allocations'!$D$7</f>
        <v>14665988.618378606</v>
      </c>
      <c r="I27" s="456">
        <v>0</v>
      </c>
      <c r="J27" s="456">
        <v>0</v>
      </c>
      <c r="K27" s="456">
        <f>'[9]Meter&amp;Cust Allocations'!$E$7</f>
        <v>1239531.4275232607</v>
      </c>
      <c r="L27" s="456">
        <v>0</v>
      </c>
      <c r="M27" s="456">
        <v>0</v>
      </c>
      <c r="N27" s="456">
        <f>'[9]Meter&amp;Cust Allocations'!$F$7</f>
        <v>7267.4640981345947</v>
      </c>
      <c r="O27" s="410"/>
      <c r="P27" s="410"/>
      <c r="Q27" s="410"/>
      <c r="R27" s="313"/>
      <c r="S27" s="313"/>
      <c r="T27" s="313"/>
      <c r="U27" s="313"/>
      <c r="V27" s="313"/>
      <c r="W27" s="313"/>
      <c r="X27" s="313"/>
      <c r="Y27" s="313"/>
      <c r="Z27" s="313"/>
      <c r="AA27" s="313"/>
      <c r="AB27" s="313"/>
      <c r="AC27" s="313"/>
      <c r="AD27" s="313"/>
      <c r="AE27" s="313"/>
      <c r="AF27" s="313"/>
      <c r="AG27" s="313"/>
      <c r="AH27" s="313"/>
    </row>
    <row r="28" spans="1:34" ht="11.25" customHeight="1">
      <c r="A28" s="320">
        <f t="shared" si="1"/>
        <v>13</v>
      </c>
      <c r="B28" s="304" t="s">
        <v>337</v>
      </c>
      <c r="C28" s="304" t="s">
        <v>93</v>
      </c>
      <c r="E28" s="557">
        <f t="shared" si="0"/>
        <v>9234581.1699999999</v>
      </c>
      <c r="F28" s="456">
        <v>0</v>
      </c>
      <c r="G28" s="456">
        <v>0</v>
      </c>
      <c r="H28" s="456">
        <f>'[9]Updated tab for COSS 1'!$L$83</f>
        <v>7949087.8000000007</v>
      </c>
      <c r="I28" s="456">
        <v>0</v>
      </c>
      <c r="J28" s="456">
        <v>0</v>
      </c>
      <c r="K28" s="456">
        <f>'[9]Updated tab for COSS 1'!$L$200</f>
        <v>1227218.0099999998</v>
      </c>
      <c r="L28" s="456">
        <v>0</v>
      </c>
      <c r="M28" s="456">
        <v>0</v>
      </c>
      <c r="N28" s="456">
        <f>'[9]Updated tab for COSS 1'!$L$242</f>
        <v>58275.360000000015</v>
      </c>
      <c r="O28" s="410"/>
      <c r="P28" s="410"/>
      <c r="Q28" s="410"/>
      <c r="R28" s="313"/>
      <c r="S28" s="313"/>
      <c r="T28" s="313"/>
      <c r="U28" s="313"/>
      <c r="V28" s="313"/>
      <c r="W28" s="313"/>
      <c r="X28" s="313"/>
      <c r="Y28" s="313"/>
      <c r="Z28" s="313"/>
      <c r="AA28" s="313"/>
      <c r="AB28" s="313"/>
      <c r="AC28" s="313"/>
      <c r="AD28" s="313"/>
      <c r="AE28" s="313"/>
      <c r="AF28" s="313"/>
      <c r="AG28" s="313"/>
      <c r="AH28" s="313"/>
    </row>
    <row r="29" spans="1:34" ht="11.1" customHeight="1">
      <c r="A29" s="320">
        <f t="shared" si="1"/>
        <v>14</v>
      </c>
      <c r="B29" s="304" t="s">
        <v>338</v>
      </c>
      <c r="C29" s="304" t="s">
        <v>95</v>
      </c>
      <c r="E29" s="557">
        <f t="shared" si="0"/>
        <v>4449760.3899999997</v>
      </c>
      <c r="F29" s="456">
        <v>0</v>
      </c>
      <c r="G29" s="456">
        <v>0</v>
      </c>
      <c r="H29" s="456">
        <f>'[9]Meter&amp;Cust Allocations'!$D$13</f>
        <v>4101112.717884331</v>
      </c>
      <c r="I29" s="456">
        <v>0</v>
      </c>
      <c r="J29" s="456">
        <v>0</v>
      </c>
      <c r="K29" s="456">
        <f>'[9]Meter&amp;Cust Allocations'!$E$13</f>
        <v>346615.44024810271</v>
      </c>
      <c r="L29" s="456">
        <v>0</v>
      </c>
      <c r="M29" s="456">
        <v>0</v>
      </c>
      <c r="N29" s="456">
        <f>'[9]Meter&amp;Cust Allocations'!$F$13</f>
        <v>2032.2318675658851</v>
      </c>
      <c r="O29" s="410"/>
      <c r="P29" s="410"/>
      <c r="Q29" s="410"/>
      <c r="R29" s="313"/>
      <c r="S29" s="313"/>
      <c r="T29" s="313"/>
      <c r="U29" s="313"/>
      <c r="V29" s="313"/>
      <c r="W29" s="313"/>
      <c r="X29" s="313"/>
      <c r="Y29" s="313"/>
      <c r="Z29" s="313"/>
      <c r="AA29" s="313"/>
      <c r="AB29" s="313"/>
      <c r="AC29" s="313"/>
      <c r="AD29" s="313"/>
      <c r="AE29" s="313"/>
      <c r="AF29" s="313"/>
      <c r="AG29" s="313"/>
      <c r="AH29" s="313"/>
    </row>
    <row r="30" spans="1:34" ht="11.25" customHeight="1">
      <c r="A30" s="320">
        <f t="shared" si="1"/>
        <v>15</v>
      </c>
      <c r="B30" s="304" t="s">
        <v>339</v>
      </c>
      <c r="C30" s="304" t="s">
        <v>97</v>
      </c>
      <c r="E30" s="557">
        <f t="shared" si="0"/>
        <v>2864862.55</v>
      </c>
      <c r="F30" s="456">
        <v>0</v>
      </c>
      <c r="G30" s="456">
        <v>0</v>
      </c>
      <c r="H30" s="456">
        <f>'[9]Meter&amp;Cust Allocations'!$D$16</f>
        <v>0</v>
      </c>
      <c r="I30" s="456">
        <v>0</v>
      </c>
      <c r="J30" s="456">
        <v>0</v>
      </c>
      <c r="K30" s="456">
        <f>'[9]Meter&amp;Cust Allocations'!$E$16</f>
        <v>0</v>
      </c>
      <c r="L30" s="456">
        <v>0</v>
      </c>
      <c r="M30" s="456">
        <v>0</v>
      </c>
      <c r="N30" s="456">
        <f>'[9]Meter&amp;Cust Allocations'!$F$16</f>
        <v>2864862.55</v>
      </c>
      <c r="O30" s="410"/>
      <c r="P30" s="410"/>
      <c r="Q30" s="410"/>
      <c r="R30" s="313"/>
      <c r="S30" s="313"/>
      <c r="T30" s="313"/>
      <c r="U30" s="313"/>
      <c r="V30" s="313"/>
      <c r="W30" s="313"/>
      <c r="X30" s="313"/>
      <c r="Y30" s="313"/>
      <c r="Z30" s="313"/>
      <c r="AA30" s="313"/>
      <c r="AB30" s="313"/>
      <c r="AC30" s="313"/>
      <c r="AD30" s="313"/>
      <c r="AE30" s="313"/>
      <c r="AF30" s="313"/>
      <c r="AG30" s="313"/>
      <c r="AH30" s="313"/>
    </row>
    <row r="31" spans="1:34" ht="11.25" customHeight="1">
      <c r="A31" s="365">
        <f t="shared" si="1"/>
        <v>16</v>
      </c>
      <c r="B31" s="304" t="s">
        <v>340</v>
      </c>
      <c r="C31" s="304" t="s">
        <v>341</v>
      </c>
      <c r="E31" s="557">
        <f t="shared" si="0"/>
        <v>805199.31000000017</v>
      </c>
      <c r="F31" s="456">
        <v>0</v>
      </c>
      <c r="G31" s="456">
        <v>0</v>
      </c>
      <c r="H31" s="456">
        <f>-[10]Sheet1!$C$12</f>
        <v>764893.05016548978</v>
      </c>
      <c r="I31" s="456">
        <v>0</v>
      </c>
      <c r="J31" s="456">
        <v>0</v>
      </c>
      <c r="K31" s="456">
        <f>-[10]Sheet1!$C$13</f>
        <v>40145.424402921788</v>
      </c>
      <c r="L31" s="456">
        <v>0</v>
      </c>
      <c r="M31" s="456">
        <v>0</v>
      </c>
      <c r="N31" s="456">
        <f>-[10]Sheet1!$C$14</f>
        <v>160.83543158856128</v>
      </c>
      <c r="O31" s="410"/>
      <c r="P31" s="410"/>
      <c r="Q31" s="410"/>
      <c r="R31" s="313"/>
      <c r="S31" s="313"/>
      <c r="T31" s="313"/>
      <c r="U31" s="313"/>
      <c r="V31" s="313"/>
      <c r="W31" s="313"/>
      <c r="X31" s="313"/>
      <c r="Y31" s="313"/>
      <c r="Z31" s="313"/>
      <c r="AA31" s="313"/>
      <c r="AB31" s="313"/>
      <c r="AC31" s="313"/>
      <c r="AD31" s="313"/>
      <c r="AE31" s="313"/>
      <c r="AF31" s="313"/>
      <c r="AG31" s="313"/>
      <c r="AH31" s="313"/>
    </row>
    <row r="32" spans="1:34" ht="11.25" customHeight="1">
      <c r="A32" s="320">
        <f t="shared" si="1"/>
        <v>17</v>
      </c>
      <c r="B32" s="304" t="s">
        <v>342</v>
      </c>
      <c r="C32" s="304" t="s">
        <v>164</v>
      </c>
      <c r="E32" s="557">
        <f t="shared" si="0"/>
        <v>108946.5715256031</v>
      </c>
      <c r="F32" s="456">
        <v>0</v>
      </c>
      <c r="G32" s="456">
        <v>0</v>
      </c>
      <c r="H32" s="456">
        <f>'[9]Meter&amp;Cust Allocations'!$D$23</f>
        <v>100410.38862623923</v>
      </c>
      <c r="I32" s="456">
        <v>0</v>
      </c>
      <c r="J32" s="456">
        <v>0</v>
      </c>
      <c r="K32" s="456">
        <f>'[9]Meter&amp;Cust Allocations'!$E$23</f>
        <v>8486.4263562893393</v>
      </c>
      <c r="L32" s="456">
        <v>0</v>
      </c>
      <c r="M32" s="456">
        <v>0</v>
      </c>
      <c r="N32" s="456">
        <f>'[9]Meter&amp;Cust Allocations'!$F$23</f>
        <v>49.75654307453096</v>
      </c>
      <c r="O32" s="410"/>
      <c r="P32" s="410"/>
      <c r="Q32" s="410"/>
      <c r="R32" s="313"/>
      <c r="S32" s="313"/>
      <c r="T32" s="313"/>
      <c r="U32" s="313"/>
      <c r="V32" s="313"/>
      <c r="W32" s="313"/>
      <c r="X32" s="313"/>
      <c r="Y32" s="313"/>
      <c r="Z32" s="313"/>
      <c r="AA32" s="313"/>
      <c r="AB32" s="313"/>
      <c r="AC32" s="313"/>
      <c r="AD32" s="313"/>
      <c r="AE32" s="313"/>
      <c r="AF32" s="313"/>
      <c r="AG32" s="313"/>
      <c r="AH32" s="313"/>
    </row>
    <row r="33" spans="1:34" ht="11.25" customHeight="1">
      <c r="A33" s="320">
        <f t="shared" si="1"/>
        <v>18</v>
      </c>
      <c r="B33" s="304" t="s">
        <v>343</v>
      </c>
      <c r="C33" s="304" t="s">
        <v>166</v>
      </c>
      <c r="E33" s="557">
        <f t="shared" si="0"/>
        <v>5775076.0166293187</v>
      </c>
      <c r="F33" s="456">
        <v>0</v>
      </c>
      <c r="G33" s="456">
        <v>0</v>
      </c>
      <c r="H33" s="456">
        <f>'[9]Meter&amp;Cust Allocations'!$D$25</f>
        <v>5322587.2008239264</v>
      </c>
      <c r="I33" s="456">
        <v>0</v>
      </c>
      <c r="J33" s="456">
        <v>0</v>
      </c>
      <c r="K33" s="456">
        <f>'[9]Meter&amp;Cust Allocations'!$E$25</f>
        <v>449851.30445871735</v>
      </c>
      <c r="L33" s="456">
        <v>0</v>
      </c>
      <c r="M33" s="456">
        <v>0</v>
      </c>
      <c r="N33" s="456">
        <f>'[9]Meter&amp;Cust Allocations'!$F$25</f>
        <v>2637.5113466749058</v>
      </c>
      <c r="O33" s="410"/>
      <c r="P33" s="410"/>
      <c r="Q33" s="410"/>
      <c r="R33" s="313"/>
      <c r="S33" s="313"/>
      <c r="T33" s="313"/>
      <c r="U33" s="313"/>
      <c r="V33" s="313"/>
      <c r="W33" s="313"/>
      <c r="X33" s="313"/>
      <c r="Y33" s="313"/>
      <c r="Z33" s="313"/>
      <c r="AA33" s="313"/>
      <c r="AB33" s="313"/>
      <c r="AC33" s="313"/>
      <c r="AD33" s="313"/>
      <c r="AE33" s="313"/>
      <c r="AF33" s="313"/>
      <c r="AG33" s="313"/>
      <c r="AH33" s="313"/>
    </row>
    <row r="34" spans="1:34" ht="11.25" customHeight="1">
      <c r="A34" s="320">
        <f t="shared" si="1"/>
        <v>19</v>
      </c>
      <c r="B34" s="304" t="s">
        <v>344</v>
      </c>
      <c r="C34" s="304" t="s">
        <v>168</v>
      </c>
      <c r="E34" s="557">
        <f t="shared" si="0"/>
        <v>281117.24000000005</v>
      </c>
      <c r="F34" s="456">
        <v>0</v>
      </c>
      <c r="G34" s="456">
        <v>0</v>
      </c>
      <c r="H34" s="456">
        <f>'[11]Uncollectibles WP'!$D$10</f>
        <v>197882.18794862847</v>
      </c>
      <c r="I34" s="456">
        <v>0</v>
      </c>
      <c r="J34" s="456">
        <v>0</v>
      </c>
      <c r="K34" s="456">
        <f>'[11]Uncollectibles WP'!$D$11</f>
        <v>59782.066792156147</v>
      </c>
      <c r="L34" s="456">
        <v>0</v>
      </c>
      <c r="M34" s="456">
        <v>0</v>
      </c>
      <c r="N34" s="456">
        <f>'[11]Uncollectibles WP'!$D$12</f>
        <v>23452.985259215435</v>
      </c>
      <c r="O34" s="410"/>
      <c r="P34" s="410"/>
      <c r="Q34" s="410"/>
      <c r="R34" s="313"/>
      <c r="S34" s="313"/>
      <c r="T34" s="313"/>
      <c r="U34" s="313"/>
      <c r="V34" s="313"/>
      <c r="W34" s="313"/>
      <c r="X34" s="313"/>
      <c r="Y34" s="313"/>
      <c r="Z34" s="313"/>
      <c r="AA34" s="313"/>
      <c r="AB34" s="313"/>
      <c r="AC34" s="313"/>
      <c r="AD34" s="313"/>
      <c r="AE34" s="313"/>
      <c r="AF34" s="313"/>
      <c r="AG34" s="313"/>
      <c r="AH34" s="313"/>
    </row>
    <row r="35" spans="1:34" ht="11.25" customHeight="1">
      <c r="A35" s="320">
        <f t="shared" si="1"/>
        <v>20</v>
      </c>
      <c r="B35" s="304" t="s">
        <v>345</v>
      </c>
      <c r="C35" s="304" t="s">
        <v>170</v>
      </c>
      <c r="E35" s="557">
        <f t="shared" si="0"/>
        <v>6165139.8281549215</v>
      </c>
      <c r="F35" s="456">
        <v>0</v>
      </c>
      <c r="G35" s="456">
        <v>0</v>
      </c>
      <c r="H35" s="456">
        <f>SUM(H32:H34)</f>
        <v>5620879.777398794</v>
      </c>
      <c r="I35" s="456">
        <v>0</v>
      </c>
      <c r="J35" s="456">
        <v>0</v>
      </c>
      <c r="K35" s="456">
        <f>SUM(K32:K34)</f>
        <v>518119.79760716285</v>
      </c>
      <c r="L35" s="456">
        <v>0</v>
      </c>
      <c r="M35" s="456">
        <v>0</v>
      </c>
      <c r="N35" s="456">
        <f>SUM(N32:N34)</f>
        <v>26140.253148964872</v>
      </c>
      <c r="O35" s="410"/>
      <c r="P35" s="410"/>
      <c r="Q35" s="410"/>
      <c r="R35" s="313"/>
      <c r="S35" s="313"/>
      <c r="T35" s="313"/>
      <c r="U35" s="313"/>
      <c r="V35" s="313"/>
      <c r="W35" s="313"/>
      <c r="X35" s="313"/>
      <c r="Y35" s="313"/>
      <c r="Z35" s="313"/>
      <c r="AA35" s="313"/>
      <c r="AB35" s="313"/>
      <c r="AC35" s="313"/>
      <c r="AD35" s="313"/>
      <c r="AE35" s="313"/>
      <c r="AF35" s="313"/>
      <c r="AG35" s="313"/>
      <c r="AH35" s="313"/>
    </row>
    <row r="36" spans="1:34" ht="11.25" customHeight="1">
      <c r="A36" s="320">
        <f t="shared" si="1"/>
        <v>21</v>
      </c>
      <c r="B36" s="304" t="s">
        <v>346</v>
      </c>
      <c r="C36" s="304" t="s">
        <v>347</v>
      </c>
      <c r="E36" s="557">
        <f t="shared" si="0"/>
        <v>-5928881</v>
      </c>
      <c r="F36" s="456">
        <v>0</v>
      </c>
      <c r="G36" s="456">
        <v>0</v>
      </c>
      <c r="H36" s="456">
        <f>+'[12]Customer Advances'!$D$10</f>
        <v>-4736398.2975034434</v>
      </c>
      <c r="I36" s="456">
        <v>0</v>
      </c>
      <c r="J36" s="456">
        <v>0</v>
      </c>
      <c r="K36" s="456">
        <f>+'[12]Customer Advances'!$D$11</f>
        <v>-788910.9448975228</v>
      </c>
      <c r="L36" s="456">
        <v>0</v>
      </c>
      <c r="M36" s="456">
        <v>0</v>
      </c>
      <c r="N36" s="456">
        <f>+'[12]Customer Advances'!$D$12</f>
        <v>-403571.7575990333</v>
      </c>
      <c r="O36" s="410"/>
      <c r="P36" s="410"/>
      <c r="Q36" s="410"/>
      <c r="R36" s="313"/>
      <c r="S36" s="313"/>
      <c r="T36" s="313"/>
      <c r="U36" s="313"/>
      <c r="V36" s="313"/>
      <c r="W36" s="313"/>
      <c r="X36" s="313"/>
      <c r="Y36" s="313"/>
      <c r="Z36" s="313"/>
      <c r="AA36" s="313"/>
      <c r="AB36" s="313"/>
      <c r="AC36" s="313"/>
      <c r="AD36" s="313"/>
      <c r="AE36" s="313"/>
      <c r="AF36" s="313"/>
      <c r="AG36" s="313"/>
      <c r="AH36" s="313"/>
    </row>
    <row r="37" spans="1:34" ht="11.25" customHeight="1">
      <c r="A37" s="320">
        <f t="shared" si="1"/>
        <v>22</v>
      </c>
      <c r="B37" s="304" t="s">
        <v>20</v>
      </c>
      <c r="C37" s="304" t="s">
        <v>211</v>
      </c>
      <c r="E37" s="557">
        <f t="shared" si="0"/>
        <v>-1598823</v>
      </c>
      <c r="F37" s="456">
        <v>0</v>
      </c>
      <c r="G37" s="456">
        <v>0</v>
      </c>
      <c r="H37" s="456">
        <f>'[13]Customer Deposits'!$E$8</f>
        <v>39792.714796735308</v>
      </c>
      <c r="I37" s="456">
        <v>0</v>
      </c>
      <c r="J37" s="456">
        <v>0</v>
      </c>
      <c r="K37" s="456">
        <f>'[13]Customer Deposits'!$E$11</f>
        <v>-1638615.7147967352</v>
      </c>
      <c r="L37" s="456">
        <v>0</v>
      </c>
      <c r="M37" s="456">
        <v>0</v>
      </c>
      <c r="N37" s="456">
        <f>'[13]Customer Deposits'!$E$15</f>
        <v>0</v>
      </c>
      <c r="O37" s="410"/>
      <c r="P37" s="410"/>
      <c r="Q37" s="410"/>
      <c r="R37" s="313"/>
      <c r="S37" s="313"/>
      <c r="T37" s="313"/>
      <c r="U37" s="313"/>
      <c r="V37" s="313"/>
      <c r="W37" s="313"/>
      <c r="X37" s="313"/>
      <c r="Y37" s="313"/>
      <c r="Z37" s="313"/>
      <c r="AA37" s="313"/>
      <c r="AB37" s="313"/>
      <c r="AC37" s="313"/>
      <c r="AD37" s="313"/>
      <c r="AE37" s="313"/>
      <c r="AF37" s="313"/>
      <c r="AG37" s="313"/>
      <c r="AH37" s="313"/>
    </row>
    <row r="38" spans="1:34" ht="10.5" customHeight="1">
      <c r="E38" s="557"/>
      <c r="F38" s="410"/>
      <c r="G38" s="410"/>
      <c r="H38" s="410"/>
      <c r="I38" s="410"/>
      <c r="J38" s="410"/>
      <c r="K38" s="556"/>
      <c r="L38" s="410"/>
      <c r="M38" s="410"/>
      <c r="N38" s="410"/>
      <c r="O38" s="410"/>
      <c r="P38" s="410"/>
      <c r="Q38" s="410"/>
      <c r="R38" s="313"/>
      <c r="S38" s="313"/>
      <c r="T38" s="313"/>
      <c r="U38" s="313"/>
      <c r="V38" s="313"/>
      <c r="W38" s="313"/>
      <c r="X38" s="313"/>
      <c r="Y38" s="313"/>
      <c r="Z38" s="313"/>
      <c r="AA38" s="313"/>
      <c r="AB38" s="313"/>
      <c r="AC38" s="313"/>
      <c r="AD38" s="313"/>
      <c r="AE38" s="313"/>
      <c r="AF38" s="313"/>
      <c r="AG38" s="313"/>
      <c r="AH38" s="313"/>
    </row>
    <row r="39" spans="1:34" ht="10.5" customHeight="1">
      <c r="B39" s="364" t="s">
        <v>348</v>
      </c>
      <c r="C39" s="364"/>
      <c r="D39" s="364"/>
      <c r="E39" s="365"/>
      <c r="F39" s="410"/>
      <c r="G39" s="410"/>
      <c r="H39" s="410"/>
      <c r="I39" s="410"/>
      <c r="J39" s="410"/>
      <c r="K39" s="410"/>
      <c r="L39" s="410"/>
      <c r="M39" s="410"/>
      <c r="N39" s="410"/>
      <c r="O39" s="410"/>
      <c r="P39" s="410"/>
      <c r="Q39" s="410"/>
      <c r="R39" s="313"/>
      <c r="S39" s="313"/>
      <c r="T39" s="313"/>
      <c r="U39" s="313"/>
      <c r="V39" s="313"/>
      <c r="W39" s="313"/>
      <c r="X39" s="313"/>
      <c r="Y39" s="313"/>
      <c r="Z39" s="313"/>
      <c r="AA39" s="313"/>
      <c r="AB39" s="313"/>
      <c r="AC39" s="313"/>
      <c r="AD39" s="313"/>
      <c r="AE39" s="313"/>
      <c r="AF39" s="313"/>
      <c r="AG39" s="313"/>
      <c r="AH39" s="313"/>
    </row>
    <row r="40" spans="1:34" ht="11.25" customHeight="1">
      <c r="A40" s="320">
        <v>25</v>
      </c>
      <c r="B40" s="304" t="s">
        <v>349</v>
      </c>
      <c r="C40" s="304" t="s">
        <v>127</v>
      </c>
      <c r="E40" s="555">
        <f t="shared" ref="E40:E47" si="2">SUM(F40:N40)</f>
        <v>592552817</v>
      </c>
      <c r="F40" s="358">
        <f>+ROUND('G-3 COST OF SERVICE'!G27,0)</f>
        <v>92046744</v>
      </c>
      <c r="G40" s="358">
        <f>+ROUND('G-3 COST OF SERVICE'!H27,0)</f>
        <v>0</v>
      </c>
      <c r="H40" s="358">
        <f>+ROUND('G-3 COST OF SERVICE'!I27,0)</f>
        <v>381645873</v>
      </c>
      <c r="I40" s="358">
        <f>+ROUND('G-3 COST OF SERVICE'!J27,0)</f>
        <v>39578683</v>
      </c>
      <c r="J40" s="358">
        <f>+ROUND('G-3 COST OF SERVICE'!K27,0)</f>
        <v>0</v>
      </c>
      <c r="K40" s="358">
        <f>+ROUND('G-3 COST OF SERVICE'!L27,0)</f>
        <v>39172195</v>
      </c>
      <c r="L40" s="358">
        <f>+ROUND('G-3 COST OF SERVICE'!M27,0)</f>
        <v>36369055</v>
      </c>
      <c r="M40" s="358">
        <f>+ROUND('G-3 COST OF SERVICE'!N27,0)</f>
        <v>0</v>
      </c>
      <c r="N40" s="358">
        <f>+ROUND('G-3 COST OF SERVICE'!O27,0)</f>
        <v>3740267</v>
      </c>
      <c r="O40" s="313"/>
      <c r="P40" s="313"/>
      <c r="Q40" s="313"/>
      <c r="R40" s="313"/>
      <c r="S40" s="313"/>
      <c r="T40" s="313"/>
      <c r="U40" s="313"/>
      <c r="V40" s="313"/>
      <c r="W40" s="313"/>
      <c r="X40" s="313"/>
      <c r="Y40" s="313"/>
      <c r="Z40" s="313"/>
      <c r="AA40" s="313"/>
      <c r="AB40" s="313"/>
      <c r="AC40" s="313"/>
      <c r="AD40" s="313"/>
      <c r="AE40" s="313"/>
      <c r="AF40" s="313"/>
      <c r="AG40" s="313"/>
      <c r="AH40" s="313"/>
    </row>
    <row r="41" spans="1:34" ht="11.25" customHeight="1">
      <c r="A41" s="320">
        <f t="shared" ref="A41:A49" si="3">+A40+1</f>
        <v>26</v>
      </c>
      <c r="B41" s="304" t="s">
        <v>350</v>
      </c>
      <c r="C41" s="304" t="s">
        <v>351</v>
      </c>
      <c r="E41" s="555">
        <f t="shared" si="2"/>
        <v>10947126.469999999</v>
      </c>
      <c r="F41" s="313">
        <f t="shared" ref="F41:N41" si="4">+SUM(F51:F55)</f>
        <v>2976414.3213619106</v>
      </c>
      <c r="G41" s="313">
        <f t="shared" si="4"/>
        <v>9629.3311337563609</v>
      </c>
      <c r="H41" s="313">
        <f t="shared" si="4"/>
        <v>4964196.1534394659</v>
      </c>
      <c r="I41" s="313">
        <f t="shared" si="4"/>
        <v>1279812.3486530369</v>
      </c>
      <c r="J41" s="313">
        <f t="shared" si="4"/>
        <v>4159.9318002698419</v>
      </c>
      <c r="K41" s="313">
        <f t="shared" si="4"/>
        <v>492227.70115291176</v>
      </c>
      <c r="L41" s="313">
        <f t="shared" si="4"/>
        <v>1176026.129547006</v>
      </c>
      <c r="M41" s="313">
        <f t="shared" si="4"/>
        <v>4891.1270659737947</v>
      </c>
      <c r="N41" s="313">
        <f t="shared" si="4"/>
        <v>39769.425845667291</v>
      </c>
      <c r="O41" s="313"/>
      <c r="P41" s="313"/>
      <c r="Q41" s="313"/>
      <c r="R41" s="313"/>
      <c r="S41" s="313"/>
      <c r="T41" s="313"/>
      <c r="U41" s="313"/>
      <c r="V41" s="313"/>
      <c r="W41" s="313"/>
      <c r="X41" s="313"/>
      <c r="Y41" s="313"/>
      <c r="Z41" s="313"/>
      <c r="AA41" s="313"/>
      <c r="AB41" s="313"/>
      <c r="AC41" s="313"/>
      <c r="AD41" s="313"/>
      <c r="AE41" s="313"/>
      <c r="AF41" s="313"/>
      <c r="AG41" s="313"/>
      <c r="AH41" s="313"/>
    </row>
    <row r="42" spans="1:34">
      <c r="A42" s="320">
        <f t="shared" si="3"/>
        <v>27</v>
      </c>
      <c r="B42" s="304" t="s">
        <v>352</v>
      </c>
      <c r="C42" s="304" t="s">
        <v>76</v>
      </c>
      <c r="E42" s="555">
        <f t="shared" si="2"/>
        <v>524878902.11545122</v>
      </c>
      <c r="F42" s="554">
        <f>+'G-3 COST OF SERVICE'!G6+'G-3 COST OF SERVICE'!G21</f>
        <v>81534324.795340151</v>
      </c>
      <c r="G42" s="554">
        <f>+'G-3 COST OF SERVICE'!H6+'G-3 COST OF SERVICE'!H21</f>
        <v>0</v>
      </c>
      <c r="H42" s="554">
        <f>+'G-3 COST OF SERVICE'!I6+'G-3 COST OF SERVICE'!I21</f>
        <v>338059091.47353607</v>
      </c>
      <c r="I42" s="554">
        <f>+'G-3 COST OF SERVICE'!J6+'G-3 COST OF SERVICE'!J21</f>
        <v>35058504.779810779</v>
      </c>
      <c r="J42" s="554">
        <f>+'G-3 COST OF SERVICE'!K6+'G-3 COST OF SERVICE'!K21</f>
        <v>0</v>
      </c>
      <c r="K42" s="554">
        <f>+'G-3 COST OF SERVICE'!L6+'G-3 COST OF SERVICE'!L21</f>
        <v>34698440.728640161</v>
      </c>
      <c r="L42" s="554">
        <f>+'G-3 COST OF SERVICE'!M6+'G-3 COST OF SERVICE'!M21</f>
        <v>32215439.80826493</v>
      </c>
      <c r="M42" s="554">
        <f>+'G-3 COST OF SERVICE'!N6+'G-3 COST OF SERVICE'!N21</f>
        <v>0</v>
      </c>
      <c r="N42" s="554">
        <f>+'G-3 COST OF SERVICE'!O6+'G-3 COST OF SERVICE'!O21</f>
        <v>3313100.5298591866</v>
      </c>
      <c r="O42" s="410"/>
      <c r="P42" s="410"/>
      <c r="Q42" s="410"/>
      <c r="R42" s="313"/>
      <c r="S42" s="313"/>
      <c r="T42" s="313"/>
      <c r="U42" s="313"/>
      <c r="V42" s="313"/>
      <c r="W42" s="313"/>
      <c r="X42" s="313"/>
      <c r="Y42" s="313"/>
      <c r="Z42" s="313"/>
      <c r="AA42" s="313"/>
      <c r="AB42" s="313"/>
      <c r="AC42" s="313"/>
      <c r="AD42" s="313"/>
      <c r="AE42" s="313"/>
      <c r="AF42" s="313"/>
      <c r="AG42" s="313"/>
      <c r="AH42" s="313"/>
    </row>
    <row r="43" spans="1:34">
      <c r="A43" s="320">
        <f t="shared" si="3"/>
        <v>28</v>
      </c>
      <c r="B43" s="304" t="s">
        <v>353</v>
      </c>
      <c r="C43" s="304" t="s">
        <v>354</v>
      </c>
      <c r="E43" s="555">
        <f t="shared" si="2"/>
        <v>18791587.249999989</v>
      </c>
      <c r="F43" s="554">
        <f>+'G-3 COST OF SERVICE'!G6</f>
        <v>10296197.816223146</v>
      </c>
      <c r="G43" s="554">
        <f>+'G-3 COST OF SERVICE'!H6</f>
        <v>0</v>
      </c>
      <c r="H43" s="554">
        <f>+'G-3 COST OF SERVICE'!I6</f>
        <v>0</v>
      </c>
      <c r="I43" s="554">
        <f>+'G-3 COST OF SERVICE'!J6</f>
        <v>4427206.5937874382</v>
      </c>
      <c r="J43" s="554">
        <f>+'G-3 COST OF SERVICE'!K6</f>
        <v>0</v>
      </c>
      <c r="K43" s="554">
        <f>+'G-3 COST OF SERVICE'!L6</f>
        <v>0</v>
      </c>
      <c r="L43" s="554">
        <f>+'G-3 COST OF SERVICE'!M6</f>
        <v>4068182.8399894065</v>
      </c>
      <c r="M43" s="554">
        <f>+'G-3 COST OF SERVICE'!N6</f>
        <v>0</v>
      </c>
      <c r="N43" s="554">
        <f>+'G-3 COST OF SERVICE'!O6</f>
        <v>0</v>
      </c>
      <c r="O43" s="313"/>
      <c r="P43" s="313"/>
      <c r="Q43" s="313"/>
      <c r="R43" s="313"/>
      <c r="S43" s="313"/>
      <c r="T43" s="313"/>
      <c r="U43" s="313"/>
      <c r="V43" s="313"/>
      <c r="W43" s="313"/>
      <c r="X43" s="313"/>
      <c r="Y43" s="313"/>
      <c r="Z43" s="313"/>
      <c r="AA43" s="313"/>
      <c r="AB43" s="313"/>
      <c r="AC43" s="313"/>
      <c r="AD43" s="313"/>
      <c r="AE43" s="313"/>
      <c r="AF43" s="313"/>
      <c r="AG43" s="313"/>
      <c r="AH43" s="313"/>
    </row>
    <row r="44" spans="1:34">
      <c r="A44" s="320">
        <f t="shared" si="3"/>
        <v>29</v>
      </c>
      <c r="B44" s="304" t="s">
        <v>355</v>
      </c>
      <c r="C44" s="304" t="s">
        <v>141</v>
      </c>
      <c r="E44" s="555">
        <f t="shared" si="2"/>
        <v>422520321.98685551</v>
      </c>
      <c r="F44" s="554">
        <f>+'G-3 COST OF SERVICE'!G11+'G-3 COST OF SERVICE'!G14</f>
        <v>64470374.322728358</v>
      </c>
      <c r="G44" s="554">
        <f>+'G-3 COST OF SERVICE'!H11+'G-3 COST OF SERVICE'!H14</f>
        <v>0</v>
      </c>
      <c r="H44" s="554">
        <f>+'G-3 COST OF SERVICE'!I11+'G-3 COST OF SERVICE'!I14</f>
        <v>280929327.61099201</v>
      </c>
      <c r="I44" s="554">
        <f>+'G-3 COST OF SERVICE'!J11+'G-3 COST OF SERVICE'!J14</f>
        <v>27721268.705210879</v>
      </c>
      <c r="J44" s="554">
        <f>+'G-3 COST OF SERVICE'!K11+'G-3 COST OF SERVICE'!K14</f>
        <v>0</v>
      </c>
      <c r="K44" s="554">
        <f>+'G-3 COST OF SERVICE'!L11+'G-3 COST OF SERVICE'!L14</f>
        <v>23708892.586336754</v>
      </c>
      <c r="L44" s="554">
        <f>+'G-3 COST OF SERVICE'!M11+'G-3 COST OF SERVICE'!M14</f>
        <v>25473215.956880845</v>
      </c>
      <c r="M44" s="554">
        <f>+'G-3 COST OF SERVICE'!N11+'G-3 COST OF SERVICE'!N14</f>
        <v>0</v>
      </c>
      <c r="N44" s="554">
        <f>+'G-3 COST OF SERVICE'!O11+'G-3 COST OF SERVICE'!O14</f>
        <v>217242.80470667151</v>
      </c>
      <c r="O44" s="313"/>
      <c r="P44" s="313"/>
      <c r="Q44" s="313"/>
      <c r="R44" s="313"/>
      <c r="S44" s="313"/>
      <c r="T44" s="313"/>
      <c r="U44" s="313"/>
      <c r="V44" s="313"/>
      <c r="W44" s="313"/>
      <c r="X44" s="313"/>
      <c r="Y44" s="313"/>
      <c r="Z44" s="313"/>
      <c r="AA44" s="313"/>
      <c r="AB44" s="313"/>
      <c r="AC44" s="313"/>
      <c r="AD44" s="313"/>
      <c r="AE44" s="313"/>
      <c r="AF44" s="313"/>
      <c r="AG44" s="313"/>
      <c r="AH44" s="313"/>
    </row>
    <row r="45" spans="1:34">
      <c r="A45" s="320">
        <f t="shared" si="3"/>
        <v>30</v>
      </c>
      <c r="B45" s="304" t="s">
        <v>356</v>
      </c>
      <c r="C45" s="304" t="s">
        <v>147</v>
      </c>
      <c r="E45" s="555">
        <f t="shared" si="2"/>
        <v>20259982.899999999</v>
      </c>
      <c r="F45" s="554">
        <f>+'G-3 COST OF SERVICE'!G16+'G-3 COST OF SERVICE'!G18</f>
        <v>0</v>
      </c>
      <c r="G45" s="554">
        <f>+'G-3 COST OF SERVICE'!H16+'G-3 COST OF SERVICE'!H18</f>
        <v>0</v>
      </c>
      <c r="H45" s="554">
        <f>+'G-3 COST OF SERVICE'!I16+'G-3 COST OF SERVICE'!I18</f>
        <v>18672572.510204099</v>
      </c>
      <c r="I45" s="554">
        <f>+'G-3 COST OF SERVICE'!J16+'G-3 COST OF SERVICE'!J18</f>
        <v>0</v>
      </c>
      <c r="J45" s="554">
        <f>+'G-3 COST OF SERVICE'!K16+'G-3 COST OF SERVICE'!K18</f>
        <v>0</v>
      </c>
      <c r="K45" s="554">
        <f>+'G-3 COST OF SERVICE'!L16+'G-3 COST OF SERVICE'!L18</f>
        <v>1578157.5358718436</v>
      </c>
      <c r="L45" s="554">
        <f>+'G-3 COST OF SERVICE'!M16+'G-3 COST OF SERVICE'!M18</f>
        <v>0</v>
      </c>
      <c r="M45" s="554">
        <f>+'G-3 COST OF SERVICE'!N16+'G-3 COST OF SERVICE'!N18</f>
        <v>0</v>
      </c>
      <c r="N45" s="554">
        <f>+'G-3 COST OF SERVICE'!O16+'G-3 COST OF SERVICE'!O18</f>
        <v>9252.8539240558748</v>
      </c>
      <c r="O45" s="313"/>
      <c r="P45" s="313"/>
      <c r="Q45" s="313"/>
      <c r="R45" s="313"/>
      <c r="S45" s="313"/>
      <c r="T45" s="313"/>
      <c r="U45" s="313"/>
      <c r="V45" s="313"/>
      <c r="W45" s="313"/>
      <c r="X45" s="313"/>
      <c r="Y45" s="313"/>
      <c r="Z45" s="313"/>
      <c r="AA45" s="313"/>
      <c r="AB45" s="313"/>
      <c r="AC45" s="313"/>
      <c r="AD45" s="313"/>
      <c r="AE45" s="313"/>
      <c r="AF45" s="313"/>
      <c r="AG45" s="313"/>
      <c r="AH45" s="313"/>
    </row>
    <row r="46" spans="1:34">
      <c r="A46" s="320">
        <f t="shared" si="3"/>
        <v>31</v>
      </c>
      <c r="B46" s="304" t="s">
        <v>357</v>
      </c>
      <c r="C46" s="304" t="s">
        <v>150</v>
      </c>
      <c r="E46" s="555">
        <f t="shared" si="2"/>
        <v>506087314.86545128</v>
      </c>
      <c r="F46" s="554">
        <f>+'G-3 COST OF SERVICE'!G21</f>
        <v>71238126.979117006</v>
      </c>
      <c r="G46" s="554">
        <f>+'G-3 COST OF SERVICE'!H21</f>
        <v>0</v>
      </c>
      <c r="H46" s="554">
        <f>+'G-3 COST OF SERVICE'!I21</f>
        <v>338059091.47353607</v>
      </c>
      <c r="I46" s="554">
        <f>+'G-3 COST OF SERVICE'!J21</f>
        <v>30631298.186023343</v>
      </c>
      <c r="J46" s="554">
        <f>+'G-3 COST OF SERVICE'!K21</f>
        <v>0</v>
      </c>
      <c r="K46" s="554">
        <f>+'G-3 COST OF SERVICE'!L21</f>
        <v>34698440.728640161</v>
      </c>
      <c r="L46" s="554">
        <f>+'G-3 COST OF SERVICE'!M21</f>
        <v>28147256.968275525</v>
      </c>
      <c r="M46" s="554">
        <f>+'G-3 COST OF SERVICE'!N21</f>
        <v>0</v>
      </c>
      <c r="N46" s="554">
        <f>+'G-3 COST OF SERVICE'!O21</f>
        <v>3313100.5298591866</v>
      </c>
      <c r="O46" s="313"/>
      <c r="P46" s="313"/>
      <c r="Q46" s="313"/>
      <c r="R46" s="313"/>
      <c r="S46" s="313"/>
      <c r="T46" s="313"/>
      <c r="U46" s="313"/>
      <c r="V46" s="313"/>
      <c r="W46" s="313"/>
      <c r="X46" s="313"/>
      <c r="Y46" s="313"/>
      <c r="Z46" s="313"/>
      <c r="AA46" s="313"/>
      <c r="AB46" s="313"/>
      <c r="AC46" s="313"/>
      <c r="AD46" s="313"/>
      <c r="AE46" s="313"/>
      <c r="AF46" s="313"/>
      <c r="AG46" s="313"/>
      <c r="AH46" s="313"/>
    </row>
    <row r="47" spans="1:34">
      <c r="A47" s="320">
        <f t="shared" si="3"/>
        <v>32</v>
      </c>
      <c r="B47" s="304" t="s">
        <v>358</v>
      </c>
      <c r="C47" s="304" t="s">
        <v>359</v>
      </c>
      <c r="E47" s="555">
        <f t="shared" si="2"/>
        <v>65877287.06000001</v>
      </c>
      <c r="F47" s="554">
        <f>+'G-3 COST OF SERVICE'!G23</f>
        <v>10233332.104105888</v>
      </c>
      <c r="G47" s="554">
        <f>+'G-3 COST OF SERVICE'!H23</f>
        <v>0</v>
      </c>
      <c r="H47" s="554">
        <f>+'G-3 COST OF SERVICE'!I23</f>
        <v>42429626.571933314</v>
      </c>
      <c r="I47" s="554">
        <f>+'G-3 COST OF SERVICE'!J23</f>
        <v>4400175.3051334703</v>
      </c>
      <c r="J47" s="554">
        <f>+'G-3 COST OF SERVICE'!K23</f>
        <v>0</v>
      </c>
      <c r="K47" s="554">
        <f>+'G-3 COST OF SERVICE'!L23</f>
        <v>4354983.8471355345</v>
      </c>
      <c r="L47" s="554">
        <f>+'G-3 COST OF SERVICE'!M23</f>
        <v>4043343.6502395575</v>
      </c>
      <c r="M47" s="554">
        <f>+'G-3 COST OF SERVICE'!N23</f>
        <v>0</v>
      </c>
      <c r="N47" s="554">
        <f>+'G-3 COST OF SERVICE'!O23</f>
        <v>415825.58145224163</v>
      </c>
      <c r="O47" s="313"/>
      <c r="P47" s="313"/>
      <c r="Q47" s="313"/>
      <c r="R47" s="313"/>
      <c r="S47" s="313"/>
      <c r="T47" s="313"/>
      <c r="U47" s="313"/>
      <c r="V47" s="313"/>
      <c r="W47" s="313"/>
      <c r="X47" s="313"/>
      <c r="Y47" s="313"/>
      <c r="Z47" s="313"/>
      <c r="AA47" s="313"/>
      <c r="AB47" s="313"/>
      <c r="AC47" s="313"/>
      <c r="AD47" s="313"/>
      <c r="AE47" s="313"/>
      <c r="AF47" s="313"/>
      <c r="AG47" s="313"/>
      <c r="AH47" s="313"/>
    </row>
    <row r="48" spans="1:34">
      <c r="A48" s="320">
        <f t="shared" si="3"/>
        <v>33</v>
      </c>
      <c r="B48" s="304" t="s">
        <v>360</v>
      </c>
      <c r="C48" s="304" t="s">
        <v>361</v>
      </c>
      <c r="E48" s="555"/>
      <c r="F48" s="554"/>
      <c r="G48" s="554"/>
      <c r="H48" s="554"/>
      <c r="I48" s="554"/>
      <c r="J48" s="554"/>
      <c r="K48" s="554"/>
      <c r="L48" s="554"/>
      <c r="M48" s="554"/>
      <c r="N48" s="554"/>
      <c r="O48" s="313"/>
      <c r="P48" s="313"/>
      <c r="Q48" s="313"/>
      <c r="R48" s="313"/>
      <c r="S48" s="313"/>
      <c r="T48" s="313"/>
      <c r="U48" s="313"/>
      <c r="V48" s="313"/>
      <c r="W48" s="313"/>
      <c r="X48" s="313"/>
      <c r="Y48" s="313"/>
      <c r="Z48" s="313"/>
      <c r="AA48" s="313"/>
      <c r="AB48" s="313"/>
      <c r="AC48" s="313"/>
      <c r="AD48" s="313"/>
      <c r="AE48" s="313"/>
      <c r="AF48" s="313"/>
      <c r="AG48" s="313"/>
      <c r="AH48" s="313"/>
    </row>
    <row r="49" spans="1:34" ht="11.25" customHeight="1">
      <c r="A49" s="320">
        <f t="shared" si="3"/>
        <v>34</v>
      </c>
      <c r="B49" s="304" t="s">
        <v>362</v>
      </c>
      <c r="C49" s="304" t="s">
        <v>363</v>
      </c>
      <c r="E49" s="555">
        <f>SUM(F49:N49)</f>
        <v>362040671.39652085</v>
      </c>
      <c r="F49" s="555">
        <f>+'G-3 COST OF SERVICE'!G54</f>
        <v>53130427.339659534</v>
      </c>
      <c r="G49" s="555">
        <f>+'G-3 COST OF SERVICE'!H54</f>
        <v>0</v>
      </c>
      <c r="H49" s="555">
        <f>+'G-3 COST OF SERVICE'!I54</f>
        <v>237282080.21270552</v>
      </c>
      <c r="I49" s="555">
        <f>+'G-3 COST OF SERVICE'!J54</f>
        <v>22845265.79106579</v>
      </c>
      <c r="J49" s="555">
        <f>+'G-3 COST OF SERVICE'!K54</f>
        <v>0</v>
      </c>
      <c r="K49" s="555">
        <f>+'G-3 COST OF SERVICE'!L54</f>
        <v>25455774.562381715</v>
      </c>
      <c r="L49" s="555">
        <f>+'G-3 COST OF SERVICE'!M54</f>
        <v>20992632.124388874</v>
      </c>
      <c r="M49" s="555">
        <f>+'G-3 COST OF SERVICE'!N54</f>
        <v>0</v>
      </c>
      <c r="N49" s="555">
        <f>+'G-3 COST OF SERVICE'!O54</f>
        <v>2334491.3663193667</v>
      </c>
      <c r="O49" s="313"/>
      <c r="P49" s="313"/>
      <c r="Q49" s="313"/>
      <c r="R49" s="313"/>
      <c r="S49" s="313"/>
      <c r="T49" s="313"/>
      <c r="U49" s="313"/>
      <c r="V49" s="313"/>
      <c r="W49" s="313"/>
      <c r="X49" s="313"/>
      <c r="Y49" s="313"/>
      <c r="Z49" s="313"/>
      <c r="AA49" s="313"/>
      <c r="AB49" s="313"/>
      <c r="AC49" s="313"/>
      <c r="AD49" s="313"/>
      <c r="AE49" s="313"/>
      <c r="AF49" s="313"/>
      <c r="AG49" s="313"/>
      <c r="AH49" s="313"/>
    </row>
    <row r="50" spans="1:34">
      <c r="E50" s="555"/>
      <c r="F50" s="554"/>
      <c r="G50" s="554"/>
      <c r="H50" s="554"/>
      <c r="I50" s="554"/>
      <c r="J50" s="554"/>
      <c r="K50" s="554"/>
      <c r="L50" s="554"/>
      <c r="M50" s="554"/>
      <c r="N50" s="554"/>
      <c r="O50" s="313"/>
      <c r="P50" s="313"/>
      <c r="Q50" s="313"/>
      <c r="R50" s="313"/>
      <c r="S50" s="313"/>
      <c r="T50" s="313"/>
      <c r="U50" s="313"/>
      <c r="V50" s="313"/>
      <c r="W50" s="313"/>
      <c r="X50" s="313"/>
      <c r="Y50" s="313"/>
      <c r="Z50" s="313"/>
      <c r="AA50" s="313"/>
      <c r="AB50" s="313"/>
      <c r="AC50" s="313"/>
      <c r="AD50" s="313"/>
      <c r="AE50" s="313"/>
      <c r="AF50" s="313"/>
      <c r="AG50" s="313"/>
      <c r="AH50" s="313"/>
    </row>
    <row r="51" spans="1:34">
      <c r="A51" s="320">
        <v>35</v>
      </c>
      <c r="B51" s="304" t="s">
        <v>364</v>
      </c>
      <c r="C51" s="304" t="s">
        <v>365</v>
      </c>
      <c r="E51" s="553">
        <f t="shared" ref="E51:E60" si="5">SUM(F51:N51)</f>
        <v>18680.39</v>
      </c>
      <c r="F51" s="553">
        <f>+F63*'[14]Cost of Service'!$D$19</f>
        <v>0</v>
      </c>
      <c r="G51" s="553">
        <f>+G63*'[14]Cost of Service'!$D$19</f>
        <v>9629.3311337563609</v>
      </c>
      <c r="H51" s="553">
        <f>+H63*'[14]Cost of Service'!$D$19</f>
        <v>0</v>
      </c>
      <c r="I51" s="553">
        <f>+I63*'[14]Cost of Service'!$D$19</f>
        <v>0</v>
      </c>
      <c r="J51" s="553">
        <f>+J63*'[14]Cost of Service'!$D$19</f>
        <v>4159.9318002698419</v>
      </c>
      <c r="K51" s="553">
        <f>+K63*'[14]Cost of Service'!$D$19</f>
        <v>0</v>
      </c>
      <c r="L51" s="553">
        <f>+L63*'[14]Cost of Service'!$D$19</f>
        <v>0</v>
      </c>
      <c r="M51" s="553">
        <f>+M63*'[14]Cost of Service'!$D$19</f>
        <v>4891.1270659737947</v>
      </c>
      <c r="N51" s="553">
        <f>+N63*'[14]Cost of Service'!$D$19</f>
        <v>0</v>
      </c>
      <c r="O51" s="313"/>
      <c r="P51" s="313"/>
      <c r="Q51" s="313"/>
      <c r="R51" s="313"/>
      <c r="S51" s="313"/>
      <c r="T51" s="313"/>
      <c r="U51" s="313"/>
      <c r="V51" s="313"/>
      <c r="W51" s="313"/>
      <c r="X51" s="313"/>
      <c r="Y51" s="313"/>
      <c r="Z51" s="313"/>
      <c r="AA51" s="313"/>
      <c r="AB51" s="313"/>
      <c r="AC51" s="313"/>
      <c r="AD51" s="313"/>
      <c r="AE51" s="313"/>
      <c r="AF51" s="313"/>
      <c r="AG51" s="313"/>
      <c r="AH51" s="313"/>
    </row>
    <row r="52" spans="1:34" ht="11.25" customHeight="1">
      <c r="A52" s="320">
        <f t="shared" ref="A52:A60" si="6">+A51+1</f>
        <v>36</v>
      </c>
      <c r="B52" s="304" t="s">
        <v>366</v>
      </c>
      <c r="C52" s="304" t="s">
        <v>367</v>
      </c>
      <c r="E52" s="553">
        <f t="shared" si="5"/>
        <v>0</v>
      </c>
      <c r="F52" s="553">
        <v>0</v>
      </c>
      <c r="G52" s="553">
        <v>0</v>
      </c>
      <c r="H52" s="553">
        <v>0</v>
      </c>
      <c r="I52" s="553">
        <v>0</v>
      </c>
      <c r="J52" s="553">
        <v>0</v>
      </c>
      <c r="K52" s="553">
        <v>0</v>
      </c>
      <c r="L52" s="553">
        <v>0</v>
      </c>
      <c r="M52" s="553">
        <v>0</v>
      </c>
      <c r="N52" s="553">
        <v>0</v>
      </c>
      <c r="O52" s="313"/>
      <c r="P52" s="313"/>
      <c r="Q52" s="313"/>
      <c r="R52" s="313"/>
      <c r="S52" s="313"/>
      <c r="T52" s="313"/>
      <c r="U52" s="313"/>
      <c r="V52" s="313"/>
      <c r="W52" s="313"/>
      <c r="X52" s="313"/>
      <c r="Y52" s="313"/>
      <c r="Z52" s="313"/>
      <c r="AA52" s="313"/>
      <c r="AB52" s="313"/>
      <c r="AC52" s="313"/>
      <c r="AD52" s="313"/>
      <c r="AE52" s="313"/>
      <c r="AF52" s="313"/>
      <c r="AG52" s="313"/>
      <c r="AH52" s="313"/>
    </row>
    <row r="53" spans="1:34" ht="11.25" customHeight="1">
      <c r="A53" s="320">
        <f t="shared" si="6"/>
        <v>37</v>
      </c>
      <c r="B53" s="304" t="s">
        <v>368</v>
      </c>
      <c r="C53" s="304" t="s">
        <v>369</v>
      </c>
      <c r="E53" s="553">
        <f t="shared" si="5"/>
        <v>6002664.0899999999</v>
      </c>
      <c r="F53" s="553">
        <f>+F46/$E46*'[14]Cost of Service'!$D$50</f>
        <v>844950.13823868067</v>
      </c>
      <c r="G53" s="553">
        <f>+G46/$E46*'[14]Cost of Service'!$D$50</f>
        <v>0</v>
      </c>
      <c r="H53" s="553">
        <f>+H46/$E46*'[14]Cost of Service'!$D$50</f>
        <v>4009693.8000228661</v>
      </c>
      <c r="I53" s="553">
        <f>+I46/$E46*'[14]Cost of Service'!$D$50</f>
        <v>363315.5549457075</v>
      </c>
      <c r="J53" s="553">
        <f>+J46/$E46*'[14]Cost of Service'!$D$50</f>
        <v>0</v>
      </c>
      <c r="K53" s="553">
        <f>+K46/$E46*'[14]Cost of Service'!$D$50</f>
        <v>411555.63086218823</v>
      </c>
      <c r="L53" s="553">
        <f>+L46/$E46*'[14]Cost of Service'!$D$50</f>
        <v>333852.52637756622</v>
      </c>
      <c r="M53" s="553">
        <f>+M46/$E46*'[14]Cost of Service'!$D$50</f>
        <v>0</v>
      </c>
      <c r="N53" s="553">
        <f>+N46/$E46*'[14]Cost of Service'!$D$50</f>
        <v>39296.43955299096</v>
      </c>
      <c r="O53" s="313"/>
      <c r="P53" s="313"/>
      <c r="Q53" s="313"/>
      <c r="R53" s="313"/>
      <c r="S53" s="313"/>
      <c r="T53" s="313"/>
      <c r="U53" s="313"/>
      <c r="V53" s="313"/>
      <c r="W53" s="313"/>
      <c r="X53" s="313"/>
      <c r="Y53" s="313"/>
      <c r="Z53" s="313"/>
      <c r="AA53" s="313"/>
      <c r="AB53" s="313"/>
      <c r="AC53" s="313"/>
      <c r="AD53" s="313"/>
      <c r="AE53" s="313"/>
      <c r="AF53" s="313"/>
      <c r="AG53" s="313"/>
      <c r="AH53" s="313"/>
    </row>
    <row r="54" spans="1:34" ht="11.25" customHeight="1">
      <c r="A54" s="320">
        <f t="shared" si="6"/>
        <v>38</v>
      </c>
      <c r="B54" s="304" t="s">
        <v>370</v>
      </c>
      <c r="C54" s="304" t="s">
        <v>371</v>
      </c>
      <c r="E54" s="553">
        <f t="shared" si="5"/>
        <v>1035647.4100000001</v>
      </c>
      <c r="F54" s="553">
        <f>+F24/$E24*'[14]Cost of Service'!$D$69</f>
        <v>0</v>
      </c>
      <c r="G54" s="553">
        <f>+G24/$E24*'[14]Cost of Service'!$D$69</f>
        <v>0</v>
      </c>
      <c r="H54" s="553">
        <f>+H24/$E24*'[14]Cost of Service'!$D$69</f>
        <v>954502.35341660026</v>
      </c>
      <c r="I54" s="553">
        <f>+I24/$E24*'[14]Cost of Service'!$D$69</f>
        <v>0</v>
      </c>
      <c r="J54" s="553">
        <f>+J24/$E24*'[14]Cost of Service'!$D$69</f>
        <v>0</v>
      </c>
      <c r="K54" s="553">
        <f>+K24/$E24*'[14]Cost of Service'!$D$69</f>
        <v>80672.070290723554</v>
      </c>
      <c r="L54" s="553">
        <f>+L24/$E24*'[14]Cost of Service'!$D$69</f>
        <v>0</v>
      </c>
      <c r="M54" s="553">
        <f>+M24/$E24*'[14]Cost of Service'!$D$69</f>
        <v>0</v>
      </c>
      <c r="N54" s="553">
        <f>+N24/$E24*'[14]Cost of Service'!$D$69</f>
        <v>472.98629267632822</v>
      </c>
      <c r="O54" s="313"/>
      <c r="P54" s="313"/>
      <c r="Q54" s="313"/>
      <c r="R54" s="313"/>
      <c r="S54" s="313"/>
      <c r="T54" s="313"/>
      <c r="U54" s="313"/>
      <c r="V54" s="313"/>
      <c r="W54" s="313"/>
      <c r="X54" s="313"/>
      <c r="Y54" s="313"/>
      <c r="Z54" s="313"/>
      <c r="AA54" s="313"/>
      <c r="AB54" s="313"/>
      <c r="AC54" s="313"/>
      <c r="AD54" s="313"/>
      <c r="AE54" s="313"/>
      <c r="AF54" s="313"/>
      <c r="AG54" s="313"/>
      <c r="AH54" s="313"/>
    </row>
    <row r="55" spans="1:34" ht="11.25" customHeight="1">
      <c r="A55" s="320">
        <f t="shared" si="6"/>
        <v>39</v>
      </c>
      <c r="B55" s="304" t="s">
        <v>372</v>
      </c>
      <c r="C55" s="304" t="s">
        <v>373</v>
      </c>
      <c r="E55" s="553">
        <f t="shared" si="5"/>
        <v>3890134.5799999991</v>
      </c>
      <c r="F55" s="553">
        <f>+F17*'[14]Cost of Service'!$D$87</f>
        <v>2131464.18312323</v>
      </c>
      <c r="G55" s="553">
        <f>+G17*'[14]Cost of Service'!$D$87</f>
        <v>0</v>
      </c>
      <c r="H55" s="553">
        <f>+H17*'[14]Cost of Service'!$D$87</f>
        <v>0</v>
      </c>
      <c r="I55" s="553">
        <f>+I17*'[14]Cost of Service'!$D$87</f>
        <v>916496.79370732943</v>
      </c>
      <c r="J55" s="553">
        <f>+J17*'[14]Cost of Service'!$D$87</f>
        <v>0</v>
      </c>
      <c r="K55" s="553">
        <f>+K17*'[14]Cost of Service'!$D$87</f>
        <v>0</v>
      </c>
      <c r="L55" s="553">
        <f>+L17*'[14]Cost of Service'!$D$87</f>
        <v>842173.60316943971</v>
      </c>
      <c r="M55" s="553">
        <f>+M17*'[14]Cost of Service'!$D$87</f>
        <v>0</v>
      </c>
      <c r="N55" s="553">
        <f>+N17*'[14]Cost of Service'!$D$87</f>
        <v>0</v>
      </c>
      <c r="O55" s="313"/>
      <c r="P55" s="313"/>
      <c r="Q55" s="313"/>
      <c r="R55" s="313"/>
      <c r="S55" s="313"/>
      <c r="T55" s="313"/>
      <c r="U55" s="313"/>
      <c r="V55" s="313"/>
      <c r="W55" s="313"/>
      <c r="X55" s="313"/>
      <c r="Y55" s="313"/>
      <c r="Z55" s="313"/>
      <c r="AA55" s="313"/>
      <c r="AB55" s="313"/>
      <c r="AC55" s="313"/>
      <c r="AD55" s="313"/>
      <c r="AE55" s="313"/>
      <c r="AF55" s="313"/>
      <c r="AG55" s="313"/>
      <c r="AH55" s="313"/>
    </row>
    <row r="56" spans="1:34" ht="11.25" customHeight="1">
      <c r="A56" s="320">
        <f t="shared" si="6"/>
        <v>40</v>
      </c>
      <c r="B56" s="304" t="s">
        <v>374</v>
      </c>
      <c r="C56" s="304" t="s">
        <v>153</v>
      </c>
      <c r="E56" s="553">
        <f t="shared" si="5"/>
        <v>165586.66999999993</v>
      </c>
      <c r="F56" s="553">
        <f>F17*SUM('[14]Cost of Service'!$F$3:$I$3)</f>
        <v>17094.513052104914</v>
      </c>
      <c r="G56" s="553">
        <v>0</v>
      </c>
      <c r="H56" s="553">
        <f>SUM('[14]Cost of Service'!$L$3:$Q$3)*(H24/$E24)</f>
        <v>123857.95063618863</v>
      </c>
      <c r="I56" s="553">
        <f>I17*SUM('[14]Cost of Service'!$F$3:$I$3)</f>
        <v>7350.3775133980089</v>
      </c>
      <c r="J56" s="553">
        <v>0</v>
      </c>
      <c r="K56" s="553">
        <f>SUM('[14]Cost of Service'!$L$3:$Q$3)*(K24/$E24)</f>
        <v>10468.153655171283</v>
      </c>
      <c r="L56" s="553">
        <f>L17*SUM('[14]Cost of Service'!$F$3:$I$3)</f>
        <v>6754.299586879747</v>
      </c>
      <c r="M56" s="553">
        <v>0</v>
      </c>
      <c r="N56" s="553">
        <f>SUM('[14]Cost of Service'!$L$3:$Q$3)*(N24/$E24)</f>
        <v>61.37555625735525</v>
      </c>
      <c r="O56" s="313"/>
      <c r="P56" s="313"/>
      <c r="Q56" s="313"/>
      <c r="R56" s="313"/>
      <c r="S56" s="313"/>
      <c r="T56" s="313"/>
      <c r="U56" s="313"/>
      <c r="V56" s="313"/>
      <c r="W56" s="313"/>
      <c r="X56" s="313"/>
      <c r="Y56" s="313"/>
      <c r="Z56" s="313"/>
      <c r="AA56" s="313"/>
      <c r="AB56" s="313"/>
      <c r="AC56" s="313"/>
      <c r="AD56" s="313"/>
      <c r="AE56" s="313"/>
      <c r="AF56" s="313"/>
      <c r="AG56" s="313"/>
      <c r="AH56" s="313"/>
    </row>
    <row r="57" spans="1:34">
      <c r="A57" s="320">
        <f t="shared" si="6"/>
        <v>41</v>
      </c>
      <c r="B57" s="304" t="s">
        <v>375</v>
      </c>
      <c r="C57" s="304" t="s">
        <v>376</v>
      </c>
      <c r="E57" s="553">
        <f t="shared" si="5"/>
        <v>67333728.742699996</v>
      </c>
      <c r="F57" s="553">
        <f>'Schedule H2-2'!$C$9</f>
        <v>47259623.975999996</v>
      </c>
      <c r="G57" s="553"/>
      <c r="H57" s="553"/>
      <c r="I57" s="553">
        <f>'Schedule H2-2'!$C$10</f>
        <v>14422189.7973</v>
      </c>
      <c r="J57" s="553"/>
      <c r="K57" s="553"/>
      <c r="L57" s="553">
        <f>'Schedule H2-2'!$C$11</f>
        <v>5651914.9693999998</v>
      </c>
      <c r="M57" s="553"/>
      <c r="N57" s="553"/>
      <c r="O57" s="313"/>
      <c r="P57" s="313"/>
      <c r="Q57" s="313"/>
      <c r="R57" s="313"/>
      <c r="S57" s="313"/>
      <c r="T57" s="313"/>
      <c r="U57" s="313"/>
      <c r="V57" s="313"/>
      <c r="W57" s="313"/>
      <c r="X57" s="313"/>
      <c r="Y57" s="313"/>
      <c r="Z57" s="313"/>
      <c r="AA57" s="313"/>
      <c r="AB57" s="313"/>
      <c r="AC57" s="313"/>
      <c r="AD57" s="313"/>
      <c r="AE57" s="313"/>
      <c r="AF57" s="313"/>
      <c r="AG57" s="313"/>
      <c r="AH57" s="313"/>
    </row>
    <row r="58" spans="1:34">
      <c r="A58" s="320">
        <f t="shared" si="6"/>
        <v>42</v>
      </c>
      <c r="B58" s="304" t="s">
        <v>377</v>
      </c>
      <c r="C58" s="304" t="s">
        <v>124</v>
      </c>
      <c r="E58" s="553">
        <f t="shared" si="5"/>
        <v>7056991.8900000015</v>
      </c>
      <c r="F58" s="553">
        <f>F17*SUM('[14]Cost of Service'!$F$12:$I$12)</f>
        <v>726275.75596827629</v>
      </c>
      <c r="G58" s="553">
        <f>(G20/$E20)*SUM('[14]Cost of Service'!$J$12:$K$12)</f>
        <v>11285.537962950619</v>
      </c>
      <c r="H58" s="553">
        <f>SUM('[14]Cost of Service'!$L$12:$Q$12)*(H24/$E24)</f>
        <v>5262216.3881938038</v>
      </c>
      <c r="I58" s="553">
        <f>I17*SUM('[14]Cost of Service'!$F$12:$I$12)</f>
        <v>312287.39706850087</v>
      </c>
      <c r="J58" s="553">
        <f>(J20/$E20)*SUM('[14]Cost of Service'!$J$12:$K$12)</f>
        <v>4875.4235993250095</v>
      </c>
      <c r="K58" s="553">
        <f>SUM('[14]Cost of Service'!$L$12:$Q$12)*(K24/$E24)</f>
        <v>444748.91951165826</v>
      </c>
      <c r="L58" s="553">
        <f>L17*SUM('[14]Cost of Service'!$F$12:$I$12)</f>
        <v>286962.49045206193</v>
      </c>
      <c r="M58" s="553">
        <f>(M20/$E20)*SUM('[14]Cost of Service'!$J$12:$K$12)</f>
        <v>5732.381555678171</v>
      </c>
      <c r="N58" s="553">
        <f>SUM('[14]Cost of Service'!$L$12:$Q$12)*(N24/$E24)</f>
        <v>2607.5956877458639</v>
      </c>
      <c r="O58" s="313"/>
      <c r="P58" s="313"/>
      <c r="Q58" s="313"/>
      <c r="R58" s="313"/>
      <c r="S58" s="313"/>
      <c r="T58" s="313"/>
      <c r="U58" s="313"/>
      <c r="V58" s="313"/>
      <c r="W58" s="313"/>
      <c r="X58" s="313"/>
      <c r="Y58" s="313"/>
      <c r="Z58" s="313"/>
      <c r="AA58" s="313"/>
      <c r="AB58" s="313"/>
      <c r="AC58" s="313"/>
      <c r="AD58" s="313"/>
      <c r="AE58" s="313"/>
      <c r="AF58" s="313"/>
      <c r="AG58" s="313"/>
      <c r="AH58" s="313"/>
    </row>
    <row r="59" spans="1:34">
      <c r="A59" s="320">
        <f t="shared" si="6"/>
        <v>43</v>
      </c>
      <c r="B59" s="304" t="s">
        <v>378</v>
      </c>
      <c r="C59" s="304" t="s">
        <v>379</v>
      </c>
      <c r="E59" s="553">
        <f t="shared" si="5"/>
        <v>3620352.5687593906</v>
      </c>
      <c r="F59" s="553">
        <f>+'G-4 COST OF SERVICE'!G57*(1/8)</f>
        <v>355682.61123641732</v>
      </c>
      <c r="G59" s="553">
        <f>+'G-4 COST OF SERVICE'!H57*(1/8)</f>
        <v>16514.037704670685</v>
      </c>
      <c r="H59" s="553">
        <f>+'G-4 COST OF SERVICE'!I57*(1/8)</f>
        <v>2687466.4771853792</v>
      </c>
      <c r="I59" s="553">
        <f>+'G-4 COST OF SERVICE'!J57*(1/8)</f>
        <v>152938.04857558821</v>
      </c>
      <c r="J59" s="553">
        <f>+'G-4 COST OF SERVICE'!K57*(1/8)</f>
        <v>7134.1684738300464</v>
      </c>
      <c r="K59" s="553">
        <f>+'G-4 COST OF SERVICE'!L57*(1/8)</f>
        <v>242310.79884811066</v>
      </c>
      <c r="L59" s="553">
        <f>+'G-4 COST OF SERVICE'!M57*(1/8)</f>
        <v>140535.55704171566</v>
      </c>
      <c r="M59" s="553">
        <f>+'G-4 COST OF SERVICE'!N57*(1/8)</f>
        <v>8388.1482175509773</v>
      </c>
      <c r="N59" s="553">
        <f>+'G-4 COST OF SERVICE'!O57*(1/8)</f>
        <v>9382.721476127952</v>
      </c>
      <c r="O59" s="313"/>
      <c r="P59" s="313"/>
      <c r="Q59" s="313"/>
      <c r="R59" s="313"/>
      <c r="S59" s="313"/>
      <c r="T59" s="313"/>
      <c r="U59" s="313"/>
      <c r="V59" s="313"/>
      <c r="W59" s="313"/>
      <c r="X59" s="313"/>
      <c r="Y59" s="313"/>
      <c r="Z59" s="313"/>
      <c r="AA59" s="313"/>
      <c r="AB59" s="313"/>
      <c r="AC59" s="313"/>
      <c r="AD59" s="313"/>
      <c r="AE59" s="313"/>
      <c r="AF59" s="313"/>
      <c r="AG59" s="313"/>
      <c r="AH59" s="313"/>
    </row>
    <row r="60" spans="1:34" ht="11.25" customHeight="1">
      <c r="A60" s="320">
        <f t="shared" si="6"/>
        <v>44</v>
      </c>
      <c r="B60" s="379" t="s">
        <v>380</v>
      </c>
      <c r="E60" s="553">
        <f t="shared" si="5"/>
        <v>489636</v>
      </c>
      <c r="F60" s="553">
        <f>[15]Sheet1!$D$13</f>
        <v>346759.44971957838</v>
      </c>
      <c r="G60" s="553"/>
      <c r="H60" s="553"/>
      <c r="I60" s="553">
        <f>[15]Sheet1!$D$14</f>
        <v>79075.109579946322</v>
      </c>
      <c r="J60" s="553"/>
      <c r="K60" s="553"/>
      <c r="L60" s="553">
        <f>[15]Sheet1!$D$15</f>
        <v>63801.440700475301</v>
      </c>
      <c r="M60" s="553"/>
      <c r="N60" s="553"/>
    </row>
    <row r="61" spans="1:34">
      <c r="E61" s="410"/>
      <c r="G61" s="313"/>
      <c r="H61" s="313"/>
      <c r="I61" s="313"/>
      <c r="J61" s="313"/>
      <c r="K61" s="552"/>
      <c r="L61" s="313"/>
      <c r="M61" s="313"/>
      <c r="N61" s="313"/>
      <c r="O61" s="313"/>
      <c r="P61" s="313"/>
      <c r="Q61" s="313"/>
      <c r="R61" s="313"/>
      <c r="S61" s="313"/>
      <c r="T61" s="313"/>
      <c r="U61" s="313"/>
      <c r="V61" s="313"/>
      <c r="W61" s="313"/>
      <c r="X61" s="313"/>
      <c r="Y61" s="313"/>
      <c r="Z61" s="313"/>
      <c r="AA61" s="313"/>
      <c r="AB61" s="313"/>
      <c r="AC61" s="313"/>
      <c r="AD61" s="313"/>
      <c r="AE61" s="313"/>
      <c r="AF61" s="313"/>
      <c r="AG61" s="313"/>
      <c r="AH61" s="313"/>
    </row>
    <row r="62" spans="1:34" ht="11.25" customHeight="1">
      <c r="B62" s="364" t="s">
        <v>381</v>
      </c>
      <c r="C62" s="364"/>
      <c r="D62" s="364"/>
      <c r="E62" s="365"/>
    </row>
    <row r="63" spans="1:34" ht="11.25" customHeight="1">
      <c r="A63" s="320">
        <v>1</v>
      </c>
      <c r="B63" s="304" t="s">
        <v>382</v>
      </c>
      <c r="C63" s="304" t="s">
        <v>133</v>
      </c>
      <c r="D63" s="304">
        <v>1</v>
      </c>
      <c r="E63" s="547">
        <f>SUM(F63:N63)</f>
        <v>0.99999999999999989</v>
      </c>
      <c r="F63" s="548">
        <f t="shared" ref="F63:N63" si="7">+F7/$E$7</f>
        <v>0</v>
      </c>
      <c r="G63" s="548">
        <f t="shared" si="7"/>
        <v>0.51547805660140722</v>
      </c>
      <c r="H63" s="548">
        <f t="shared" si="7"/>
        <v>0</v>
      </c>
      <c r="I63" s="548">
        <f t="shared" si="7"/>
        <v>0</v>
      </c>
      <c r="J63" s="548">
        <f t="shared" si="7"/>
        <v>0.22268977255131409</v>
      </c>
      <c r="K63" s="548">
        <f t="shared" si="7"/>
        <v>0</v>
      </c>
      <c r="L63" s="548">
        <f t="shared" si="7"/>
        <v>0</v>
      </c>
      <c r="M63" s="548">
        <f t="shared" si="7"/>
        <v>0.26183217084727861</v>
      </c>
      <c r="N63" s="548">
        <f t="shared" si="7"/>
        <v>0</v>
      </c>
    </row>
    <row r="64" spans="1:34" ht="11.25" customHeight="1">
      <c r="A64" s="320">
        <v>2</v>
      </c>
      <c r="B64" s="304" t="s">
        <v>382</v>
      </c>
      <c r="C64" s="304" t="s">
        <v>331</v>
      </c>
      <c r="D64" s="304">
        <v>2</v>
      </c>
      <c r="E64" s="547">
        <f>SUM(F64:N64)</f>
        <v>0.99999999999999989</v>
      </c>
      <c r="F64" s="548">
        <f t="shared" ref="F64:N64" si="8">+F20/$E$20</f>
        <v>0</v>
      </c>
      <c r="G64" s="548">
        <f t="shared" si="8"/>
        <v>0.51547805660140722</v>
      </c>
      <c r="H64" s="548">
        <f t="shared" si="8"/>
        <v>0</v>
      </c>
      <c r="I64" s="548">
        <f t="shared" si="8"/>
        <v>0</v>
      </c>
      <c r="J64" s="548">
        <f t="shared" si="8"/>
        <v>0.22268977255131409</v>
      </c>
      <c r="K64" s="548">
        <f t="shared" si="8"/>
        <v>0</v>
      </c>
      <c r="L64" s="548">
        <f t="shared" si="8"/>
        <v>0</v>
      </c>
      <c r="M64" s="548">
        <f t="shared" si="8"/>
        <v>0.26183217084727861</v>
      </c>
      <c r="N64" s="548">
        <f t="shared" si="8"/>
        <v>0</v>
      </c>
      <c r="O64" s="410"/>
      <c r="P64" s="410"/>
      <c r="Q64" s="410"/>
      <c r="R64" s="410"/>
      <c r="S64" s="410"/>
      <c r="T64" s="410"/>
      <c r="U64" s="410"/>
      <c r="V64" s="410"/>
      <c r="W64" s="410"/>
      <c r="X64" s="410"/>
      <c r="Y64" s="410"/>
      <c r="Z64" s="410"/>
      <c r="AA64" s="313"/>
      <c r="AB64" s="313"/>
      <c r="AC64" s="313"/>
      <c r="AD64" s="313"/>
      <c r="AE64" s="313"/>
      <c r="AF64" s="313"/>
      <c r="AG64" s="313"/>
    </row>
    <row r="65" spans="1:57" ht="11.25" customHeight="1">
      <c r="E65" s="551"/>
      <c r="F65" s="546"/>
      <c r="G65" s="550"/>
      <c r="H65" s="550"/>
      <c r="I65" s="550"/>
      <c r="J65" s="548"/>
      <c r="K65" s="548"/>
      <c r="L65" s="548"/>
      <c r="M65" s="548"/>
      <c r="N65" s="548"/>
      <c r="O65" s="313"/>
      <c r="P65" s="313"/>
      <c r="Q65" s="313"/>
      <c r="R65" s="313"/>
      <c r="S65" s="313"/>
      <c r="T65" s="313"/>
      <c r="U65" s="313"/>
      <c r="V65" s="313"/>
      <c r="W65" s="313"/>
      <c r="X65" s="313"/>
      <c r="Y65" s="313"/>
      <c r="Z65" s="313"/>
      <c r="AA65" s="313"/>
      <c r="AB65" s="313"/>
      <c r="AC65" s="313"/>
      <c r="AD65" s="313"/>
      <c r="AE65" s="313"/>
      <c r="AF65" s="313"/>
      <c r="AG65" s="313"/>
      <c r="AH65" s="313"/>
    </row>
    <row r="66" spans="1:57" ht="11.25" customHeight="1">
      <c r="A66" s="320">
        <v>3</v>
      </c>
      <c r="B66" s="304" t="str">
        <f t="shared" ref="B66:C77" si="9">+B24</f>
        <v>Year End Number of Customers</v>
      </c>
      <c r="C66" s="304" t="str">
        <f t="shared" si="9"/>
        <v>CUST10</v>
      </c>
      <c r="D66" s="304">
        <v>3</v>
      </c>
      <c r="E66" s="547">
        <f t="shared" ref="E66:E79" si="10">SUM(F66:N66)</f>
        <v>1</v>
      </c>
      <c r="F66" s="548">
        <f t="shared" ref="F66:N66" si="11">+F24/$E$24</f>
        <v>0</v>
      </c>
      <c r="G66" s="548">
        <f t="shared" si="11"/>
        <v>0</v>
      </c>
      <c r="H66" s="548">
        <f t="shared" si="11"/>
        <v>0.92164798965373762</v>
      </c>
      <c r="I66" s="548">
        <f t="shared" si="11"/>
        <v>0</v>
      </c>
      <c r="J66" s="548">
        <f t="shared" si="11"/>
        <v>0</v>
      </c>
      <c r="K66" s="548">
        <f t="shared" si="11"/>
        <v>7.7895304436404217E-2</v>
      </c>
      <c r="L66" s="548">
        <f t="shared" si="11"/>
        <v>0</v>
      </c>
      <c r="M66" s="548">
        <f t="shared" si="11"/>
        <v>0</v>
      </c>
      <c r="N66" s="548">
        <f t="shared" si="11"/>
        <v>4.5670590985819021E-4</v>
      </c>
      <c r="O66" s="410"/>
      <c r="P66" s="410"/>
      <c r="Q66" s="410"/>
      <c r="R66" s="410"/>
      <c r="S66" s="410"/>
      <c r="T66" s="410"/>
      <c r="U66" s="410"/>
      <c r="V66" s="410"/>
      <c r="W66" s="410"/>
      <c r="X66" s="410"/>
      <c r="Y66" s="410"/>
      <c r="Z66" s="410"/>
      <c r="AA66" s="313"/>
      <c r="AB66" s="313"/>
      <c r="AC66" s="313"/>
      <c r="AD66" s="313"/>
      <c r="AE66" s="313"/>
      <c r="AF66" s="313"/>
      <c r="AG66" s="313"/>
    </row>
    <row r="67" spans="1:57" ht="11.1" customHeight="1">
      <c r="A67" s="320">
        <f t="shared" ref="A67:A79" si="12">+A66+1</f>
        <v>4</v>
      </c>
      <c r="B67" s="304" t="str">
        <f t="shared" si="9"/>
        <v>ACCT 380-Services</v>
      </c>
      <c r="C67" s="304" t="str">
        <f t="shared" si="9"/>
        <v>CUST380</v>
      </c>
      <c r="D67" s="304">
        <v>4</v>
      </c>
      <c r="E67" s="547">
        <f t="shared" si="10"/>
        <v>1</v>
      </c>
      <c r="F67" s="548">
        <f t="shared" ref="F67:N67" si="13">+F25/$E$25</f>
        <v>0</v>
      </c>
      <c r="G67" s="548">
        <f t="shared" si="13"/>
        <v>0</v>
      </c>
      <c r="H67" s="548">
        <f t="shared" si="13"/>
        <v>0.92142503477655213</v>
      </c>
      <c r="I67" s="548">
        <f t="shared" si="13"/>
        <v>0</v>
      </c>
      <c r="J67" s="548">
        <f t="shared" si="13"/>
        <v>0</v>
      </c>
      <c r="K67" s="548">
        <f t="shared" si="13"/>
        <v>7.7684473910145282E-2</v>
      </c>
      <c r="L67" s="548">
        <f t="shared" si="13"/>
        <v>0</v>
      </c>
      <c r="M67" s="548">
        <f t="shared" si="13"/>
        <v>0</v>
      </c>
      <c r="N67" s="548">
        <f t="shared" si="13"/>
        <v>8.9049131330256129E-4</v>
      </c>
      <c r="O67" s="313"/>
      <c r="P67" s="313"/>
      <c r="Q67" s="313"/>
      <c r="R67" s="313"/>
      <c r="S67" s="313"/>
      <c r="T67" s="313"/>
      <c r="U67" s="313"/>
      <c r="V67" s="313"/>
      <c r="W67" s="313"/>
      <c r="X67" s="313"/>
      <c r="Y67" s="313"/>
      <c r="Z67" s="313"/>
      <c r="AA67" s="313"/>
      <c r="AB67" s="313"/>
      <c r="AC67" s="313"/>
      <c r="AD67" s="313"/>
      <c r="AE67" s="313"/>
      <c r="AF67" s="313"/>
      <c r="AG67" s="313"/>
      <c r="AH67" s="313"/>
    </row>
    <row r="68" spans="1:57" ht="11.25" customHeight="1">
      <c r="A68" s="320">
        <f t="shared" si="12"/>
        <v>5</v>
      </c>
      <c r="B68" s="304" t="str">
        <f t="shared" si="9"/>
        <v>ACCT 381-Meters</v>
      </c>
      <c r="C68" s="304" t="str">
        <f t="shared" si="9"/>
        <v>CUST381</v>
      </c>
      <c r="D68" s="304">
        <v>5</v>
      </c>
      <c r="E68" s="547">
        <f t="shared" si="10"/>
        <v>1</v>
      </c>
      <c r="F68" s="548">
        <f t="shared" ref="F68:N68" si="14">+F26/$E$26</f>
        <v>0</v>
      </c>
      <c r="G68" s="548">
        <f t="shared" si="14"/>
        <v>0</v>
      </c>
      <c r="H68" s="548">
        <f t="shared" si="14"/>
        <v>0.78982797204620958</v>
      </c>
      <c r="I68" s="548">
        <f t="shared" si="14"/>
        <v>0</v>
      </c>
      <c r="J68" s="548">
        <f t="shared" si="14"/>
        <v>0</v>
      </c>
      <c r="K68" s="548">
        <f t="shared" si="14"/>
        <v>0.20280610065354299</v>
      </c>
      <c r="L68" s="548">
        <f t="shared" si="14"/>
        <v>0</v>
      </c>
      <c r="M68" s="548">
        <f t="shared" si="14"/>
        <v>0</v>
      </c>
      <c r="N68" s="548">
        <f t="shared" si="14"/>
        <v>7.3659273002474324E-3</v>
      </c>
      <c r="O68" s="313"/>
      <c r="P68" s="313"/>
      <c r="Q68" s="313"/>
      <c r="R68" s="313"/>
      <c r="S68" s="313"/>
      <c r="T68" s="313"/>
      <c r="U68" s="313"/>
      <c r="V68" s="313"/>
      <c r="W68" s="313"/>
      <c r="X68" s="313"/>
      <c r="Y68" s="313"/>
      <c r="Z68" s="313"/>
      <c r="AA68" s="313"/>
      <c r="AB68" s="313"/>
      <c r="AC68" s="313"/>
      <c r="AD68" s="313"/>
      <c r="AE68" s="313"/>
      <c r="AF68" s="313"/>
      <c r="AG68" s="313"/>
      <c r="AH68" s="313"/>
    </row>
    <row r="69" spans="1:57" ht="11.25" customHeight="1">
      <c r="A69" s="320">
        <f t="shared" si="12"/>
        <v>6</v>
      </c>
      <c r="B69" s="304" t="str">
        <f t="shared" si="9"/>
        <v>ACCT 382-Meter Installations</v>
      </c>
      <c r="C69" s="304" t="str">
        <f t="shared" si="9"/>
        <v>CUST382</v>
      </c>
      <c r="D69" s="304">
        <v>6</v>
      </c>
      <c r="E69" s="547">
        <f t="shared" si="10"/>
        <v>0.99999999999999989</v>
      </c>
      <c r="F69" s="548">
        <f t="shared" ref="F69:N69" si="15">+F27/$E$27</f>
        <v>0</v>
      </c>
      <c r="G69" s="548">
        <f t="shared" si="15"/>
        <v>0</v>
      </c>
      <c r="H69" s="548">
        <f t="shared" si="15"/>
        <v>0.92164798965373751</v>
      </c>
      <c r="I69" s="548">
        <f t="shared" si="15"/>
        <v>0</v>
      </c>
      <c r="J69" s="548">
        <f t="shared" si="15"/>
        <v>0</v>
      </c>
      <c r="K69" s="548">
        <f t="shared" si="15"/>
        <v>7.7895304436404217E-2</v>
      </c>
      <c r="L69" s="548">
        <f t="shared" si="15"/>
        <v>0</v>
      </c>
      <c r="M69" s="548">
        <f t="shared" si="15"/>
        <v>0</v>
      </c>
      <c r="N69" s="548">
        <f t="shared" si="15"/>
        <v>4.5670590985819016E-4</v>
      </c>
      <c r="O69" s="313"/>
      <c r="P69" s="313"/>
      <c r="Q69" s="313"/>
      <c r="R69" s="313"/>
      <c r="S69" s="313"/>
      <c r="T69" s="313"/>
      <c r="U69" s="313"/>
      <c r="V69" s="313"/>
      <c r="W69" s="313"/>
      <c r="X69" s="313"/>
      <c r="Y69" s="313"/>
      <c r="Z69" s="313"/>
      <c r="AA69" s="313"/>
      <c r="AB69" s="313"/>
      <c r="AC69" s="313"/>
      <c r="AD69" s="313"/>
      <c r="AE69" s="313"/>
      <c r="AF69" s="313"/>
      <c r="AG69" s="313"/>
      <c r="AH69" s="313"/>
    </row>
    <row r="70" spans="1:57" ht="11.25" customHeight="1">
      <c r="A70" s="320">
        <f t="shared" si="12"/>
        <v>7</v>
      </c>
      <c r="B70" s="304" t="str">
        <f t="shared" si="9"/>
        <v>ACCT 383-House Regulators</v>
      </c>
      <c r="C70" s="304" t="str">
        <f t="shared" si="9"/>
        <v>CUST383</v>
      </c>
      <c r="D70" s="304">
        <v>7</v>
      </c>
      <c r="E70" s="547">
        <f t="shared" si="10"/>
        <v>1</v>
      </c>
      <c r="F70" s="548">
        <f t="shared" ref="F70:N70" si="16">+F28/$E$28</f>
        <v>0</v>
      </c>
      <c r="G70" s="548">
        <f t="shared" si="16"/>
        <v>0</v>
      </c>
      <c r="H70" s="548">
        <f t="shared" si="16"/>
        <v>0.86079570406764871</v>
      </c>
      <c r="I70" s="548">
        <f t="shared" si="16"/>
        <v>0</v>
      </c>
      <c r="J70" s="548">
        <f t="shared" si="16"/>
        <v>0</v>
      </c>
      <c r="K70" s="548">
        <f t="shared" si="16"/>
        <v>0.13289373794090542</v>
      </c>
      <c r="L70" s="548">
        <f t="shared" si="16"/>
        <v>0</v>
      </c>
      <c r="M70" s="548">
        <f t="shared" si="16"/>
        <v>0</v>
      </c>
      <c r="N70" s="548">
        <f t="shared" si="16"/>
        <v>6.3105579914459744E-3</v>
      </c>
      <c r="O70" s="313"/>
      <c r="P70" s="313"/>
      <c r="Q70" s="313"/>
      <c r="R70" s="313"/>
      <c r="S70" s="313"/>
      <c r="T70" s="313"/>
      <c r="U70" s="313"/>
      <c r="V70" s="313"/>
      <c r="W70" s="313"/>
      <c r="X70" s="313"/>
      <c r="Y70" s="313"/>
      <c r="Z70" s="313"/>
      <c r="AA70" s="313"/>
      <c r="AB70" s="313"/>
      <c r="AC70" s="313"/>
      <c r="AD70" s="313"/>
      <c r="AE70" s="313"/>
      <c r="AF70" s="313"/>
      <c r="AG70" s="313"/>
      <c r="AH70" s="313"/>
    </row>
    <row r="71" spans="1:57" ht="11.25" customHeight="1">
      <c r="A71" s="320">
        <f t="shared" si="12"/>
        <v>8</v>
      </c>
      <c r="B71" s="304" t="str">
        <f t="shared" si="9"/>
        <v>ACCT 384-House Reg. Installation</v>
      </c>
      <c r="C71" s="304" t="str">
        <f t="shared" si="9"/>
        <v>CUST384</v>
      </c>
      <c r="D71" s="304">
        <v>8</v>
      </c>
      <c r="E71" s="547">
        <f t="shared" si="10"/>
        <v>1</v>
      </c>
      <c r="F71" s="548">
        <f t="shared" ref="F71:N71" si="17">+F29/$E$29</f>
        <v>0</v>
      </c>
      <c r="G71" s="548">
        <f t="shared" si="17"/>
        <v>0</v>
      </c>
      <c r="H71" s="548">
        <f t="shared" si="17"/>
        <v>0.92164798965373762</v>
      </c>
      <c r="I71" s="548">
        <f t="shared" si="17"/>
        <v>0</v>
      </c>
      <c r="J71" s="548">
        <f t="shared" si="17"/>
        <v>0</v>
      </c>
      <c r="K71" s="548">
        <f t="shared" si="17"/>
        <v>7.7895304436404217E-2</v>
      </c>
      <c r="L71" s="548">
        <f t="shared" si="17"/>
        <v>0</v>
      </c>
      <c r="M71" s="548">
        <f t="shared" si="17"/>
        <v>0</v>
      </c>
      <c r="N71" s="548">
        <f t="shared" si="17"/>
        <v>4.5670590985819021E-4</v>
      </c>
      <c r="O71" s="313"/>
      <c r="P71" s="313"/>
      <c r="Q71" s="313"/>
      <c r="R71" s="313"/>
      <c r="S71" s="313"/>
      <c r="T71" s="313"/>
      <c r="U71" s="313"/>
      <c r="V71" s="313"/>
      <c r="W71" s="313"/>
      <c r="X71" s="313"/>
      <c r="Y71" s="313"/>
      <c r="Z71" s="313"/>
      <c r="AA71" s="313"/>
      <c r="AB71" s="313"/>
      <c r="AC71" s="313"/>
      <c r="AD71" s="313"/>
      <c r="AE71" s="313"/>
      <c r="AF71" s="313"/>
      <c r="AG71" s="313"/>
      <c r="AH71" s="313"/>
    </row>
    <row r="72" spans="1:57" ht="11.25" customHeight="1">
      <c r="A72" s="320">
        <f t="shared" si="12"/>
        <v>9</v>
      </c>
      <c r="B72" s="304" t="str">
        <f t="shared" si="9"/>
        <v>ACCT 385-Industrial Reg Equipment</v>
      </c>
      <c r="C72" s="304" t="str">
        <f t="shared" si="9"/>
        <v>CUST385</v>
      </c>
      <c r="D72" s="304">
        <v>9</v>
      </c>
      <c r="E72" s="547">
        <f t="shared" si="10"/>
        <v>1</v>
      </c>
      <c r="F72" s="548">
        <f t="shared" ref="F72:N72" si="18">+F30/$E$30</f>
        <v>0</v>
      </c>
      <c r="G72" s="548">
        <f t="shared" si="18"/>
        <v>0</v>
      </c>
      <c r="H72" s="548">
        <f t="shared" si="18"/>
        <v>0</v>
      </c>
      <c r="I72" s="548">
        <f t="shared" si="18"/>
        <v>0</v>
      </c>
      <c r="J72" s="548">
        <f t="shared" si="18"/>
        <v>0</v>
      </c>
      <c r="K72" s="548">
        <f t="shared" si="18"/>
        <v>0</v>
      </c>
      <c r="L72" s="548">
        <f t="shared" si="18"/>
        <v>0</v>
      </c>
      <c r="M72" s="548">
        <f t="shared" si="18"/>
        <v>0</v>
      </c>
      <c r="N72" s="548">
        <f t="shared" si="18"/>
        <v>1</v>
      </c>
      <c r="O72" s="313"/>
      <c r="P72" s="313"/>
      <c r="Q72" s="313"/>
      <c r="R72" s="313"/>
      <c r="S72" s="313"/>
      <c r="T72" s="313"/>
      <c r="U72" s="313"/>
      <c r="V72" s="313"/>
      <c r="W72" s="313"/>
      <c r="X72" s="313"/>
      <c r="Y72" s="313"/>
      <c r="Z72" s="313"/>
      <c r="AA72" s="313"/>
      <c r="AB72" s="313"/>
      <c r="AC72" s="313"/>
      <c r="AD72" s="313"/>
      <c r="AE72" s="313"/>
      <c r="AF72" s="313"/>
      <c r="AG72" s="313"/>
      <c r="AH72" s="313"/>
    </row>
    <row r="73" spans="1:57" ht="11.25" customHeight="1">
      <c r="A73" s="320">
        <f t="shared" si="12"/>
        <v>10</v>
      </c>
      <c r="B73" s="304" t="str">
        <f t="shared" si="9"/>
        <v>ACCT 487-Misc. Service Revenue</v>
      </c>
      <c r="C73" s="304" t="str">
        <f t="shared" si="9"/>
        <v>CUST487</v>
      </c>
      <c r="D73" s="304">
        <v>10</v>
      </c>
      <c r="E73" s="547">
        <f t="shared" si="10"/>
        <v>1</v>
      </c>
      <c r="F73" s="548">
        <f t="shared" ref="F73:N73" si="19">+F31/$E$31</f>
        <v>0</v>
      </c>
      <c r="G73" s="548">
        <f t="shared" si="19"/>
        <v>0</v>
      </c>
      <c r="H73" s="548">
        <f t="shared" si="19"/>
        <v>0.94994250574493122</v>
      </c>
      <c r="I73" s="548">
        <f t="shared" si="19"/>
        <v>0</v>
      </c>
      <c r="J73" s="548">
        <f t="shared" si="19"/>
        <v>0</v>
      </c>
      <c r="K73" s="548">
        <f t="shared" si="19"/>
        <v>4.9857748143030303E-2</v>
      </c>
      <c r="L73" s="548">
        <f t="shared" si="19"/>
        <v>0</v>
      </c>
      <c r="M73" s="548">
        <f t="shared" si="19"/>
        <v>0</v>
      </c>
      <c r="N73" s="548">
        <f t="shared" si="19"/>
        <v>1.9974611203847311E-4</v>
      </c>
      <c r="O73" s="410"/>
      <c r="P73" s="410"/>
      <c r="Q73" s="410"/>
      <c r="R73" s="410"/>
      <c r="S73" s="410"/>
      <c r="T73" s="410"/>
      <c r="U73" s="410"/>
      <c r="V73" s="410"/>
      <c r="W73" s="410"/>
      <c r="X73" s="410"/>
      <c r="Y73" s="410"/>
      <c r="Z73" s="410"/>
      <c r="AA73" s="410"/>
      <c r="AB73" s="410"/>
      <c r="AC73" s="410"/>
      <c r="AD73" s="410"/>
      <c r="AE73" s="410"/>
      <c r="AF73" s="410"/>
      <c r="AG73" s="410"/>
      <c r="AH73" s="410"/>
      <c r="AI73" s="410"/>
      <c r="AJ73" s="410"/>
      <c r="AK73" s="410"/>
      <c r="AL73" s="313"/>
      <c r="AM73" s="313"/>
      <c r="AN73" s="313"/>
      <c r="AO73" s="313"/>
      <c r="AP73" s="313"/>
      <c r="AQ73" s="313"/>
      <c r="AR73" s="313"/>
      <c r="AS73" s="313"/>
      <c r="AT73" s="313"/>
      <c r="AU73" s="313"/>
      <c r="AV73" s="313"/>
      <c r="AW73" s="313"/>
      <c r="AX73" s="313"/>
      <c r="AY73" s="313"/>
      <c r="AZ73" s="313"/>
      <c r="BA73" s="313"/>
      <c r="BB73" s="313"/>
      <c r="BC73" s="313"/>
      <c r="BD73" s="313"/>
      <c r="BE73" s="313"/>
    </row>
    <row r="74" spans="1:57" ht="11.25" customHeight="1">
      <c r="A74" s="320">
        <f t="shared" si="12"/>
        <v>11</v>
      </c>
      <c r="B74" s="304" t="str">
        <f t="shared" si="9"/>
        <v>ACCT 902-Meter Read Expense</v>
      </c>
      <c r="C74" s="304" t="str">
        <f t="shared" si="9"/>
        <v>CUST902</v>
      </c>
      <c r="D74" s="304">
        <v>11</v>
      </c>
      <c r="E74" s="547">
        <f t="shared" si="10"/>
        <v>1</v>
      </c>
      <c r="F74" s="548">
        <f t="shared" ref="F74:N74" si="20">+F32/$E$32</f>
        <v>0</v>
      </c>
      <c r="G74" s="548">
        <f t="shared" si="20"/>
        <v>0</v>
      </c>
      <c r="H74" s="548">
        <f t="shared" si="20"/>
        <v>0.92164798965373762</v>
      </c>
      <c r="I74" s="548">
        <f t="shared" si="20"/>
        <v>0</v>
      </c>
      <c r="J74" s="548">
        <f t="shared" si="20"/>
        <v>0</v>
      </c>
      <c r="K74" s="548">
        <f t="shared" si="20"/>
        <v>7.7895304436404203E-2</v>
      </c>
      <c r="L74" s="548">
        <f t="shared" si="20"/>
        <v>0</v>
      </c>
      <c r="M74" s="548">
        <f t="shared" si="20"/>
        <v>0</v>
      </c>
      <c r="N74" s="548">
        <f t="shared" si="20"/>
        <v>4.5670590985819021E-4</v>
      </c>
      <c r="O74" s="313"/>
      <c r="P74" s="313"/>
      <c r="Q74" s="313"/>
      <c r="R74" s="313"/>
      <c r="S74" s="313"/>
      <c r="T74" s="313"/>
      <c r="U74" s="313"/>
      <c r="V74" s="313"/>
      <c r="W74" s="313"/>
      <c r="X74" s="313"/>
      <c r="Y74" s="313"/>
      <c r="Z74" s="313"/>
      <c r="AA74" s="313"/>
      <c r="AB74" s="313"/>
      <c r="AC74" s="313"/>
      <c r="AD74" s="313"/>
      <c r="AE74" s="313"/>
      <c r="AF74" s="313"/>
      <c r="AG74" s="313"/>
      <c r="AH74" s="313"/>
      <c r="AI74" s="313"/>
      <c r="AJ74" s="313"/>
      <c r="AK74" s="313"/>
      <c r="AL74" s="313"/>
      <c r="AM74" s="313"/>
      <c r="AN74" s="313"/>
      <c r="AO74" s="313"/>
      <c r="AP74" s="313"/>
      <c r="AQ74" s="313"/>
      <c r="AR74" s="313"/>
      <c r="AS74" s="313"/>
      <c r="AT74" s="313"/>
      <c r="AU74" s="313"/>
      <c r="AV74" s="313"/>
      <c r="AW74" s="313"/>
      <c r="AX74" s="313"/>
      <c r="AY74" s="313"/>
      <c r="AZ74" s="313"/>
      <c r="BA74" s="313"/>
      <c r="BB74" s="313"/>
      <c r="BC74" s="313"/>
      <c r="BD74" s="313"/>
      <c r="BE74" s="313"/>
    </row>
    <row r="75" spans="1:57" ht="11.25" customHeight="1">
      <c r="A75" s="320">
        <f t="shared" si="12"/>
        <v>12</v>
      </c>
      <c r="B75" s="304" t="str">
        <f t="shared" si="9"/>
        <v>ACCT 903-Customer Records &amp; Collections</v>
      </c>
      <c r="C75" s="304" t="str">
        <f t="shared" si="9"/>
        <v>CUST903</v>
      </c>
      <c r="D75" s="304">
        <v>12</v>
      </c>
      <c r="E75" s="547">
        <f t="shared" si="10"/>
        <v>1</v>
      </c>
      <c r="F75" s="548">
        <f t="shared" ref="F75:N75" si="21">+F33/$E$33</f>
        <v>0</v>
      </c>
      <c r="G75" s="548">
        <f t="shared" si="21"/>
        <v>0</v>
      </c>
      <c r="H75" s="548">
        <f t="shared" si="21"/>
        <v>0.92164798965373762</v>
      </c>
      <c r="I75" s="548">
        <f t="shared" si="21"/>
        <v>0</v>
      </c>
      <c r="J75" s="548">
        <f t="shared" si="21"/>
        <v>0</v>
      </c>
      <c r="K75" s="548">
        <f t="shared" si="21"/>
        <v>7.7895304436404217E-2</v>
      </c>
      <c r="L75" s="548">
        <f t="shared" si="21"/>
        <v>0</v>
      </c>
      <c r="M75" s="548">
        <f t="shared" si="21"/>
        <v>0</v>
      </c>
      <c r="N75" s="548">
        <f t="shared" si="21"/>
        <v>4.5670590985819021E-4</v>
      </c>
      <c r="O75" s="313"/>
      <c r="P75" s="313"/>
      <c r="Q75" s="313"/>
      <c r="R75" s="313"/>
      <c r="S75" s="313"/>
      <c r="T75" s="313"/>
      <c r="U75" s="313"/>
      <c r="V75" s="313"/>
      <c r="W75" s="313"/>
      <c r="X75" s="313"/>
      <c r="Y75" s="313"/>
      <c r="Z75" s="313"/>
      <c r="AA75" s="313"/>
      <c r="AB75" s="313"/>
      <c r="AC75" s="313"/>
      <c r="AD75" s="313"/>
      <c r="AE75" s="313"/>
      <c r="AF75" s="313"/>
      <c r="AG75" s="313"/>
      <c r="AH75" s="313"/>
      <c r="AI75" s="313"/>
      <c r="AJ75" s="313"/>
      <c r="AK75" s="313"/>
      <c r="AL75" s="313"/>
      <c r="AM75" s="313"/>
      <c r="AN75" s="313"/>
      <c r="AO75" s="313"/>
      <c r="AP75" s="313"/>
      <c r="AQ75" s="313"/>
      <c r="AR75" s="313"/>
      <c r="AS75" s="313"/>
      <c r="AT75" s="313"/>
      <c r="AU75" s="313"/>
      <c r="AV75" s="313"/>
      <c r="AW75" s="313"/>
      <c r="AX75" s="313"/>
      <c r="AY75" s="313"/>
      <c r="AZ75" s="313"/>
      <c r="BA75" s="313"/>
      <c r="BB75" s="313"/>
      <c r="BC75" s="313"/>
      <c r="BD75" s="313"/>
      <c r="BE75" s="313"/>
    </row>
    <row r="76" spans="1:57" ht="11.25" customHeight="1">
      <c r="A76" s="320">
        <f t="shared" si="12"/>
        <v>13</v>
      </c>
      <c r="B76" s="304" t="str">
        <f t="shared" si="9"/>
        <v>ACCT 904-Customer UNCOLLECTIBLES</v>
      </c>
      <c r="C76" s="304" t="str">
        <f t="shared" si="9"/>
        <v>CUST904</v>
      </c>
      <c r="D76" s="304">
        <v>13</v>
      </c>
      <c r="E76" s="547">
        <f t="shared" si="10"/>
        <v>1</v>
      </c>
      <c r="F76" s="548">
        <f t="shared" ref="F76:N76" si="22">+F34/$E$34</f>
        <v>0</v>
      </c>
      <c r="G76" s="548">
        <f t="shared" si="22"/>
        <v>0</v>
      </c>
      <c r="H76" s="548">
        <f t="shared" si="22"/>
        <v>0.70391338485191601</v>
      </c>
      <c r="I76" s="548">
        <f t="shared" si="22"/>
        <v>0</v>
      </c>
      <c r="J76" s="548">
        <f t="shared" si="22"/>
        <v>0</v>
      </c>
      <c r="K76" s="548">
        <f t="shared" si="22"/>
        <v>0.21265884224018469</v>
      </c>
      <c r="L76" s="548">
        <f t="shared" si="22"/>
        <v>0</v>
      </c>
      <c r="M76" s="548">
        <f t="shared" si="22"/>
        <v>0</v>
      </c>
      <c r="N76" s="548">
        <f t="shared" si="22"/>
        <v>8.3427772907899322E-2</v>
      </c>
      <c r="O76" s="549"/>
      <c r="P76" s="313"/>
      <c r="Q76" s="313"/>
      <c r="R76" s="313"/>
      <c r="S76" s="313"/>
      <c r="T76" s="313"/>
      <c r="U76" s="313"/>
      <c r="V76" s="313"/>
      <c r="W76" s="313"/>
      <c r="X76" s="313"/>
      <c r="Y76" s="313"/>
      <c r="Z76" s="313"/>
      <c r="AA76" s="313"/>
      <c r="AB76" s="313"/>
      <c r="AC76" s="313"/>
      <c r="AD76" s="313"/>
      <c r="AE76" s="313"/>
      <c r="AF76" s="313"/>
      <c r="AG76" s="313"/>
      <c r="AH76" s="313"/>
      <c r="AI76" s="313"/>
      <c r="AJ76" s="313"/>
      <c r="AK76" s="313"/>
      <c r="AL76" s="313"/>
      <c r="AM76" s="313"/>
      <c r="AN76" s="313"/>
      <c r="AO76" s="313"/>
      <c r="AP76" s="313"/>
      <c r="AQ76" s="313"/>
      <c r="AR76" s="313"/>
      <c r="AS76" s="313"/>
      <c r="AT76" s="313"/>
      <c r="AU76" s="313"/>
      <c r="AV76" s="313"/>
      <c r="AW76" s="313"/>
      <c r="AX76" s="313"/>
      <c r="AY76" s="313"/>
      <c r="AZ76" s="313"/>
      <c r="BA76" s="313"/>
      <c r="BB76" s="313"/>
      <c r="BC76" s="313"/>
      <c r="BD76" s="313"/>
      <c r="BE76" s="313"/>
    </row>
    <row r="77" spans="1:57" ht="11.25" customHeight="1">
      <c r="A77" s="320">
        <f t="shared" si="12"/>
        <v>14</v>
      </c>
      <c r="B77" s="304" t="str">
        <f t="shared" si="9"/>
        <v>ACCT 902 + 903 + 904</v>
      </c>
      <c r="C77" s="304" t="str">
        <f t="shared" si="9"/>
        <v>CUSTMIS</v>
      </c>
      <c r="D77" s="304">
        <v>14</v>
      </c>
      <c r="E77" s="547">
        <f t="shared" si="10"/>
        <v>1</v>
      </c>
      <c r="F77" s="548">
        <f t="shared" ref="F77:N77" si="23">+F35/$E$35</f>
        <v>0</v>
      </c>
      <c r="G77" s="548">
        <f t="shared" si="23"/>
        <v>0</v>
      </c>
      <c r="H77" s="548">
        <f t="shared" si="23"/>
        <v>0.91171975560544394</v>
      </c>
      <c r="I77" s="548">
        <f t="shared" si="23"/>
        <v>0</v>
      </c>
      <c r="J77" s="548">
        <f t="shared" si="23"/>
        <v>0</v>
      </c>
      <c r="K77" s="548">
        <f t="shared" si="23"/>
        <v>8.4040234617391268E-2</v>
      </c>
      <c r="L77" s="548">
        <f t="shared" si="23"/>
        <v>0</v>
      </c>
      <c r="M77" s="548">
        <f t="shared" si="23"/>
        <v>0</v>
      </c>
      <c r="N77" s="548">
        <f t="shared" si="23"/>
        <v>4.2400097771647825E-3</v>
      </c>
      <c r="O77" s="549"/>
      <c r="P77" s="313"/>
      <c r="Q77" s="313"/>
      <c r="R77" s="313"/>
      <c r="S77" s="313"/>
      <c r="T77" s="313"/>
      <c r="U77" s="313"/>
      <c r="V77" s="313"/>
      <c r="W77" s="313"/>
      <c r="X77" s="313"/>
      <c r="Y77" s="313"/>
      <c r="Z77" s="313"/>
      <c r="AA77" s="313"/>
      <c r="AB77" s="313"/>
      <c r="AC77" s="313"/>
      <c r="AD77" s="313"/>
      <c r="AE77" s="313"/>
      <c r="AF77" s="313"/>
      <c r="AG77" s="313"/>
      <c r="AH77" s="313"/>
      <c r="AI77" s="313"/>
      <c r="AJ77" s="313"/>
      <c r="AK77" s="313"/>
      <c r="AL77" s="313"/>
      <c r="AM77" s="313"/>
      <c r="AN77" s="313"/>
      <c r="AO77" s="313"/>
      <c r="AP77" s="313"/>
      <c r="AQ77" s="313"/>
      <c r="AR77" s="313"/>
      <c r="AS77" s="313"/>
      <c r="AT77" s="313"/>
      <c r="AU77" s="313"/>
      <c r="AV77" s="313"/>
      <c r="AW77" s="313"/>
      <c r="AX77" s="313"/>
      <c r="AY77" s="313"/>
      <c r="AZ77" s="313"/>
      <c r="BA77" s="313"/>
      <c r="BB77" s="313"/>
      <c r="BC77" s="313"/>
      <c r="BD77" s="313"/>
      <c r="BE77" s="313"/>
    </row>
    <row r="78" spans="1:57" ht="11.25" customHeight="1">
      <c r="A78" s="320">
        <f t="shared" si="12"/>
        <v>15</v>
      </c>
      <c r="B78" s="304" t="s">
        <v>346</v>
      </c>
      <c r="C78" s="304" t="s">
        <v>347</v>
      </c>
      <c r="D78" s="304">
        <v>15</v>
      </c>
      <c r="E78" s="547">
        <f t="shared" si="10"/>
        <v>1</v>
      </c>
      <c r="F78" s="548">
        <f t="shared" ref="F78:N78" si="24">+F36/$E$36</f>
        <v>0</v>
      </c>
      <c r="G78" s="548">
        <f t="shared" si="24"/>
        <v>0</v>
      </c>
      <c r="H78" s="548">
        <f t="shared" si="24"/>
        <v>0.79886884177696327</v>
      </c>
      <c r="I78" s="548">
        <f t="shared" si="24"/>
        <v>0</v>
      </c>
      <c r="J78" s="548">
        <f t="shared" si="24"/>
        <v>0</v>
      </c>
      <c r="K78" s="548">
        <f t="shared" si="24"/>
        <v>0.13306236790678086</v>
      </c>
      <c r="L78" s="548">
        <f t="shared" si="24"/>
        <v>0</v>
      </c>
      <c r="M78" s="548">
        <f t="shared" si="24"/>
        <v>0</v>
      </c>
      <c r="N78" s="548">
        <f t="shared" si="24"/>
        <v>6.8068790316255845E-2</v>
      </c>
      <c r="O78" s="313"/>
      <c r="P78" s="313"/>
      <c r="Q78" s="313"/>
      <c r="R78" s="313"/>
      <c r="S78" s="313"/>
      <c r="T78" s="313"/>
      <c r="U78" s="313"/>
      <c r="V78" s="313"/>
      <c r="W78" s="313"/>
      <c r="X78" s="313"/>
      <c r="Y78" s="313"/>
      <c r="Z78" s="313"/>
      <c r="AA78" s="313"/>
      <c r="AB78" s="313"/>
      <c r="AC78" s="313"/>
      <c r="AD78" s="313"/>
      <c r="AE78" s="313"/>
      <c r="AF78" s="313"/>
      <c r="AG78" s="313"/>
      <c r="AH78" s="313"/>
    </row>
    <row r="79" spans="1:57" ht="11.25" customHeight="1">
      <c r="A79" s="320">
        <f t="shared" si="12"/>
        <v>16</v>
      </c>
      <c r="B79" s="304" t="str">
        <f>+B37</f>
        <v>Customer Deposits</v>
      </c>
      <c r="C79" s="304" t="str">
        <f>+C37</f>
        <v>CUSTDEP</v>
      </c>
      <c r="D79" s="304">
        <v>16</v>
      </c>
      <c r="E79" s="547">
        <f t="shared" si="10"/>
        <v>0.99999999999999989</v>
      </c>
      <c r="F79" s="548">
        <f t="shared" ref="F79:N79" si="25">+F37/$E$37</f>
        <v>0</v>
      </c>
      <c r="G79" s="548">
        <f t="shared" si="25"/>
        <v>0</v>
      </c>
      <c r="H79" s="548">
        <f t="shared" si="25"/>
        <v>-2.4888755538752763E-2</v>
      </c>
      <c r="I79" s="548">
        <f t="shared" si="25"/>
        <v>0</v>
      </c>
      <c r="J79" s="548">
        <f t="shared" si="25"/>
        <v>0</v>
      </c>
      <c r="K79" s="548">
        <f t="shared" si="25"/>
        <v>1.0248887555387527</v>
      </c>
      <c r="L79" s="548">
        <f t="shared" si="25"/>
        <v>0</v>
      </c>
      <c r="M79" s="548">
        <f t="shared" si="25"/>
        <v>0</v>
      </c>
      <c r="N79" s="548">
        <f t="shared" si="25"/>
        <v>0</v>
      </c>
      <c r="O79" s="313"/>
      <c r="P79" s="313"/>
      <c r="Q79" s="313"/>
      <c r="R79" s="313"/>
      <c r="S79" s="313"/>
      <c r="T79" s="313"/>
      <c r="U79" s="313"/>
      <c r="V79" s="313"/>
      <c r="W79" s="313"/>
      <c r="X79" s="313"/>
      <c r="Y79" s="313"/>
      <c r="Z79" s="313"/>
      <c r="AA79" s="313"/>
      <c r="AB79" s="313"/>
      <c r="AC79" s="313"/>
      <c r="AD79" s="313"/>
      <c r="AE79" s="313"/>
      <c r="AF79" s="313"/>
      <c r="AG79" s="313"/>
      <c r="AH79" s="313"/>
    </row>
    <row r="80" spans="1:57" ht="11.25" customHeight="1">
      <c r="E80" s="547"/>
      <c r="F80" s="549"/>
      <c r="G80" s="549"/>
      <c r="H80" s="549"/>
      <c r="I80" s="549"/>
      <c r="J80" s="548"/>
      <c r="K80" s="548"/>
      <c r="L80" s="548"/>
      <c r="M80" s="548"/>
      <c r="N80" s="548"/>
      <c r="O80" s="313"/>
      <c r="P80" s="313"/>
      <c r="Q80" s="313"/>
      <c r="R80" s="313"/>
      <c r="S80" s="313"/>
      <c r="T80" s="313"/>
      <c r="U80" s="313"/>
      <c r="V80" s="313"/>
      <c r="W80" s="313"/>
      <c r="X80" s="313"/>
      <c r="Y80" s="313"/>
      <c r="Z80" s="313"/>
      <c r="AA80" s="313"/>
      <c r="AB80" s="313"/>
      <c r="AC80" s="313"/>
      <c r="AD80" s="313"/>
      <c r="AE80" s="313"/>
      <c r="AF80" s="313"/>
      <c r="AG80" s="313"/>
      <c r="AH80" s="313"/>
    </row>
    <row r="81" spans="1:34" ht="11.25" customHeight="1">
      <c r="A81" s="320">
        <f>A79+1</f>
        <v>17</v>
      </c>
      <c r="B81" s="304" t="str">
        <f t="shared" ref="B81:C88" si="26">+B40</f>
        <v>Total Gas Plant in Service</v>
      </c>
      <c r="C81" s="304" t="str">
        <f t="shared" si="26"/>
        <v>PLANT</v>
      </c>
      <c r="D81" s="304">
        <f>D79+1</f>
        <v>17</v>
      </c>
      <c r="E81" s="547">
        <f t="shared" ref="E81:E89" si="27">SUM(F81:N81)</f>
        <v>1</v>
      </c>
      <c r="F81" s="546">
        <f t="shared" ref="F81:N81" si="28">+F40/$E$40</f>
        <v>0.15533930707817392</v>
      </c>
      <c r="G81" s="546">
        <f t="shared" si="28"/>
        <v>0</v>
      </c>
      <c r="H81" s="546">
        <f t="shared" si="28"/>
        <v>0.64407064155430382</v>
      </c>
      <c r="I81" s="546">
        <f t="shared" si="28"/>
        <v>6.679351083061344E-2</v>
      </c>
      <c r="J81" s="546">
        <f t="shared" si="28"/>
        <v>0</v>
      </c>
      <c r="K81" s="546">
        <f t="shared" si="28"/>
        <v>6.6107516285759213E-2</v>
      </c>
      <c r="L81" s="546">
        <f t="shared" si="28"/>
        <v>6.1376900010585891E-2</v>
      </c>
      <c r="M81" s="546">
        <f t="shared" si="28"/>
        <v>0</v>
      </c>
      <c r="N81" s="546">
        <f t="shared" si="28"/>
        <v>6.3121242405636893E-3</v>
      </c>
      <c r="O81" s="313"/>
      <c r="P81" s="313"/>
      <c r="Q81" s="313"/>
      <c r="R81" s="313"/>
      <c r="S81" s="313"/>
      <c r="T81" s="313"/>
      <c r="U81" s="313"/>
      <c r="V81" s="313"/>
      <c r="W81" s="313"/>
      <c r="X81" s="313"/>
      <c r="Y81" s="313"/>
      <c r="Z81" s="313"/>
      <c r="AA81" s="313"/>
      <c r="AB81" s="313"/>
      <c r="AC81" s="313"/>
      <c r="AD81" s="313"/>
      <c r="AE81" s="313"/>
      <c r="AF81" s="313"/>
      <c r="AG81" s="313"/>
      <c r="AH81" s="313"/>
    </row>
    <row r="82" spans="1:34" ht="11.25" customHeight="1">
      <c r="A82" s="320">
        <f t="shared" ref="A82:A89" si="29">+A81+1</f>
        <v>18</v>
      </c>
      <c r="B82" s="304" t="str">
        <f t="shared" si="26"/>
        <v>Sum of Allocated Labor</v>
      </c>
      <c r="C82" s="304" t="str">
        <f t="shared" si="26"/>
        <v>LABOR</v>
      </c>
      <c r="D82" s="304">
        <f t="shared" ref="D82:D89" si="30">D81+1</f>
        <v>18</v>
      </c>
      <c r="E82" s="547">
        <f t="shared" si="27"/>
        <v>1</v>
      </c>
      <c r="F82" s="546">
        <f t="shared" ref="F82:N82" si="31">+F41/$E$41</f>
        <v>0.27189000963116772</v>
      </c>
      <c r="G82" s="546">
        <f t="shared" si="31"/>
        <v>8.7962180396335208E-4</v>
      </c>
      <c r="H82" s="546">
        <f t="shared" si="31"/>
        <v>0.45347024783568307</v>
      </c>
      <c r="I82" s="546">
        <f t="shared" si="31"/>
        <v>0.11690851952430555</v>
      </c>
      <c r="J82" s="546">
        <f t="shared" si="31"/>
        <v>3.8000216875815838E-4</v>
      </c>
      <c r="K82" s="546">
        <f t="shared" si="31"/>
        <v>4.4964101081853294E-2</v>
      </c>
      <c r="L82" s="546">
        <f t="shared" si="31"/>
        <v>0.10742783805136821</v>
      </c>
      <c r="M82" s="546">
        <f t="shared" si="31"/>
        <v>4.4679552021050097E-4</v>
      </c>
      <c r="N82" s="546">
        <f t="shared" si="31"/>
        <v>3.6328643826901265E-3</v>
      </c>
      <c r="O82" s="313"/>
      <c r="P82" s="313"/>
      <c r="Q82" s="313"/>
      <c r="R82" s="313"/>
      <c r="S82" s="313"/>
      <c r="T82" s="313"/>
      <c r="U82" s="313"/>
      <c r="V82" s="313"/>
      <c r="W82" s="313"/>
      <c r="X82" s="313"/>
      <c r="Y82" s="313"/>
      <c r="Z82" s="313"/>
      <c r="AA82" s="313"/>
      <c r="AB82" s="313"/>
      <c r="AC82" s="313"/>
      <c r="AD82" s="313"/>
      <c r="AE82" s="313"/>
      <c r="AF82" s="313"/>
      <c r="AG82" s="313"/>
      <c r="AH82" s="313"/>
    </row>
    <row r="83" spans="1:34" ht="11.25" customHeight="1">
      <c r="A83" s="320">
        <f t="shared" si="29"/>
        <v>19</v>
      </c>
      <c r="B83" s="304" t="str">
        <f t="shared" si="26"/>
        <v>Plant in Service Excluding Intangible and General</v>
      </c>
      <c r="C83" s="304" t="str">
        <f t="shared" si="26"/>
        <v>PISXIG</v>
      </c>
      <c r="D83" s="304">
        <f t="shared" si="30"/>
        <v>19</v>
      </c>
      <c r="E83" s="547">
        <f t="shared" si="27"/>
        <v>1.0000000000000002</v>
      </c>
      <c r="F83" s="546">
        <f t="shared" ref="F83:N83" si="32">+F42/$E$42</f>
        <v>0.15533930677481497</v>
      </c>
      <c r="G83" s="546">
        <f t="shared" si="32"/>
        <v>0</v>
      </c>
      <c r="H83" s="546">
        <f t="shared" si="32"/>
        <v>0.64407064203006836</v>
      </c>
      <c r="I83" s="546">
        <f t="shared" si="32"/>
        <v>6.6793511109919573E-2</v>
      </c>
      <c r="J83" s="546">
        <f t="shared" si="32"/>
        <v>0</v>
      </c>
      <c r="K83" s="546">
        <f t="shared" si="32"/>
        <v>6.6107516588670145E-2</v>
      </c>
      <c r="L83" s="546">
        <f t="shared" si="32"/>
        <v>6.1376899849517844E-2</v>
      </c>
      <c r="M83" s="546">
        <f t="shared" si="32"/>
        <v>0</v>
      </c>
      <c r="N83" s="546">
        <f t="shared" si="32"/>
        <v>6.3121236470092381E-3</v>
      </c>
      <c r="O83" s="313"/>
      <c r="P83" s="313"/>
      <c r="Q83" s="313"/>
      <c r="R83" s="313"/>
      <c r="S83" s="313"/>
      <c r="T83" s="313"/>
      <c r="U83" s="313"/>
      <c r="V83" s="313"/>
      <c r="W83" s="313"/>
      <c r="X83" s="313"/>
      <c r="Y83" s="313"/>
      <c r="Z83" s="313"/>
      <c r="AA83" s="313"/>
      <c r="AB83" s="313"/>
      <c r="AC83" s="313"/>
      <c r="AD83" s="313"/>
      <c r="AE83" s="313"/>
      <c r="AF83" s="313"/>
      <c r="AG83" s="313"/>
      <c r="AH83" s="313"/>
    </row>
    <row r="84" spans="1:34" ht="11.25" customHeight="1">
      <c r="A84" s="320">
        <f t="shared" si="29"/>
        <v>20</v>
      </c>
      <c r="B84" s="304" t="str">
        <f t="shared" si="26"/>
        <v>TOTAL TRANSMISSION PLANT</v>
      </c>
      <c r="C84" s="304" t="str">
        <f t="shared" si="26"/>
        <v>TRANPLT</v>
      </c>
      <c r="D84" s="304">
        <f t="shared" si="30"/>
        <v>20</v>
      </c>
      <c r="E84" s="547">
        <f t="shared" si="27"/>
        <v>1</v>
      </c>
      <c r="F84" s="546">
        <f t="shared" ref="F84:N84" si="33">+F43/$E$43</f>
        <v>0.54791528140993795</v>
      </c>
      <c r="G84" s="546">
        <f t="shared" si="33"/>
        <v>0</v>
      </c>
      <c r="H84" s="546">
        <f t="shared" si="33"/>
        <v>0</v>
      </c>
      <c r="I84" s="546">
        <f t="shared" si="33"/>
        <v>0.23559513812689989</v>
      </c>
      <c r="J84" s="546">
        <f t="shared" si="33"/>
        <v>0</v>
      </c>
      <c r="K84" s="546">
        <f t="shared" si="33"/>
        <v>0</v>
      </c>
      <c r="L84" s="546">
        <f t="shared" si="33"/>
        <v>0.21648958046316225</v>
      </c>
      <c r="M84" s="546">
        <f t="shared" si="33"/>
        <v>0</v>
      </c>
      <c r="N84" s="546">
        <f t="shared" si="33"/>
        <v>0</v>
      </c>
      <c r="O84" s="313"/>
      <c r="P84" s="313"/>
      <c r="Q84" s="313"/>
      <c r="R84" s="313"/>
      <c r="S84" s="313"/>
      <c r="T84" s="313"/>
      <c r="U84" s="313"/>
      <c r="V84" s="313"/>
      <c r="W84" s="313"/>
      <c r="X84" s="313"/>
      <c r="Y84" s="313"/>
      <c r="Z84" s="313"/>
      <c r="AA84" s="313"/>
      <c r="AB84" s="313"/>
      <c r="AC84" s="313"/>
      <c r="AD84" s="313"/>
      <c r="AE84" s="313"/>
      <c r="AF84" s="313"/>
      <c r="AG84" s="313"/>
      <c r="AH84" s="313"/>
    </row>
    <row r="85" spans="1:34" ht="11.25" customHeight="1">
      <c r="A85" s="320">
        <f t="shared" si="29"/>
        <v>21</v>
      </c>
      <c r="B85" s="304" t="str">
        <f t="shared" si="26"/>
        <v>ACCT 376 MAINS + 380 SERVICES</v>
      </c>
      <c r="C85" s="304" t="str">
        <f t="shared" si="26"/>
        <v>PLT376380</v>
      </c>
      <c r="D85" s="304">
        <f t="shared" si="30"/>
        <v>21</v>
      </c>
      <c r="E85" s="547">
        <f t="shared" si="27"/>
        <v>1</v>
      </c>
      <c r="F85" s="546">
        <f t="shared" ref="F85:N85" si="34">+F44/$E$44</f>
        <v>0.15258526269118486</v>
      </c>
      <c r="G85" s="546">
        <f t="shared" si="34"/>
        <v>0</v>
      </c>
      <c r="H85" s="546">
        <f t="shared" si="34"/>
        <v>0.66488950469873886</v>
      </c>
      <c r="I85" s="546">
        <f t="shared" si="34"/>
        <v>6.5609314541025268E-2</v>
      </c>
      <c r="J85" s="546">
        <f t="shared" si="34"/>
        <v>0</v>
      </c>
      <c r="K85" s="546">
        <f t="shared" si="34"/>
        <v>5.6113023096376252E-2</v>
      </c>
      <c r="L85" s="546">
        <f t="shared" si="34"/>
        <v>6.0288735550270908E-2</v>
      </c>
      <c r="M85" s="546">
        <f t="shared" si="34"/>
        <v>0</v>
      </c>
      <c r="N85" s="546">
        <f t="shared" si="34"/>
        <v>5.1415942240390009E-4</v>
      </c>
      <c r="O85" s="313"/>
      <c r="P85" s="313"/>
      <c r="Q85" s="313"/>
      <c r="R85" s="313"/>
      <c r="S85" s="313"/>
      <c r="T85" s="313"/>
      <c r="U85" s="313"/>
      <c r="V85" s="313"/>
      <c r="W85" s="313"/>
      <c r="X85" s="313"/>
      <c r="Y85" s="313"/>
      <c r="Z85" s="313"/>
      <c r="AA85" s="313"/>
      <c r="AB85" s="313"/>
      <c r="AC85" s="313"/>
      <c r="AD85" s="313"/>
      <c r="AE85" s="313"/>
      <c r="AF85" s="313"/>
      <c r="AG85" s="313"/>
      <c r="AH85" s="313"/>
    </row>
    <row r="86" spans="1:34" ht="11.25" customHeight="1">
      <c r="A86" s="320">
        <f t="shared" si="29"/>
        <v>22</v>
      </c>
      <c r="B86" s="304" t="str">
        <f t="shared" si="26"/>
        <v>ACCT 382 + 384 INSTALLATIONS</v>
      </c>
      <c r="C86" s="304" t="str">
        <f t="shared" si="26"/>
        <v>PLT382384</v>
      </c>
      <c r="D86" s="304">
        <f t="shared" si="30"/>
        <v>22</v>
      </c>
      <c r="E86" s="547">
        <f t="shared" si="27"/>
        <v>1</v>
      </c>
      <c r="F86" s="546">
        <f t="shared" ref="F86:N86" si="35">+F45/$E$45</f>
        <v>0</v>
      </c>
      <c r="G86" s="546">
        <f t="shared" si="35"/>
        <v>0</v>
      </c>
      <c r="H86" s="546">
        <f t="shared" si="35"/>
        <v>0.92164798965373762</v>
      </c>
      <c r="I86" s="546">
        <f t="shared" si="35"/>
        <v>0</v>
      </c>
      <c r="J86" s="546">
        <f t="shared" si="35"/>
        <v>0</v>
      </c>
      <c r="K86" s="546">
        <f t="shared" si="35"/>
        <v>7.7895304436404217E-2</v>
      </c>
      <c r="L86" s="546">
        <f t="shared" si="35"/>
        <v>0</v>
      </c>
      <c r="M86" s="546">
        <f t="shared" si="35"/>
        <v>0</v>
      </c>
      <c r="N86" s="546">
        <f t="shared" si="35"/>
        <v>4.5670590985819021E-4</v>
      </c>
      <c r="O86" s="313"/>
      <c r="P86" s="313"/>
      <c r="Q86" s="313"/>
      <c r="R86" s="313"/>
      <c r="S86" s="313"/>
      <c r="T86" s="313"/>
      <c r="U86" s="313"/>
      <c r="V86" s="313"/>
      <c r="W86" s="313"/>
      <c r="X86" s="313"/>
      <c r="Y86" s="313"/>
      <c r="Z86" s="313"/>
      <c r="AA86" s="313"/>
      <c r="AB86" s="313"/>
      <c r="AC86" s="313"/>
      <c r="AD86" s="313"/>
      <c r="AE86" s="313"/>
      <c r="AF86" s="313"/>
      <c r="AG86" s="313"/>
      <c r="AH86" s="313"/>
    </row>
    <row r="87" spans="1:34" ht="11.25" customHeight="1">
      <c r="A87" s="320">
        <f t="shared" si="29"/>
        <v>23</v>
      </c>
      <c r="B87" s="304" t="str">
        <f t="shared" si="26"/>
        <v>TOTAL DISTRIBUTION PLANT</v>
      </c>
      <c r="C87" s="304" t="str">
        <f t="shared" si="26"/>
        <v>DISTRPLT</v>
      </c>
      <c r="D87" s="304">
        <f t="shared" si="30"/>
        <v>23</v>
      </c>
      <c r="E87" s="547">
        <f t="shared" si="27"/>
        <v>1.0000000000000002</v>
      </c>
      <c r="F87" s="546">
        <f t="shared" ref="F87:N87" si="36">+F46/$E$46</f>
        <v>0.14076252236841072</v>
      </c>
      <c r="G87" s="546">
        <f t="shared" si="36"/>
        <v>0</v>
      </c>
      <c r="H87" s="546">
        <f t="shared" si="36"/>
        <v>0.66798570433130244</v>
      </c>
      <c r="I87" s="546">
        <f t="shared" si="36"/>
        <v>6.0525718164200583E-2</v>
      </c>
      <c r="J87" s="546">
        <f t="shared" si="36"/>
        <v>0</v>
      </c>
      <c r="K87" s="546">
        <f t="shared" si="36"/>
        <v>6.856216251510891E-2</v>
      </c>
      <c r="L87" s="546">
        <f t="shared" si="36"/>
        <v>5.5617392772942302E-2</v>
      </c>
      <c r="M87" s="546">
        <f t="shared" si="36"/>
        <v>0</v>
      </c>
      <c r="N87" s="546">
        <f t="shared" si="36"/>
        <v>6.5464998480351359E-3</v>
      </c>
      <c r="O87" s="313"/>
      <c r="P87" s="313"/>
      <c r="Q87" s="313"/>
      <c r="R87" s="313"/>
      <c r="S87" s="313"/>
      <c r="T87" s="313"/>
      <c r="U87" s="313"/>
      <c r="V87" s="313"/>
      <c r="W87" s="313"/>
      <c r="X87" s="313"/>
      <c r="Y87" s="313"/>
      <c r="Z87" s="313"/>
      <c r="AA87" s="313"/>
      <c r="AB87" s="313"/>
      <c r="AC87" s="313"/>
      <c r="AD87" s="313"/>
      <c r="AE87" s="313"/>
      <c r="AF87" s="313"/>
      <c r="AG87" s="313"/>
      <c r="AH87" s="313"/>
    </row>
    <row r="88" spans="1:34" ht="11.25" customHeight="1">
      <c r="A88" s="320">
        <f t="shared" si="29"/>
        <v>24</v>
      </c>
      <c r="B88" s="304" t="str">
        <f t="shared" si="26"/>
        <v>TOTAL GENERAL PLANT</v>
      </c>
      <c r="C88" s="304" t="str">
        <f t="shared" si="26"/>
        <v>GENPLT</v>
      </c>
      <c r="D88" s="304">
        <f t="shared" si="30"/>
        <v>24</v>
      </c>
      <c r="E88" s="547">
        <f t="shared" si="27"/>
        <v>0.99999999999999989</v>
      </c>
      <c r="F88" s="546">
        <f t="shared" ref="F88:N88" si="37">+F47/$E$47</f>
        <v>0.15533930677481494</v>
      </c>
      <c r="G88" s="546">
        <f t="shared" si="37"/>
        <v>0</v>
      </c>
      <c r="H88" s="546">
        <f t="shared" si="37"/>
        <v>0.64407064203006825</v>
      </c>
      <c r="I88" s="546">
        <f t="shared" si="37"/>
        <v>6.6793511109919559E-2</v>
      </c>
      <c r="J88" s="546">
        <f t="shared" si="37"/>
        <v>0</v>
      </c>
      <c r="K88" s="546">
        <f t="shared" si="37"/>
        <v>6.6107516588670132E-2</v>
      </c>
      <c r="L88" s="546">
        <f t="shared" si="37"/>
        <v>6.137689984951783E-2</v>
      </c>
      <c r="M88" s="546">
        <f t="shared" si="37"/>
        <v>0</v>
      </c>
      <c r="N88" s="546">
        <f t="shared" si="37"/>
        <v>6.3121236470092363E-3</v>
      </c>
      <c r="O88" s="313"/>
      <c r="P88" s="313"/>
      <c r="Q88" s="313"/>
      <c r="R88" s="313"/>
      <c r="S88" s="313"/>
      <c r="T88" s="313"/>
      <c r="U88" s="313"/>
      <c r="V88" s="313"/>
      <c r="W88" s="313"/>
      <c r="X88" s="313"/>
      <c r="Y88" s="313"/>
      <c r="Z88" s="313"/>
      <c r="AA88" s="313"/>
      <c r="AB88" s="313"/>
      <c r="AC88" s="313"/>
      <c r="AD88" s="313"/>
      <c r="AE88" s="313"/>
      <c r="AF88" s="313"/>
      <c r="AG88" s="313"/>
      <c r="AH88" s="313"/>
    </row>
    <row r="89" spans="1:34" ht="11.25" customHeight="1">
      <c r="A89" s="320">
        <f t="shared" si="29"/>
        <v>25</v>
      </c>
      <c r="B89" s="304" t="s">
        <v>362</v>
      </c>
      <c r="C89" s="304" t="s">
        <v>363</v>
      </c>
      <c r="D89" s="304">
        <f t="shared" si="30"/>
        <v>25</v>
      </c>
      <c r="E89" s="547">
        <f t="shared" si="27"/>
        <v>0.99999999999999989</v>
      </c>
      <c r="F89" s="546">
        <f t="shared" ref="F89:N89" si="38">+F49/$E$49</f>
        <v>0.14675264835499394</v>
      </c>
      <c r="G89" s="546">
        <f t="shared" si="38"/>
        <v>0</v>
      </c>
      <c r="H89" s="546">
        <f t="shared" si="38"/>
        <v>0.65540172405885599</v>
      </c>
      <c r="I89" s="546">
        <f t="shared" si="38"/>
        <v>6.3101379474696573E-2</v>
      </c>
      <c r="J89" s="546">
        <f t="shared" si="38"/>
        <v>0</v>
      </c>
      <c r="K89" s="546">
        <f t="shared" si="38"/>
        <v>7.0311919553650293E-2</v>
      </c>
      <c r="L89" s="546">
        <f t="shared" si="38"/>
        <v>5.7984181841815599E-2</v>
      </c>
      <c r="M89" s="546">
        <f t="shared" si="38"/>
        <v>0</v>
      </c>
      <c r="N89" s="546">
        <f t="shared" si="38"/>
        <v>6.4481467159874482E-3</v>
      </c>
      <c r="O89" s="313"/>
      <c r="P89" s="313"/>
      <c r="Q89" s="313"/>
      <c r="R89" s="313"/>
      <c r="S89" s="313"/>
      <c r="T89" s="313"/>
      <c r="U89" s="313"/>
      <c r="V89" s="313"/>
      <c r="W89" s="313"/>
      <c r="X89" s="313"/>
      <c r="Y89" s="313"/>
      <c r="Z89" s="313"/>
      <c r="AA89" s="313"/>
      <c r="AB89" s="313"/>
      <c r="AC89" s="313"/>
      <c r="AD89" s="313"/>
      <c r="AE89" s="313"/>
      <c r="AF89" s="313"/>
      <c r="AG89" s="313"/>
      <c r="AH89" s="313"/>
    </row>
    <row r="90" spans="1:34" ht="11.25" customHeight="1">
      <c r="E90" s="547"/>
      <c r="F90" s="546"/>
      <c r="G90" s="546"/>
      <c r="H90" s="546"/>
      <c r="I90" s="546"/>
      <c r="J90" s="546"/>
      <c r="K90" s="546"/>
      <c r="L90" s="546"/>
      <c r="M90" s="546"/>
      <c r="N90" s="546"/>
      <c r="O90" s="313"/>
      <c r="P90" s="313"/>
      <c r="Q90" s="313"/>
      <c r="R90" s="313"/>
      <c r="S90" s="313"/>
      <c r="T90" s="313"/>
      <c r="U90" s="313"/>
      <c r="V90" s="313"/>
      <c r="W90" s="313"/>
      <c r="X90" s="313"/>
      <c r="Y90" s="313"/>
      <c r="Z90" s="313"/>
      <c r="AA90" s="313"/>
      <c r="AB90" s="313"/>
      <c r="AC90" s="313"/>
      <c r="AD90" s="313"/>
      <c r="AE90" s="313"/>
      <c r="AF90" s="313"/>
      <c r="AG90" s="313"/>
      <c r="AH90" s="313"/>
    </row>
    <row r="91" spans="1:34" ht="11.25" customHeight="1">
      <c r="A91" s="320">
        <f>A89+1</f>
        <v>26</v>
      </c>
      <c r="B91" s="304" t="str">
        <f t="shared" ref="B91:B96" si="39">+B51</f>
        <v>LABOR PRODUCTION</v>
      </c>
      <c r="C91" s="304" t="s">
        <v>365</v>
      </c>
      <c r="D91" s="304">
        <f>D89+1</f>
        <v>26</v>
      </c>
      <c r="E91" s="547">
        <f t="shared" ref="E91:E99" si="40">SUM(F91:N91)</f>
        <v>0.99999999999999989</v>
      </c>
      <c r="F91" s="546">
        <f t="shared" ref="F91:N91" si="41">+F51/$E$51</f>
        <v>0</v>
      </c>
      <c r="G91" s="546">
        <f t="shared" si="41"/>
        <v>0.51547805660140722</v>
      </c>
      <c r="H91" s="546">
        <f t="shared" si="41"/>
        <v>0</v>
      </c>
      <c r="I91" s="546">
        <f t="shared" si="41"/>
        <v>0</v>
      </c>
      <c r="J91" s="546">
        <f t="shared" si="41"/>
        <v>0.22268977255131409</v>
      </c>
      <c r="K91" s="546">
        <f t="shared" si="41"/>
        <v>0</v>
      </c>
      <c r="L91" s="546">
        <f t="shared" si="41"/>
        <v>0</v>
      </c>
      <c r="M91" s="546">
        <f t="shared" si="41"/>
        <v>0.26183217084727861</v>
      </c>
      <c r="N91" s="546">
        <f t="shared" si="41"/>
        <v>0</v>
      </c>
      <c r="O91" s="313"/>
      <c r="P91" s="313"/>
      <c r="Q91" s="313"/>
      <c r="R91" s="313"/>
      <c r="S91" s="313"/>
      <c r="T91" s="313"/>
      <c r="U91" s="313"/>
      <c r="V91" s="313"/>
      <c r="W91" s="313"/>
      <c r="X91" s="313"/>
      <c r="Y91" s="313"/>
      <c r="Z91" s="313"/>
      <c r="AA91" s="313"/>
      <c r="AB91" s="313"/>
      <c r="AC91" s="313"/>
      <c r="AD91" s="313"/>
      <c r="AE91" s="313"/>
      <c r="AF91" s="313"/>
      <c r="AG91" s="313"/>
      <c r="AH91" s="313"/>
    </row>
    <row r="92" spans="1:34" ht="11.25" customHeight="1">
      <c r="A92" s="320">
        <f t="shared" ref="A92:A99" si="42">+A91+1</f>
        <v>27</v>
      </c>
      <c r="B92" s="304" t="str">
        <f t="shared" si="39"/>
        <v xml:space="preserve">LABOR ACCT 820-867 </v>
      </c>
      <c r="C92" s="304" t="s">
        <v>367</v>
      </c>
      <c r="D92" s="304">
        <f t="shared" ref="D92:D99" si="43">D91+1</f>
        <v>27</v>
      </c>
      <c r="E92" s="547">
        <f t="shared" si="40"/>
        <v>0</v>
      </c>
      <c r="F92" s="546">
        <v>0</v>
      </c>
      <c r="G92" s="546">
        <v>0</v>
      </c>
      <c r="H92" s="546">
        <v>0</v>
      </c>
      <c r="I92" s="546">
        <v>0</v>
      </c>
      <c r="J92" s="546">
        <v>0</v>
      </c>
      <c r="K92" s="546">
        <v>0</v>
      </c>
      <c r="L92" s="546">
        <v>0</v>
      </c>
      <c r="M92" s="546">
        <v>0</v>
      </c>
      <c r="N92" s="546">
        <v>0</v>
      </c>
      <c r="O92" s="313"/>
      <c r="P92" s="313"/>
      <c r="Q92" s="313"/>
      <c r="R92" s="313"/>
      <c r="S92" s="313"/>
      <c r="T92" s="313"/>
      <c r="U92" s="313"/>
      <c r="V92" s="313"/>
      <c r="W92" s="313"/>
      <c r="X92" s="313"/>
      <c r="Y92" s="313"/>
      <c r="Z92" s="313"/>
      <c r="AA92" s="313"/>
      <c r="AB92" s="313"/>
      <c r="AC92" s="313"/>
      <c r="AD92" s="313"/>
      <c r="AE92" s="313"/>
      <c r="AF92" s="313"/>
      <c r="AG92" s="313"/>
      <c r="AH92" s="313"/>
    </row>
    <row r="93" spans="1:34" ht="11.25" customHeight="1">
      <c r="A93" s="320">
        <f t="shared" si="42"/>
        <v>28</v>
      </c>
      <c r="B93" s="304" t="str">
        <f t="shared" si="39"/>
        <v>LABOR ACCT 870-894</v>
      </c>
      <c r="C93" s="304" t="s">
        <v>369</v>
      </c>
      <c r="D93" s="304">
        <f t="shared" si="43"/>
        <v>28</v>
      </c>
      <c r="E93" s="547">
        <f t="shared" si="40"/>
        <v>1</v>
      </c>
      <c r="F93" s="546">
        <f t="shared" ref="F93:N93" si="44">+F53/$E$53</f>
        <v>0.14076252236841069</v>
      </c>
      <c r="G93" s="546">
        <f t="shared" si="44"/>
        <v>0</v>
      </c>
      <c r="H93" s="546">
        <f t="shared" si="44"/>
        <v>0.66798570433130233</v>
      </c>
      <c r="I93" s="546">
        <f t="shared" si="44"/>
        <v>6.0525718164200576E-2</v>
      </c>
      <c r="J93" s="546">
        <f t="shared" si="44"/>
        <v>0</v>
      </c>
      <c r="K93" s="546">
        <f t="shared" si="44"/>
        <v>6.8562162515108896E-2</v>
      </c>
      <c r="L93" s="546">
        <f t="shared" si="44"/>
        <v>5.5617392772942295E-2</v>
      </c>
      <c r="M93" s="546">
        <f t="shared" si="44"/>
        <v>0</v>
      </c>
      <c r="N93" s="546">
        <f t="shared" si="44"/>
        <v>6.5464998480351351E-3</v>
      </c>
      <c r="O93" s="313"/>
      <c r="P93" s="313"/>
      <c r="Q93" s="313"/>
      <c r="R93" s="313"/>
      <c r="S93" s="313"/>
      <c r="T93" s="313"/>
      <c r="U93" s="313"/>
      <c r="V93" s="313"/>
      <c r="W93" s="313"/>
      <c r="X93" s="313"/>
      <c r="Y93" s="313"/>
      <c r="Z93" s="313"/>
      <c r="AA93" s="313"/>
      <c r="AB93" s="313"/>
      <c r="AC93" s="313"/>
      <c r="AD93" s="313"/>
      <c r="AE93" s="313"/>
      <c r="AF93" s="313"/>
      <c r="AG93" s="313"/>
      <c r="AH93" s="313"/>
    </row>
    <row r="94" spans="1:34" ht="11.25" customHeight="1">
      <c r="A94" s="320">
        <f t="shared" si="42"/>
        <v>29</v>
      </c>
      <c r="B94" s="304" t="str">
        <f t="shared" si="39"/>
        <v>LAROR ACCT 901-910</v>
      </c>
      <c r="C94" s="304" t="s">
        <v>371</v>
      </c>
      <c r="D94" s="304">
        <f t="shared" si="43"/>
        <v>29</v>
      </c>
      <c r="E94" s="547">
        <f t="shared" si="40"/>
        <v>1</v>
      </c>
      <c r="F94" s="546">
        <f t="shared" ref="F94:N94" si="45">+F54/$E$54</f>
        <v>0</v>
      </c>
      <c r="G94" s="546">
        <f t="shared" si="45"/>
        <v>0</v>
      </c>
      <c r="H94" s="546">
        <f t="shared" si="45"/>
        <v>0.92164798965373762</v>
      </c>
      <c r="I94" s="546">
        <f t="shared" si="45"/>
        <v>0</v>
      </c>
      <c r="J94" s="546">
        <f t="shared" si="45"/>
        <v>0</v>
      </c>
      <c r="K94" s="546">
        <f t="shared" si="45"/>
        <v>7.7895304436404217E-2</v>
      </c>
      <c r="L94" s="546">
        <f t="shared" si="45"/>
        <v>0</v>
      </c>
      <c r="M94" s="546">
        <f t="shared" si="45"/>
        <v>0</v>
      </c>
      <c r="N94" s="546">
        <f t="shared" si="45"/>
        <v>4.5670590985819021E-4</v>
      </c>
      <c r="O94" s="313"/>
      <c r="P94" s="313"/>
      <c r="Q94" s="313"/>
      <c r="R94" s="313"/>
      <c r="S94" s="313"/>
      <c r="T94" s="313"/>
      <c r="U94" s="313"/>
      <c r="V94" s="313"/>
      <c r="W94" s="313"/>
      <c r="X94" s="313"/>
      <c r="Y94" s="313"/>
      <c r="Z94" s="313"/>
      <c r="AA94" s="313"/>
      <c r="AB94" s="313"/>
      <c r="AC94" s="313"/>
      <c r="AD94" s="313"/>
      <c r="AE94" s="313"/>
      <c r="AF94" s="313"/>
      <c r="AG94" s="313"/>
      <c r="AH94" s="313"/>
    </row>
    <row r="95" spans="1:34" ht="11.25" customHeight="1">
      <c r="A95" s="320">
        <f t="shared" si="42"/>
        <v>30</v>
      </c>
      <c r="B95" s="304" t="str">
        <f t="shared" si="39"/>
        <v>LAROR ACCT 920-932</v>
      </c>
      <c r="C95" s="304" t="s">
        <v>373</v>
      </c>
      <c r="D95" s="304">
        <f t="shared" si="43"/>
        <v>30</v>
      </c>
      <c r="E95" s="547">
        <f t="shared" si="40"/>
        <v>1</v>
      </c>
      <c r="F95" s="546">
        <f t="shared" ref="F95:N95" si="46">+F55/$E$55</f>
        <v>0.54791528140993784</v>
      </c>
      <c r="G95" s="546">
        <f t="shared" si="46"/>
        <v>0</v>
      </c>
      <c r="H95" s="546">
        <f t="shared" si="46"/>
        <v>0</v>
      </c>
      <c r="I95" s="546">
        <f t="shared" si="46"/>
        <v>0.23559513812689989</v>
      </c>
      <c r="J95" s="546">
        <f t="shared" si="46"/>
        <v>0</v>
      </c>
      <c r="K95" s="546">
        <f t="shared" si="46"/>
        <v>0</v>
      </c>
      <c r="L95" s="546">
        <f t="shared" si="46"/>
        <v>0.21648958046316225</v>
      </c>
      <c r="M95" s="546">
        <f t="shared" si="46"/>
        <v>0</v>
      </c>
      <c r="N95" s="546">
        <f t="shared" si="46"/>
        <v>0</v>
      </c>
      <c r="O95" s="313"/>
      <c r="P95" s="313"/>
      <c r="Q95" s="313"/>
      <c r="R95" s="313"/>
      <c r="S95" s="313"/>
      <c r="T95" s="313"/>
      <c r="U95" s="313"/>
      <c r="V95" s="313"/>
      <c r="W95" s="313"/>
      <c r="X95" s="313"/>
      <c r="Y95" s="313"/>
      <c r="Z95" s="313"/>
      <c r="AA95" s="313"/>
      <c r="AB95" s="313"/>
      <c r="AC95" s="313"/>
      <c r="AD95" s="313"/>
      <c r="AE95" s="313"/>
      <c r="AF95" s="313"/>
      <c r="AG95" s="313"/>
      <c r="AH95" s="313"/>
    </row>
    <row r="96" spans="1:34" ht="11.25" customHeight="1">
      <c r="A96" s="320">
        <f t="shared" si="42"/>
        <v>31</v>
      </c>
      <c r="B96" s="304" t="str">
        <f t="shared" si="39"/>
        <v>LABOR DISTXMAINSUP</v>
      </c>
      <c r="C96" s="304" t="s">
        <v>153</v>
      </c>
      <c r="D96" s="304">
        <f t="shared" si="43"/>
        <v>31</v>
      </c>
      <c r="E96" s="547">
        <f t="shared" si="40"/>
        <v>1.0000000000000002</v>
      </c>
      <c r="F96" s="546">
        <f t="shared" ref="F96:N96" si="47">+F56/$E$56</f>
        <v>0.10323604582485367</v>
      </c>
      <c r="G96" s="546">
        <f t="shared" si="47"/>
        <v>0</v>
      </c>
      <c r="H96" s="546">
        <f t="shared" si="47"/>
        <v>0.74799469447745215</v>
      </c>
      <c r="I96" s="546">
        <f t="shared" si="47"/>
        <v>4.4389910814668913E-2</v>
      </c>
      <c r="J96" s="546">
        <f t="shared" si="47"/>
        <v>0</v>
      </c>
      <c r="K96" s="546">
        <f t="shared" si="47"/>
        <v>6.3218577045913715E-2</v>
      </c>
      <c r="L96" s="546">
        <f t="shared" si="47"/>
        <v>4.0790116661442312E-2</v>
      </c>
      <c r="M96" s="546">
        <f t="shared" si="47"/>
        <v>0</v>
      </c>
      <c r="N96" s="546">
        <f t="shared" si="47"/>
        <v>3.7065517566936562E-4</v>
      </c>
      <c r="O96" s="313"/>
      <c r="P96" s="313"/>
      <c r="Q96" s="313"/>
      <c r="R96" s="313"/>
      <c r="S96" s="313"/>
      <c r="T96" s="313"/>
      <c r="U96" s="313"/>
      <c r="V96" s="313"/>
      <c r="W96" s="313"/>
      <c r="X96" s="313"/>
      <c r="Y96" s="313"/>
      <c r="Z96" s="313"/>
      <c r="AA96" s="313"/>
      <c r="AB96" s="313"/>
      <c r="AC96" s="313"/>
      <c r="AD96" s="313"/>
      <c r="AE96" s="313"/>
      <c r="AF96" s="313"/>
      <c r="AG96" s="313"/>
      <c r="AH96" s="313"/>
    </row>
    <row r="97" spans="1:34" ht="11.25" customHeight="1">
      <c r="A97" s="320">
        <f t="shared" si="42"/>
        <v>32</v>
      </c>
      <c r="B97" s="304" t="s">
        <v>375</v>
      </c>
      <c r="C97" s="304" t="s">
        <v>376</v>
      </c>
      <c r="D97" s="304">
        <f t="shared" si="43"/>
        <v>32</v>
      </c>
      <c r="E97" s="547">
        <f t="shared" si="40"/>
        <v>1</v>
      </c>
      <c r="F97" s="546">
        <f t="shared" ref="F97:N97" si="48">+F57/$E$57</f>
        <v>0.70187148192240367</v>
      </c>
      <c r="G97" s="546">
        <f t="shared" si="48"/>
        <v>0</v>
      </c>
      <c r="H97" s="546">
        <f t="shared" si="48"/>
        <v>0</v>
      </c>
      <c r="I97" s="546">
        <f t="shared" si="48"/>
        <v>0.21418967977268874</v>
      </c>
      <c r="J97" s="546">
        <f t="shared" si="48"/>
        <v>0</v>
      </c>
      <c r="K97" s="546">
        <f t="shared" si="48"/>
        <v>0</v>
      </c>
      <c r="L97" s="546">
        <f t="shared" si="48"/>
        <v>8.3938838304907532E-2</v>
      </c>
      <c r="M97" s="546">
        <f t="shared" si="48"/>
        <v>0</v>
      </c>
      <c r="N97" s="546">
        <f t="shared" si="48"/>
        <v>0</v>
      </c>
      <c r="O97" s="313"/>
      <c r="P97" s="313"/>
      <c r="Q97" s="313"/>
      <c r="R97" s="313"/>
      <c r="S97" s="313"/>
      <c r="T97" s="313"/>
      <c r="U97" s="313"/>
      <c r="V97" s="313"/>
      <c r="W97" s="313"/>
      <c r="X97" s="313"/>
      <c r="Y97" s="313"/>
      <c r="Z97" s="313"/>
      <c r="AA97" s="313"/>
      <c r="AB97" s="313"/>
      <c r="AC97" s="313"/>
      <c r="AD97" s="313"/>
      <c r="AE97" s="313"/>
      <c r="AF97" s="313"/>
      <c r="AG97" s="313"/>
      <c r="AH97" s="313"/>
    </row>
    <row r="98" spans="1:34" ht="11.25" customHeight="1">
      <c r="A98" s="320">
        <f t="shared" si="42"/>
        <v>33</v>
      </c>
      <c r="B98" s="304" t="s">
        <v>377</v>
      </c>
      <c r="C98" s="304" t="s">
        <v>124</v>
      </c>
      <c r="D98" s="304">
        <f t="shared" si="43"/>
        <v>33</v>
      </c>
      <c r="E98" s="547">
        <f t="shared" si="40"/>
        <v>0.99999999999999989</v>
      </c>
      <c r="F98" s="546">
        <f t="shared" ref="F98:N98" si="49">+F58/$E$58</f>
        <v>0.10291577024446263</v>
      </c>
      <c r="G98" s="546">
        <f t="shared" si="49"/>
        <v>1.5991995086380377E-3</v>
      </c>
      <c r="H98" s="546">
        <f t="shared" si="49"/>
        <v>0.74567414419882561</v>
      </c>
      <c r="I98" s="546">
        <f t="shared" si="49"/>
        <v>4.4252197244412705E-2</v>
      </c>
      <c r="J98" s="546">
        <f t="shared" si="49"/>
        <v>6.9086427692139642E-4</v>
      </c>
      <c r="K98" s="546">
        <f t="shared" si="49"/>
        <v>6.3022450137980551E-2</v>
      </c>
      <c r="L98" s="546">
        <f t="shared" si="49"/>
        <v>4.0663570955593357E-2</v>
      </c>
      <c r="M98" s="546">
        <f t="shared" si="49"/>
        <v>8.1229816400967545E-4</v>
      </c>
      <c r="N98" s="546">
        <f t="shared" si="49"/>
        <v>3.6950526915595805E-4</v>
      </c>
      <c r="O98" s="313"/>
      <c r="P98" s="313"/>
      <c r="Q98" s="313"/>
      <c r="R98" s="313"/>
      <c r="S98" s="313"/>
      <c r="T98" s="313"/>
      <c r="U98" s="313"/>
      <c r="V98" s="313"/>
      <c r="W98" s="313"/>
      <c r="X98" s="313"/>
      <c r="Y98" s="313"/>
      <c r="Z98" s="313"/>
      <c r="AA98" s="313"/>
      <c r="AB98" s="313"/>
      <c r="AC98" s="313"/>
      <c r="AD98" s="313"/>
      <c r="AE98" s="313"/>
      <c r="AF98" s="313"/>
      <c r="AG98" s="313"/>
      <c r="AH98" s="313"/>
    </row>
    <row r="99" spans="1:34" ht="11.25" customHeight="1">
      <c r="A99" s="320">
        <f t="shared" si="42"/>
        <v>34</v>
      </c>
      <c r="B99" s="304" t="s">
        <v>378</v>
      </c>
      <c r="C99" s="304" t="s">
        <v>379</v>
      </c>
      <c r="D99" s="304">
        <f t="shared" si="43"/>
        <v>34</v>
      </c>
      <c r="E99" s="547">
        <f t="shared" si="40"/>
        <v>0.99999999999999989</v>
      </c>
      <c r="F99" s="546">
        <f t="shared" ref="F99:N99" si="50">+F59/$E$59</f>
        <v>9.8245296412747263E-2</v>
      </c>
      <c r="G99" s="546">
        <f t="shared" si="50"/>
        <v>4.5614446082331856E-3</v>
      </c>
      <c r="H99" s="546">
        <f t="shared" si="50"/>
        <v>0.74232175627754138</v>
      </c>
      <c r="I99" s="546">
        <f t="shared" si="50"/>
        <v>4.2243965379315657E-2</v>
      </c>
      <c r="J99" s="546">
        <f t="shared" si="50"/>
        <v>1.9705728484545795E-3</v>
      </c>
      <c r="K99" s="546">
        <f t="shared" si="50"/>
        <v>6.6930166122230697E-2</v>
      </c>
      <c r="L99" s="546">
        <f t="shared" si="50"/>
        <v>3.8818196397339799E-2</v>
      </c>
      <c r="M99" s="546">
        <f t="shared" si="50"/>
        <v>2.3169423580271346E-3</v>
      </c>
      <c r="N99" s="546">
        <f t="shared" si="50"/>
        <v>2.5916595961103283E-3</v>
      </c>
      <c r="O99" s="313"/>
      <c r="P99" s="313"/>
      <c r="Q99" s="313"/>
      <c r="R99" s="313"/>
      <c r="S99" s="313"/>
      <c r="T99" s="313"/>
      <c r="U99" s="313"/>
      <c r="V99" s="313"/>
      <c r="W99" s="313"/>
      <c r="X99" s="313"/>
      <c r="Y99" s="313"/>
      <c r="Z99" s="313"/>
      <c r="AA99" s="313"/>
      <c r="AB99" s="313"/>
      <c r="AC99" s="313"/>
      <c r="AD99" s="313"/>
      <c r="AE99" s="313"/>
      <c r="AF99" s="313"/>
      <c r="AG99" s="313"/>
      <c r="AH99" s="313"/>
    </row>
    <row r="100" spans="1:34" ht="11.25" customHeight="1">
      <c r="G100" s="313"/>
      <c r="H100" s="313"/>
      <c r="I100" s="313"/>
      <c r="J100" s="313"/>
      <c r="K100" s="313"/>
      <c r="L100" s="313"/>
      <c r="M100" s="313"/>
      <c r="N100" s="313"/>
      <c r="O100" s="313"/>
      <c r="P100" s="313"/>
      <c r="Q100" s="313"/>
      <c r="R100" s="313"/>
      <c r="S100" s="313"/>
      <c r="T100" s="313"/>
      <c r="U100" s="313"/>
      <c r="V100" s="313"/>
      <c r="W100" s="313"/>
      <c r="X100" s="313"/>
      <c r="Y100" s="313"/>
      <c r="Z100" s="313"/>
      <c r="AA100" s="313"/>
      <c r="AB100" s="313"/>
      <c r="AC100" s="313"/>
      <c r="AD100" s="313"/>
      <c r="AE100" s="313"/>
      <c r="AF100" s="313"/>
      <c r="AG100" s="313"/>
      <c r="AH100" s="313"/>
    </row>
    <row r="109" spans="1:34" ht="11.25" customHeight="1">
      <c r="H109" s="546"/>
    </row>
    <row r="110" spans="1:34" ht="11.25" customHeight="1">
      <c r="H110" s="546"/>
    </row>
  </sheetData>
  <mergeCells count="3">
    <mergeCell ref="F3:H3"/>
    <mergeCell ref="I3:K3"/>
    <mergeCell ref="L3:N3"/>
  </mergeCells>
  <pageMargins left="0.7" right="0.7" top="1" bottom="0.75" header="0.55000000000000004" footer="0.3"/>
  <pageSetup scale="75" pageOrder="overThenDown" orientation="landscape" r:id="rId1"/>
  <headerFooter>
    <oddHeader>&amp;C&amp;"Arial,Bold"&amp;10UNS GAS, INC.
DEVELOPMENT OF ALLOCATION FACTORS TO CLASS OF SERVICE
FOR THE TEST PERIOD ENDING JUNE 30, 2024&amp;R&amp;"Arial,Bold"&amp;10SCHEDULE G-7
SHEET &amp;P OF &amp;N</oddHeader>
  </headerFooter>
  <rowBreaks count="1" manualBreakCount="1">
    <brk id="59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CCB16-CAA6-4FF3-9684-DD58210ED59A}">
  <sheetPr codeName="Sheet41">
    <tabColor theme="8" tint="0.59999389629810485"/>
  </sheetPr>
  <dimension ref="A1:F153"/>
  <sheetViews>
    <sheetView zoomScale="175" zoomScaleNormal="175" zoomScaleSheetLayoutView="109" workbookViewId="0">
      <selection sqref="A1:S3"/>
    </sheetView>
  </sheetViews>
  <sheetFormatPr defaultColWidth="9.140625" defaultRowHeight="11.25"/>
  <cols>
    <col min="1" max="1" width="12.7109375" style="304" bestFit="1" customWidth="1"/>
    <col min="2" max="2" width="50.42578125" style="304" bestFit="1" customWidth="1"/>
    <col min="3" max="3" width="10.42578125" style="304" bestFit="1" customWidth="1"/>
    <col min="4" max="4" width="12.5703125" style="582" bestFit="1" customWidth="1"/>
    <col min="5" max="5" width="9.140625" style="304"/>
    <col min="6" max="6" width="9.5703125" style="304" customWidth="1"/>
    <col min="7" max="16384" width="9.140625" style="304"/>
  </cols>
  <sheetData>
    <row r="1" spans="1:6" ht="15.75">
      <c r="A1" s="602" t="s">
        <v>383</v>
      </c>
      <c r="C1" s="601"/>
      <c r="D1" s="304"/>
    </row>
    <row r="3" spans="1:6">
      <c r="D3" s="598" t="s">
        <v>2</v>
      </c>
    </row>
    <row r="4" spans="1:6" ht="23.25" thickBot="1">
      <c r="A4" s="600" t="s">
        <v>384</v>
      </c>
      <c r="B4" s="599" t="s">
        <v>385</v>
      </c>
      <c r="C4" s="304" t="s">
        <v>386</v>
      </c>
      <c r="D4" s="598" t="s">
        <v>66</v>
      </c>
      <c r="F4" s="304" t="s">
        <v>6</v>
      </c>
    </row>
    <row r="5" spans="1:6" ht="12" thickTop="1">
      <c r="A5" s="597"/>
      <c r="B5" s="596"/>
      <c r="D5" s="598"/>
    </row>
    <row r="6" spans="1:6">
      <c r="A6" s="597"/>
      <c r="B6" s="596" t="s">
        <v>387</v>
      </c>
      <c r="D6" s="598"/>
    </row>
    <row r="7" spans="1:6">
      <c r="A7" s="385" t="s">
        <v>388</v>
      </c>
      <c r="B7" s="379" t="s">
        <v>389</v>
      </c>
      <c r="D7" s="595" t="e">
        <f t="array" ref="D7">INDEX('[6]Rev Exp'!$J$11:$J$155,MATCH(1,(A7='[6]Rev Exp'!$F$11:$F$155)*(B7='[6]Rev Exp'!$G$11:$G$155),0))</f>
        <v>#N/A</v>
      </c>
    </row>
    <row r="8" spans="1:6">
      <c r="A8" s="385">
        <v>483</v>
      </c>
      <c r="B8" s="379" t="s">
        <v>390</v>
      </c>
      <c r="D8" s="595">
        <f t="array" ref="D8">INDEX('[6]Rev Exp'!$J$11:$J$155,MATCH(1,(A8='[6]Rev Exp'!$F$11:$F$155)*(B8='[6]Rev Exp'!$G$11:$G$155),0))</f>
        <v>-5.9999999997671694E-2</v>
      </c>
    </row>
    <row r="9" spans="1:6">
      <c r="A9" s="385">
        <v>489</v>
      </c>
      <c r="B9" s="379" t="s">
        <v>391</v>
      </c>
      <c r="D9" s="595">
        <f t="array" ref="D9">INDEX('[6]Rev Exp'!$J$11:$J$155,MATCH(1,(A9='[6]Rev Exp'!$F$11:$F$155)*(B9='[6]Rev Exp'!$G$11:$G$155),0))</f>
        <v>4926144.55</v>
      </c>
    </row>
    <row r="10" spans="1:6">
      <c r="A10" s="385"/>
      <c r="B10" s="593" t="s">
        <v>392</v>
      </c>
      <c r="D10" s="595" t="e">
        <f>SUM(D7:D9)</f>
        <v>#N/A</v>
      </c>
    </row>
    <row r="11" spans="1:6">
      <c r="A11" s="385"/>
      <c r="B11" s="596"/>
      <c r="D11" s="595"/>
    </row>
    <row r="12" spans="1:6">
      <c r="A12" s="385"/>
      <c r="B12" s="596" t="s">
        <v>393</v>
      </c>
      <c r="D12" s="595"/>
    </row>
    <row r="13" spans="1:6">
      <c r="A13" s="385">
        <v>487</v>
      </c>
      <c r="B13" s="379" t="s">
        <v>394</v>
      </c>
      <c r="D13" s="595">
        <f t="array" ref="D13">INDEX('[6]Rev Exp'!$J$11:$J$155,MATCH(1,(A13='[6]Rev Exp'!$F$11:$F$155)*(B13='[6]Rev Exp'!$G$11:$G$155),0))</f>
        <v>489636.00000000006</v>
      </c>
    </row>
    <row r="14" spans="1:6">
      <c r="A14" s="385">
        <v>488</v>
      </c>
      <c r="B14" s="379" t="s">
        <v>395</v>
      </c>
      <c r="D14" s="595">
        <f t="array" ref="D14">INDEX('[6]Rev Exp'!$J$11:$J$155,MATCH(1,(A14='[6]Rev Exp'!$F$11:$F$155)*(B14='[6]Rev Exp'!$G$11:$G$155),0))</f>
        <v>805199.31</v>
      </c>
    </row>
    <row r="15" spans="1:6">
      <c r="A15" s="385">
        <v>495</v>
      </c>
      <c r="B15" s="379" t="s">
        <v>396</v>
      </c>
      <c r="D15" s="595">
        <f t="array" ref="D15">INDEX('[6]Rev Exp'!$J$11:$J$155,MATCH(1,(A15='[6]Rev Exp'!$F$11:$F$155)*(B15='[6]Rev Exp'!$G$11:$G$155),0))</f>
        <v>21775.90000000014</v>
      </c>
    </row>
    <row r="16" spans="1:6">
      <c r="A16" s="597"/>
      <c r="B16" s="593" t="s">
        <v>397</v>
      </c>
      <c r="D16" s="595">
        <f>SUM(D13:D15)</f>
        <v>1316611.2100000002</v>
      </c>
    </row>
    <row r="17" spans="1:4">
      <c r="A17" s="597"/>
      <c r="B17" s="596"/>
      <c r="D17" s="595"/>
    </row>
    <row r="18" spans="1:4">
      <c r="A18" s="597"/>
      <c r="B18" s="593" t="s">
        <v>398</v>
      </c>
      <c r="D18" s="595" t="e">
        <f>SUM(D10,D16)</f>
        <v>#N/A</v>
      </c>
    </row>
    <row r="19" spans="1:4">
      <c r="A19" s="597"/>
      <c r="B19" s="596"/>
      <c r="D19" s="595"/>
    </row>
    <row r="20" spans="1:4">
      <c r="A20" s="386"/>
      <c r="B20" s="377" t="s">
        <v>131</v>
      </c>
      <c r="D20" s="595"/>
    </row>
    <row r="21" spans="1:4">
      <c r="A21" s="386"/>
      <c r="B21" s="379" t="s">
        <v>132</v>
      </c>
      <c r="D21" s="595">
        <f t="array" ref="D21">INDEX('[6]Rev Exp'!$J$11:$J$155,MATCH(1,(A21='[6]Rev Exp'!$F$11:$F$155)*(B21='[6]Rev Exp'!$G$11:$G$155),0))</f>
        <v>0</v>
      </c>
    </row>
    <row r="22" spans="1:4">
      <c r="A22" s="385">
        <v>805</v>
      </c>
      <c r="B22" s="379" t="s">
        <v>276</v>
      </c>
      <c r="D22" s="595">
        <f t="array" ref="D22">INDEX('[6]Rev Exp'!$J$11:$J$155,MATCH(1,(A22='[6]Rev Exp'!$F$11:$F$155)*(B22='[6]Rev Exp'!$G$11:$G$155),0))</f>
        <v>-5.9999965131282806E-2</v>
      </c>
    </row>
    <row r="23" spans="1:4">
      <c r="A23" s="385">
        <v>807</v>
      </c>
      <c r="B23" s="379" t="s">
        <v>134</v>
      </c>
      <c r="D23" s="595">
        <f t="array" ref="D23">INDEX('[6]Rev Exp'!$J$11:$J$155,MATCH(1,(A23='[6]Rev Exp'!$F$11:$F$155)*(B23='[6]Rev Exp'!$G$11:$G$155),0))</f>
        <v>231994.91</v>
      </c>
    </row>
    <row r="24" spans="1:4">
      <c r="A24" s="386"/>
      <c r="B24" s="593" t="s">
        <v>135</v>
      </c>
      <c r="D24" s="594">
        <f>SUM(D21:D23)</f>
        <v>231994.85000003487</v>
      </c>
    </row>
    <row r="25" spans="1:4">
      <c r="A25" s="386"/>
      <c r="B25" s="377"/>
    </row>
    <row r="26" spans="1:4">
      <c r="A26" s="390"/>
      <c r="B26" s="377" t="s">
        <v>277</v>
      </c>
    </row>
    <row r="27" spans="1:4">
      <c r="A27" s="386">
        <v>856</v>
      </c>
      <c r="B27" s="379" t="s">
        <v>278</v>
      </c>
      <c r="D27" s="331">
        <f t="array" ref="D27">INDEX('[6]Rev Exp'!$J$11:$J$155,MATCH(1,(A27='[6]Rev Exp'!$F$11:$F$155)*(B27='[6]Rev Exp'!$G$11:$G$155),0))</f>
        <v>14207.4</v>
      </c>
    </row>
    <row r="28" spans="1:4">
      <c r="A28" s="386">
        <v>857</v>
      </c>
      <c r="B28" s="379" t="s">
        <v>279</v>
      </c>
      <c r="D28" s="331">
        <f t="array" ref="D28">INDEX('[6]Rev Exp'!$J$11:$J$155,MATCH(1,(A28='[6]Rev Exp'!$F$11:$F$155)*(B28='[6]Rev Exp'!$G$11:$G$155),0))</f>
        <v>0</v>
      </c>
    </row>
    <row r="29" spans="1:4">
      <c r="A29" s="385">
        <v>864</v>
      </c>
      <c r="B29" s="379" t="s">
        <v>280</v>
      </c>
      <c r="D29" s="331">
        <f t="array" ref="D29">INDEX('[6]Rev Exp'!$J$11:$J$155,MATCH(1,(A29='[6]Rev Exp'!$F$11:$F$155)*(B29='[6]Rev Exp'!$G$11:$G$155),0))</f>
        <v>0</v>
      </c>
    </row>
    <row r="30" spans="1:4">
      <c r="A30" s="385">
        <v>870</v>
      </c>
      <c r="B30" s="379" t="s">
        <v>281</v>
      </c>
      <c r="D30" s="331">
        <f t="array" ref="D30">INDEX('[6]Rev Exp'!$J$11:$J$155,MATCH(1,(A30='[6]Rev Exp'!$F$11:$F$155)*(B30='[6]Rev Exp'!$G$11:$G$155),0))</f>
        <v>197328.9940148133</v>
      </c>
    </row>
    <row r="31" spans="1:4" ht="12" thickBot="1">
      <c r="A31" s="386"/>
      <c r="B31" s="591" t="s">
        <v>137</v>
      </c>
      <c r="D31" s="590">
        <f>SUM(D27:D30)</f>
        <v>211536.3940148133</v>
      </c>
    </row>
    <row r="32" spans="1:4" ht="12" thickTop="1">
      <c r="A32" s="386"/>
      <c r="B32" s="377"/>
    </row>
    <row r="33" spans="1:4">
      <c r="A33" s="453"/>
      <c r="B33" s="377" t="s">
        <v>138</v>
      </c>
    </row>
    <row r="34" spans="1:4">
      <c r="A34" s="386">
        <v>871</v>
      </c>
      <c r="B34" s="379" t="s">
        <v>139</v>
      </c>
      <c r="D34" s="331">
        <f t="array" ref="D34">INDEX('[6]Rev Exp'!$J$11:$J$155,MATCH(1,(A34='[6]Rev Exp'!$F$11:$F$155)*(B34='[6]Rev Exp'!$G$11:$G$155),0))</f>
        <v>0</v>
      </c>
    </row>
    <row r="35" spans="1:4">
      <c r="A35" s="386">
        <v>874</v>
      </c>
      <c r="B35" s="379" t="s">
        <v>140</v>
      </c>
      <c r="D35" s="331">
        <f t="array" ref="D35">INDEX('[6]Rev Exp'!$J$11:$J$155,MATCH(1,(A35='[6]Rev Exp'!$F$11:$F$155)*(B35='[6]Rev Exp'!$G$11:$G$155),0))</f>
        <v>2262554.1196882832</v>
      </c>
    </row>
    <row r="36" spans="1:4">
      <c r="A36" s="386">
        <v>875</v>
      </c>
      <c r="B36" s="379" t="s">
        <v>142</v>
      </c>
      <c r="D36" s="331">
        <f t="array" ref="D36">INDEX('[6]Rev Exp'!$J$11:$J$155,MATCH(1,(A36='[6]Rev Exp'!$F$11:$F$155)*(B36='[6]Rev Exp'!$G$11:$G$155),0))</f>
        <v>418051.26895592135</v>
      </c>
    </row>
    <row r="37" spans="1:4">
      <c r="A37" s="386">
        <v>876</v>
      </c>
      <c r="B37" s="379" t="s">
        <v>144</v>
      </c>
      <c r="D37" s="331">
        <f t="array" ref="D37">INDEX('[6]Rev Exp'!$J$11:$J$155,MATCH(1,(A37='[6]Rev Exp'!$F$11:$F$155)*(B37='[6]Rev Exp'!$G$11:$G$155),0))</f>
        <v>124688.6584112718</v>
      </c>
    </row>
    <row r="38" spans="1:4">
      <c r="A38" s="386">
        <v>877</v>
      </c>
      <c r="B38" s="379" t="s">
        <v>145</v>
      </c>
      <c r="D38" s="331">
        <f t="array" ref="D38">INDEX('[6]Rev Exp'!$J$11:$J$155,MATCH(1,(A38='[6]Rev Exp'!$F$11:$F$155)*(B38='[6]Rev Exp'!$G$11:$G$155),0))</f>
        <v>77236.156370506971</v>
      </c>
    </row>
    <row r="39" spans="1:4">
      <c r="A39" s="386">
        <v>878</v>
      </c>
      <c r="B39" s="379" t="s">
        <v>146</v>
      </c>
      <c r="D39" s="331">
        <f t="array" ref="D39">INDEX('[6]Rev Exp'!$J$11:$J$155,MATCH(1,(A39='[6]Rev Exp'!$F$11:$F$155)*(B39='[6]Rev Exp'!$G$11:$G$155),0))</f>
        <v>1473872.5477931551</v>
      </c>
    </row>
    <row r="40" spans="1:4">
      <c r="A40" s="386">
        <v>879</v>
      </c>
      <c r="B40" s="379" t="s">
        <v>148</v>
      </c>
      <c r="D40" s="331">
        <f t="array" ref="D40">INDEX('[6]Rev Exp'!$J$11:$J$155,MATCH(1,(A40='[6]Rev Exp'!$F$11:$F$155)*(B40='[6]Rev Exp'!$G$11:$G$155),0))</f>
        <v>1370408.0245042411</v>
      </c>
    </row>
    <row r="41" spans="1:4">
      <c r="A41" s="386">
        <v>880</v>
      </c>
      <c r="B41" s="379" t="s">
        <v>149</v>
      </c>
      <c r="D41" s="331">
        <f t="array" ref="D41">INDEX('[6]Rev Exp'!$J$11:$J$155,MATCH(1,(A41='[6]Rev Exp'!$F$11:$F$155)*(B41='[6]Rev Exp'!$G$11:$G$155),0))</f>
        <v>2326551.7266483973</v>
      </c>
    </row>
    <row r="42" spans="1:4">
      <c r="A42" s="385">
        <v>881</v>
      </c>
      <c r="B42" s="379" t="s">
        <v>151</v>
      </c>
      <c r="D42" s="331">
        <f t="array" ref="D42">INDEX('[6]Rev Exp'!$J$11:$J$155,MATCH(1,(A42='[6]Rev Exp'!$F$11:$F$155)*(B42='[6]Rev Exp'!$G$11:$G$155),0))</f>
        <v>21291.199999999997</v>
      </c>
    </row>
    <row r="43" spans="1:4">
      <c r="A43" s="385">
        <v>885</v>
      </c>
      <c r="B43" s="379" t="s">
        <v>152</v>
      </c>
      <c r="D43" s="331">
        <f t="array" ref="D43">INDEX('[6]Rev Exp'!$J$11:$J$155,MATCH(1,(A43='[6]Rev Exp'!$F$11:$F$155)*(B43='[6]Rev Exp'!$G$11:$G$155),0))</f>
        <v>205178.19359469271</v>
      </c>
    </row>
    <row r="44" spans="1:4">
      <c r="A44" s="385">
        <v>887</v>
      </c>
      <c r="B44" s="379" t="s">
        <v>154</v>
      </c>
      <c r="D44" s="331">
        <f t="array" ref="D44">INDEX('[6]Rev Exp'!$J$11:$J$155,MATCH(1,(A44='[6]Rev Exp'!$F$11:$F$155)*(B44='[6]Rev Exp'!$G$11:$G$155),0))</f>
        <v>586975.12093035947</v>
      </c>
    </row>
    <row r="45" spans="1:4">
      <c r="A45" s="385">
        <v>889</v>
      </c>
      <c r="B45" s="379" t="s">
        <v>156</v>
      </c>
      <c r="D45" s="331">
        <f t="array" ref="D45">INDEX('[6]Rev Exp'!$J$11:$J$155,MATCH(1,(A45='[6]Rev Exp'!$F$11:$F$155)*(B45='[6]Rev Exp'!$G$11:$G$155),0))</f>
        <v>7399.7605250777333</v>
      </c>
    </row>
    <row r="46" spans="1:4">
      <c r="A46" s="385">
        <v>892</v>
      </c>
      <c r="B46" s="379" t="s">
        <v>157</v>
      </c>
      <c r="D46" s="331">
        <f t="array" ref="D46">INDEX('[6]Rev Exp'!$J$11:$J$155,MATCH(1,(A46='[6]Rev Exp'!$F$11:$F$155)*(B46='[6]Rev Exp'!$G$11:$G$155),0))</f>
        <v>312004.64396970731</v>
      </c>
    </row>
    <row r="47" spans="1:4">
      <c r="A47" s="385">
        <v>893</v>
      </c>
      <c r="B47" s="379" t="s">
        <v>158</v>
      </c>
      <c r="D47" s="331">
        <f t="array" ref="D47">INDEX('[6]Rev Exp'!$J$11:$J$155,MATCH(1,(A47='[6]Rev Exp'!$F$11:$F$155)*(B47='[6]Rev Exp'!$G$11:$G$155),0))</f>
        <v>297423.48644793988</v>
      </c>
    </row>
    <row r="48" spans="1:4">
      <c r="A48" s="385">
        <v>894</v>
      </c>
      <c r="B48" s="379" t="s">
        <v>159</v>
      </c>
      <c r="D48" s="331">
        <f t="array" ref="D48">INDEX('[6]Rev Exp'!$J$11:$J$155,MATCH(1,(A48='[6]Rev Exp'!$F$11:$F$155)*(B48='[6]Rev Exp'!$G$11:$G$155),0))</f>
        <v>85273.885087578543</v>
      </c>
    </row>
    <row r="49" spans="1:4" ht="12" thickBot="1">
      <c r="A49" s="386"/>
      <c r="B49" s="591" t="s">
        <v>160</v>
      </c>
      <c r="D49" s="590">
        <f>SUM(D34:D48)</f>
        <v>9568908.7929271311</v>
      </c>
    </row>
    <row r="50" spans="1:4" ht="12" thickTop="1">
      <c r="A50" s="452"/>
      <c r="B50" s="451"/>
    </row>
    <row r="51" spans="1:4">
      <c r="A51" s="386"/>
      <c r="B51" s="377" t="s">
        <v>161</v>
      </c>
    </row>
    <row r="52" spans="1:4">
      <c r="A52" s="386">
        <v>901</v>
      </c>
      <c r="B52" s="379" t="s">
        <v>162</v>
      </c>
      <c r="D52" s="331">
        <f t="array" ref="D52">INDEX('[6]Rev Exp'!$J$11:$J$155,MATCH(1,(A52='[6]Rev Exp'!$F$11:$F$155)*(B52='[6]Rev Exp'!$G$11:$G$155),0))</f>
        <v>90341.519021516928</v>
      </c>
    </row>
    <row r="53" spans="1:4">
      <c r="A53" s="386">
        <v>902</v>
      </c>
      <c r="B53" s="379" t="s">
        <v>163</v>
      </c>
      <c r="D53" s="331">
        <f t="array" ref="D53">INDEX('[6]Rev Exp'!$J$11:$J$155,MATCH(1,(A53='[6]Rev Exp'!$F$11:$F$155)*(B53='[6]Rev Exp'!$G$11:$G$155),0))</f>
        <v>108946.5715256031</v>
      </c>
    </row>
    <row r="54" spans="1:4">
      <c r="A54" s="386">
        <v>903</v>
      </c>
      <c r="B54" s="379" t="s">
        <v>165</v>
      </c>
      <c r="D54" s="331">
        <f t="array" ref="D54">INDEX('[6]Rev Exp'!$J$11:$J$155,MATCH(1,(A54='[6]Rev Exp'!$F$11:$F$155)*(B54='[6]Rev Exp'!$G$11:$G$155),0))</f>
        <v>5775076.0166293187</v>
      </c>
    </row>
    <row r="55" spans="1:4">
      <c r="A55" s="386">
        <v>904</v>
      </c>
      <c r="B55" s="379" t="s">
        <v>167</v>
      </c>
      <c r="D55" s="331">
        <f t="array" ref="D55">INDEX('[6]Rev Exp'!$J$11:$J$155,MATCH(1,(A55='[6]Rev Exp'!$F$11:$F$155)*(B55='[6]Rev Exp'!$G$11:$G$155),0))</f>
        <v>281117.24</v>
      </c>
    </row>
    <row r="56" spans="1:4">
      <c r="A56" s="386">
        <v>905</v>
      </c>
      <c r="B56" s="379" t="s">
        <v>169</v>
      </c>
      <c r="D56" s="331">
        <f t="array" ref="D56">INDEX('[6]Rev Exp'!$J$11:$J$155,MATCH(1,(A56='[6]Rev Exp'!$F$11:$F$155)*(B56='[6]Rev Exp'!$G$11:$G$155),0))</f>
        <v>0</v>
      </c>
    </row>
    <row r="57" spans="1:4">
      <c r="A57" s="386">
        <v>907</v>
      </c>
      <c r="B57" s="379" t="s">
        <v>171</v>
      </c>
      <c r="D57" s="331">
        <f t="array" ref="D57">INDEX('[6]Rev Exp'!$J$11:$J$155,MATCH(1,(A57='[6]Rev Exp'!$F$11:$F$155)*(B57='[6]Rev Exp'!$G$11:$G$155),0))</f>
        <v>54000</v>
      </c>
    </row>
    <row r="58" spans="1:4">
      <c r="A58" s="386">
        <v>908</v>
      </c>
      <c r="B58" s="379" t="s">
        <v>172</v>
      </c>
      <c r="D58" s="331">
        <f t="array" ref="D58">INDEX('[6]Rev Exp'!$J$11:$J$155,MATCH(1,(A58='[6]Rev Exp'!$F$11:$F$155)*(B58='[6]Rev Exp'!$G$11:$G$155),0))</f>
        <v>114105.85492473361</v>
      </c>
    </row>
    <row r="59" spans="1:4">
      <c r="A59" s="386">
        <v>909</v>
      </c>
      <c r="B59" s="379" t="s">
        <v>173</v>
      </c>
      <c r="D59" s="331">
        <f t="array" ref="D59">INDEX('[6]Rev Exp'!$J$11:$J$155,MATCH(1,(A59='[6]Rev Exp'!$F$11:$F$155)*(B59='[6]Rev Exp'!$G$11:$G$155),0))</f>
        <v>371903.09</v>
      </c>
    </row>
    <row r="60" spans="1:4">
      <c r="A60" s="386">
        <v>910</v>
      </c>
      <c r="B60" s="379" t="s">
        <v>174</v>
      </c>
      <c r="D60" s="331">
        <f t="array" ref="D60">INDEX('[6]Rev Exp'!$J$11:$J$155,MATCH(1,(A60='[6]Rev Exp'!$F$11:$F$155)*(B60='[6]Rev Exp'!$G$11:$G$155),0))</f>
        <v>25.880000000000003</v>
      </c>
    </row>
    <row r="61" spans="1:4" ht="12" thickBot="1">
      <c r="A61" s="386"/>
      <c r="B61" s="591" t="s">
        <v>399</v>
      </c>
      <c r="D61" s="590">
        <f>SUM(D52:D60)</f>
        <v>6795516.1721011726</v>
      </c>
    </row>
    <row r="62" spans="1:4" ht="12" thickTop="1">
      <c r="A62" s="385"/>
    </row>
    <row r="63" spans="1:4">
      <c r="A63" s="385"/>
      <c r="B63" s="377"/>
    </row>
    <row r="64" spans="1:4">
      <c r="A64" s="386"/>
      <c r="B64" s="377" t="s">
        <v>176</v>
      </c>
    </row>
    <row r="65" spans="1:4">
      <c r="A65" s="386">
        <v>920</v>
      </c>
      <c r="B65" s="379" t="s">
        <v>177</v>
      </c>
      <c r="D65" s="331">
        <f t="array" ref="D65">INDEX('[6]Rev Exp'!$J$11:$J$155,MATCH(1,(A65='[6]Rev Exp'!$F$11:$F$155)*(B65='[6]Rev Exp'!$G$11:$G$155),0))</f>
        <v>5190692.07</v>
      </c>
    </row>
    <row r="66" spans="1:4">
      <c r="A66" s="386">
        <v>921</v>
      </c>
      <c r="B66" s="379" t="s">
        <v>178</v>
      </c>
      <c r="D66" s="331">
        <f t="array" ref="D66">INDEX('[6]Rev Exp'!$J$11:$J$155,MATCH(1,(A66='[6]Rev Exp'!$F$11:$F$155)*(B66='[6]Rev Exp'!$G$11:$G$155),0))</f>
        <v>2114640.4566869335</v>
      </c>
    </row>
    <row r="67" spans="1:4">
      <c r="A67" s="386">
        <v>922</v>
      </c>
      <c r="B67" s="379" t="s">
        <v>179</v>
      </c>
      <c r="D67" s="331">
        <f t="array" ref="D67">INDEX('[6]Rev Exp'!$J$11:$J$155,MATCH(1,(A67='[6]Rev Exp'!$F$11:$F$155)*(B67='[6]Rev Exp'!$G$11:$G$155),0))</f>
        <v>-1950845.02</v>
      </c>
    </row>
    <row r="68" spans="1:4">
      <c r="A68" s="386">
        <v>923</v>
      </c>
      <c r="B68" s="379" t="s">
        <v>180</v>
      </c>
      <c r="D68" s="331">
        <f t="array" ref="D68">INDEX('[6]Rev Exp'!$J$11:$J$155,MATCH(1,(A68='[6]Rev Exp'!$F$11:$F$155)*(B68='[6]Rev Exp'!$G$11:$G$155),0))</f>
        <v>1372947.72</v>
      </c>
    </row>
    <row r="69" spans="1:4">
      <c r="A69" s="386">
        <v>924</v>
      </c>
      <c r="B69" s="379" t="s">
        <v>181</v>
      </c>
      <c r="D69" s="331">
        <f t="array" ref="D69">INDEX('[6]Rev Exp'!$J$11:$J$155,MATCH(1,(A69='[6]Rev Exp'!$F$11:$F$155)*(B69='[6]Rev Exp'!$G$11:$G$155),0))</f>
        <v>30721.460000000003</v>
      </c>
    </row>
    <row r="70" spans="1:4">
      <c r="A70" s="386">
        <v>925</v>
      </c>
      <c r="B70" s="379" t="s">
        <v>182</v>
      </c>
      <c r="D70" s="331">
        <f t="array" ref="D70">INDEX('[6]Rev Exp'!$J$11:$J$155,MATCH(1,(A70='[6]Rev Exp'!$F$11:$F$155)*(B70='[6]Rev Exp'!$G$11:$G$155),0))</f>
        <v>2007319.2159669497</v>
      </c>
    </row>
    <row r="71" spans="1:4">
      <c r="A71" s="386">
        <v>926</v>
      </c>
      <c r="B71" s="379" t="s">
        <v>183</v>
      </c>
      <c r="D71" s="331">
        <f t="array" ref="D71">INDEX('[6]Rev Exp'!$J$11:$J$155,MATCH(1,(A71='[6]Rev Exp'!$F$11:$F$155)*(B71='[6]Rev Exp'!$G$11:$G$155),0))</f>
        <v>2640755.5700000003</v>
      </c>
    </row>
    <row r="72" spans="1:4">
      <c r="A72" s="448">
        <v>930.1</v>
      </c>
      <c r="B72" s="379" t="s">
        <v>184</v>
      </c>
      <c r="D72" s="331">
        <f t="array" ref="D72">INDEX('[6]Rev Exp'!$J$11:$J$155,MATCH(1,(A72='[6]Rev Exp'!$F$11:$F$155)*(B72='[6]Rev Exp'!$G$11:$G$155),0))</f>
        <v>13058.158963496959</v>
      </c>
    </row>
    <row r="73" spans="1:4">
      <c r="A73" s="448">
        <v>930.2</v>
      </c>
      <c r="B73" s="379" t="s">
        <v>185</v>
      </c>
      <c r="D73" s="331">
        <f t="array" ref="D73">INDEX('[6]Rev Exp'!$J$11:$J$155,MATCH(1,(A73='[6]Rev Exp'!$F$11:$F$155)*(B73='[6]Rev Exp'!$G$11:$G$155),0))</f>
        <v>286652.95</v>
      </c>
    </row>
    <row r="74" spans="1:4">
      <c r="A74" s="385">
        <v>931</v>
      </c>
      <c r="B74" s="379" t="s">
        <v>151</v>
      </c>
      <c r="D74" s="331">
        <f t="array" ref="D74">INDEX('[6]Rev Exp'!$J$11:$J$155,MATCH(1,(A74='[6]Rev Exp'!$F$11:$F$155)*(B74='[6]Rev Exp'!$G$11:$G$155),0))</f>
        <v>198635.85000000003</v>
      </c>
    </row>
    <row r="75" spans="1:4">
      <c r="A75" s="385">
        <v>932</v>
      </c>
      <c r="B75" s="379" t="s">
        <v>186</v>
      </c>
      <c r="D75" s="331">
        <f t="array" ref="D75">INDEX('[6]Rev Exp'!$J$11:$J$155,MATCH(1,(A75='[6]Rev Exp'!$F$11:$F$155)*(B75='[6]Rev Exp'!$G$11:$G$155),0))</f>
        <v>285.90941458918593</v>
      </c>
    </row>
    <row r="76" spans="1:4">
      <c r="A76" s="374">
        <v>928</v>
      </c>
      <c r="B76" s="379" t="s">
        <v>187</v>
      </c>
      <c r="D76" s="331">
        <f t="array" ref="D76">INDEX('[6]Rev Exp'!$J$11:$J$155,MATCH(1,(A76='[6]Rev Exp'!$F$11:$F$155)*(B76='[6]Rev Exp'!$G$11:$G$155),0))</f>
        <v>250000</v>
      </c>
    </row>
    <row r="77" spans="1:4">
      <c r="A77" s="386"/>
      <c r="B77" s="593" t="s">
        <v>188</v>
      </c>
      <c r="D77" s="590">
        <f>SUM(D65:D76)</f>
        <v>12154864.341031969</v>
      </c>
    </row>
    <row r="78" spans="1:4">
      <c r="A78" s="386"/>
      <c r="B78" s="588"/>
    </row>
    <row r="79" spans="1:4" ht="12" thickBot="1">
      <c r="A79" s="382"/>
      <c r="B79" s="591" t="s">
        <v>189</v>
      </c>
      <c r="D79" s="590">
        <f>+D77+D61+D49+D31+D24</f>
        <v>28962820.550075121</v>
      </c>
    </row>
    <row r="80" spans="1:4" ht="12" thickTop="1">
      <c r="A80" s="382"/>
      <c r="B80" s="445"/>
    </row>
    <row r="81" spans="1:5">
      <c r="A81" s="386"/>
      <c r="B81" s="406" t="s">
        <v>190</v>
      </c>
    </row>
    <row r="82" spans="1:5">
      <c r="A82" s="386"/>
      <c r="B82" s="377" t="s">
        <v>191</v>
      </c>
    </row>
    <row r="83" spans="1:5">
      <c r="A83" s="386">
        <v>302</v>
      </c>
      <c r="B83" s="379" t="s">
        <v>192</v>
      </c>
      <c r="D83" s="331">
        <f t="array" ref="D83">INDEX('[6]Rev Exp'!$J$11:$J$155,MATCH(1,(A83='[6]Rev Exp'!$F$11:$F$155)*(B83='[6]Rev Exp'!$G$11:$G$155),0))</f>
        <v>13995.400000000001</v>
      </c>
      <c r="E83" s="592"/>
    </row>
    <row r="84" spans="1:5">
      <c r="A84" s="386">
        <v>303</v>
      </c>
      <c r="B84" s="379" t="s">
        <v>193</v>
      </c>
      <c r="D84" s="331">
        <f t="array" ref="D84">INDEX('[6]Rev Exp'!$J$11:$J$155,MATCH(1,(A84='[6]Rev Exp'!$F$11:$F$155)*(B84='[6]Rev Exp'!$G$11:$G$155),0))</f>
        <v>295305.65337800002</v>
      </c>
      <c r="E84" s="592"/>
    </row>
    <row r="85" spans="1:5">
      <c r="A85" s="374"/>
      <c r="B85" s="379" t="s">
        <v>194</v>
      </c>
      <c r="D85" s="331">
        <f t="array" ref="D85">INDEX('[6]Rev Exp'!$J$11:$J$155,MATCH(1,(A85='[6]Rev Exp'!$F$11:$F$155)*(B85='[6]Rev Exp'!$G$11:$G$155),0))</f>
        <v>3063435.45</v>
      </c>
    </row>
    <row r="86" spans="1:5" ht="12" thickBot="1">
      <c r="A86" s="386"/>
      <c r="B86" s="591" t="s">
        <v>195</v>
      </c>
      <c r="D86" s="590">
        <f>SUM(D83:D85)</f>
        <v>3372736.5033780001</v>
      </c>
      <c r="E86" s="592"/>
    </row>
    <row r="87" spans="1:5" ht="12" thickTop="1">
      <c r="A87" s="386"/>
      <c r="B87" s="377"/>
    </row>
    <row r="88" spans="1:5">
      <c r="A88" s="386"/>
      <c r="B88" s="377" t="s">
        <v>286</v>
      </c>
    </row>
    <row r="89" spans="1:5" ht="15">
      <c r="A89" s="386">
        <v>365</v>
      </c>
      <c r="B89" s="379" t="s">
        <v>81</v>
      </c>
      <c r="D89" s="331">
        <f t="array" ref="D89">INDEX('[6]Rev Exp'!$J$11:$J$155,MATCH(1,(A89='[6]Rev Exp'!$F$11:$F$155)*(B89='[6]Rev Exp'!$G$11:$G$155),0))</f>
        <v>968.71999999999991</v>
      </c>
      <c r="E89"/>
    </row>
    <row r="90" spans="1:5">
      <c r="A90" s="374">
        <v>366</v>
      </c>
      <c r="B90" s="379" t="s">
        <v>82</v>
      </c>
      <c r="D90" s="331">
        <f t="array" ref="D90">INDEX('[6]Rev Exp'!$J$11:$J$155,MATCH(1,(A90='[6]Rev Exp'!$F$11:$F$155)*(B90='[6]Rev Exp'!$G$11:$G$155),0))</f>
        <v>261.12</v>
      </c>
    </row>
    <row r="91" spans="1:5">
      <c r="A91" s="386">
        <v>367</v>
      </c>
      <c r="B91" s="379" t="s">
        <v>287</v>
      </c>
      <c r="D91" s="331">
        <f t="array" ref="D91">INDEX('[6]Rev Exp'!$J$11:$J$155,MATCH(1,(A91='[6]Rev Exp'!$F$11:$F$155)*(B91='[6]Rev Exp'!$G$11:$G$155),0))</f>
        <v>220894.52000000002</v>
      </c>
    </row>
    <row r="92" spans="1:5">
      <c r="A92" s="385">
        <v>369</v>
      </c>
      <c r="B92" s="379" t="s">
        <v>242</v>
      </c>
      <c r="D92" s="331">
        <f t="array" ref="D92">INDEX('[6]Rev Exp'!$J$11:$J$155,MATCH(1,(A92='[6]Rev Exp'!$F$11:$F$155)*(B92='[6]Rev Exp'!$G$11:$G$155),0))</f>
        <v>10337.120000000003</v>
      </c>
    </row>
    <row r="93" spans="1:5">
      <c r="A93" s="385">
        <v>371</v>
      </c>
      <c r="B93" s="379" t="s">
        <v>98</v>
      </c>
      <c r="D93" s="331">
        <f t="array" ref="D93">INDEX('[6]Rev Exp'!$J$11:$J$155,MATCH(1,(A93='[6]Rev Exp'!$F$11:$F$155)*(B93='[6]Rev Exp'!$G$11:$G$155),0))</f>
        <v>0.15999999999985448</v>
      </c>
    </row>
    <row r="94" spans="1:5" ht="12" thickBot="1">
      <c r="A94" s="385"/>
      <c r="B94" s="591" t="s">
        <v>196</v>
      </c>
      <c r="D94" s="590">
        <f>SUM(D89:D93)</f>
        <v>232461.64</v>
      </c>
    </row>
    <row r="95" spans="1:5" ht="12" thickTop="1">
      <c r="A95" s="385"/>
      <c r="B95" s="377"/>
    </row>
    <row r="96" spans="1:5">
      <c r="A96" s="386"/>
      <c r="B96" s="377" t="s">
        <v>197</v>
      </c>
    </row>
    <row r="97" spans="1:6">
      <c r="A97" s="385">
        <v>374</v>
      </c>
      <c r="B97" s="379" t="s">
        <v>81</v>
      </c>
      <c r="D97" s="331">
        <f t="array" ref="D97">INDEX('[6]Rev Exp'!$J$11:$J$155,MATCH(1,(A97='[6]Rev Exp'!$F$11:$F$155)*(B97='[6]Rev Exp'!$G$11:$G$155),0))</f>
        <v>6380.1344680000002</v>
      </c>
      <c r="E97" s="592"/>
      <c r="F97" s="354"/>
    </row>
    <row r="98" spans="1:6">
      <c r="A98" s="374">
        <v>375</v>
      </c>
      <c r="B98" s="379" t="s">
        <v>82</v>
      </c>
      <c r="D98" s="331">
        <f t="array" ref="D98">INDEX('[6]Rev Exp'!$J$11:$J$155,MATCH(1,(A98='[6]Rev Exp'!$F$11:$F$155)*(B98='[6]Rev Exp'!$G$11:$G$155),0))</f>
        <v>4313.3799999999992</v>
      </c>
      <c r="E98" s="592"/>
    </row>
    <row r="99" spans="1:6">
      <c r="A99" s="386">
        <v>376</v>
      </c>
      <c r="B99" s="379" t="s">
        <v>83</v>
      </c>
      <c r="D99" s="331">
        <f t="array" ref="D99">INDEX('[6]Rev Exp'!$J$11:$J$155,MATCH(1,(A99='[6]Rev Exp'!$F$11:$F$155)*(B99='[6]Rev Exp'!$G$11:$G$155),0))</f>
        <v>5091481.1477239998</v>
      </c>
      <c r="E99" s="592"/>
    </row>
    <row r="100" spans="1:6">
      <c r="A100" s="386">
        <v>378</v>
      </c>
      <c r="B100" s="379" t="s">
        <v>198</v>
      </c>
      <c r="D100" s="331">
        <f t="array" ref="D100">INDEX('[6]Rev Exp'!$J$11:$J$155,MATCH(1,(A100='[6]Rev Exp'!$F$11:$F$155)*(B100='[6]Rev Exp'!$G$11:$G$155),0))</f>
        <v>128392.031</v>
      </c>
      <c r="E100" s="592"/>
    </row>
    <row r="101" spans="1:6">
      <c r="A101" s="386">
        <v>379</v>
      </c>
      <c r="B101" s="379" t="s">
        <v>199</v>
      </c>
      <c r="D101" s="331">
        <f t="array" ref="D101">INDEX('[6]Rev Exp'!$J$11:$J$155,MATCH(1,(A101='[6]Rev Exp'!$F$11:$F$155)*(B101='[6]Rev Exp'!$G$11:$G$155),0))</f>
        <v>94042.937700000009</v>
      </c>
      <c r="E101" s="592"/>
    </row>
    <row r="102" spans="1:6">
      <c r="A102" s="386">
        <v>380</v>
      </c>
      <c r="B102" s="379" t="s">
        <v>86</v>
      </c>
      <c r="D102" s="331">
        <f t="array" ref="D102">INDEX('[6]Rev Exp'!$J$11:$J$155,MATCH(1,(A102='[6]Rev Exp'!$F$11:$F$155)*(B102='[6]Rev Exp'!$G$11:$G$155),0))</f>
        <v>4118144.0926400004</v>
      </c>
      <c r="E102" s="592"/>
    </row>
    <row r="103" spans="1:6">
      <c r="A103" s="386">
        <v>381</v>
      </c>
      <c r="B103" s="379" t="s">
        <v>88</v>
      </c>
      <c r="D103" s="331">
        <f t="array" ref="D103">INDEX('[6]Rev Exp'!$J$11:$J$155,MATCH(1,(A103='[6]Rev Exp'!$F$11:$F$155)*(B103='[6]Rev Exp'!$G$11:$G$155),0))</f>
        <v>1485299.35565</v>
      </c>
      <c r="E103" s="592"/>
    </row>
    <row r="104" spans="1:6">
      <c r="A104" s="386">
        <v>382</v>
      </c>
      <c r="B104" s="379" t="s">
        <v>90</v>
      </c>
      <c r="D104" s="331">
        <f t="array" ref="D104">INDEX('[6]Rev Exp'!$J$11:$J$155,MATCH(1,(A104='[6]Rev Exp'!$F$11:$F$155)*(B104='[6]Rev Exp'!$G$11:$G$155),0))</f>
        <v>548158.28496000008</v>
      </c>
      <c r="E104" s="592"/>
    </row>
    <row r="105" spans="1:6">
      <c r="A105" s="386">
        <v>383</v>
      </c>
      <c r="B105" s="379" t="s">
        <v>92</v>
      </c>
      <c r="D105" s="331">
        <f t="array" ref="D105">INDEX('[6]Rev Exp'!$J$11:$J$155,MATCH(1,(A105='[6]Rev Exp'!$F$11:$F$155)*(B105='[6]Rev Exp'!$G$11:$G$155),0))</f>
        <v>117239.24</v>
      </c>
      <c r="E105" s="592"/>
    </row>
    <row r="106" spans="1:6">
      <c r="A106" s="386">
        <v>384</v>
      </c>
      <c r="B106" s="379" t="s">
        <v>94</v>
      </c>
      <c r="D106" s="331">
        <f t="array" ref="D106">INDEX('[6]Rev Exp'!$J$11:$J$155,MATCH(1,(A106='[6]Rev Exp'!$F$11:$F$155)*(B106='[6]Rev Exp'!$G$11:$G$155),0))</f>
        <v>114003.93000000001</v>
      </c>
      <c r="E106" s="592"/>
    </row>
    <row r="107" spans="1:6">
      <c r="A107" s="386">
        <v>385</v>
      </c>
      <c r="B107" s="379" t="s">
        <v>200</v>
      </c>
      <c r="D107" s="331">
        <f t="array" ref="D107">INDEX('[6]Rev Exp'!$J$11:$J$155,MATCH(1,(A107='[6]Rev Exp'!$F$11:$F$155)*(B107='[6]Rev Exp'!$G$11:$G$155),0))</f>
        <v>56889.460166000004</v>
      </c>
      <c r="E107" s="592"/>
    </row>
    <row r="108" spans="1:6">
      <c r="A108" s="386">
        <v>387</v>
      </c>
      <c r="B108" s="379" t="s">
        <v>98</v>
      </c>
      <c r="D108" s="331">
        <f t="array" ref="D108">INDEX('[6]Rev Exp'!$J$11:$J$155,MATCH(1,(A108='[6]Rev Exp'!$F$11:$F$155)*(B108='[6]Rev Exp'!$G$11:$G$155),0))</f>
        <v>39512.97</v>
      </c>
      <c r="E108" s="592"/>
    </row>
    <row r="109" spans="1:6" ht="12" thickBot="1">
      <c r="A109" s="386"/>
      <c r="B109" s="591" t="s">
        <v>201</v>
      </c>
      <c r="D109" s="590">
        <f>SUM(D97:D108)</f>
        <v>11803856.964308001</v>
      </c>
    </row>
    <row r="110" spans="1:6" ht="12" thickTop="1">
      <c r="A110" s="386"/>
      <c r="B110" s="377"/>
    </row>
    <row r="111" spans="1:6">
      <c r="A111" s="386"/>
      <c r="B111" s="377" t="s">
        <v>289</v>
      </c>
    </row>
    <row r="112" spans="1:6">
      <c r="A112" s="386">
        <v>389</v>
      </c>
      <c r="B112" s="379" t="s">
        <v>290</v>
      </c>
      <c r="D112" s="331">
        <f t="array" ref="D112">INDEX('[6]Rev Exp'!$J$11:$J$155,MATCH(1,(A112='[6]Rev Exp'!$F$11:$F$155)*(B112='[6]Rev Exp'!$G$11:$G$155),0))</f>
        <v>-4.0000000000873115E-2</v>
      </c>
      <c r="E112" s="592"/>
    </row>
    <row r="113" spans="1:5">
      <c r="A113" s="374">
        <v>390</v>
      </c>
      <c r="B113" s="379" t="s">
        <v>82</v>
      </c>
      <c r="D113" s="331">
        <f t="array" ref="D113">INDEX('[6]Rev Exp'!$J$11:$J$155,MATCH(1,(A113='[6]Rev Exp'!$F$11:$F$155)*(B113='[6]Rev Exp'!$G$11:$G$155),0))</f>
        <v>688046.30491900002</v>
      </c>
      <c r="E113" s="592"/>
    </row>
    <row r="114" spans="1:5">
      <c r="A114" s="386">
        <v>391</v>
      </c>
      <c r="B114" s="379" t="s">
        <v>245</v>
      </c>
      <c r="D114" s="331">
        <f t="array" ref="D114">INDEX('[6]Rev Exp'!$J$11:$J$155,MATCH(1,(A114='[6]Rev Exp'!$F$11:$F$155)*(B114='[6]Rev Exp'!$G$11:$G$155),0))</f>
        <v>712141.31397000013</v>
      </c>
      <c r="E114" s="592"/>
    </row>
    <row r="115" spans="1:5">
      <c r="A115" s="386">
        <v>392</v>
      </c>
      <c r="B115" s="379" t="s">
        <v>246</v>
      </c>
      <c r="D115" s="331">
        <f t="array" ref="D115">INDEX('[6]Rev Exp'!$J$11:$J$155,MATCH(1,(A115='[6]Rev Exp'!$F$11:$F$155)*(B115='[6]Rev Exp'!$G$11:$G$155),0))</f>
        <v>-42245.220203999997</v>
      </c>
      <c r="E115" s="592"/>
    </row>
    <row r="116" spans="1:5">
      <c r="A116" s="386">
        <v>393</v>
      </c>
      <c r="B116" s="379" t="s">
        <v>247</v>
      </c>
      <c r="D116" s="331">
        <f t="array" ref="D116">INDEX('[6]Rev Exp'!$J$11:$J$155,MATCH(1,(A116='[6]Rev Exp'!$F$11:$F$155)*(B116='[6]Rev Exp'!$G$11:$G$155),0))</f>
        <v>9527.8799999999992</v>
      </c>
      <c r="E116" s="592"/>
    </row>
    <row r="117" spans="1:5">
      <c r="A117" s="386">
        <v>394</v>
      </c>
      <c r="B117" s="379" t="s">
        <v>248</v>
      </c>
      <c r="D117" s="331">
        <f t="array" ref="D117">INDEX('[6]Rev Exp'!$J$11:$J$155,MATCH(1,(A117='[6]Rev Exp'!$F$11:$F$155)*(B117='[6]Rev Exp'!$G$11:$G$155),0))</f>
        <v>284676.16680000001</v>
      </c>
      <c r="E117" s="592"/>
    </row>
    <row r="118" spans="1:5">
      <c r="A118" s="386">
        <v>395</v>
      </c>
      <c r="B118" s="379" t="s">
        <v>249</v>
      </c>
      <c r="D118" s="331">
        <f t="array" ref="D118">INDEX('[6]Rev Exp'!$J$11:$J$155,MATCH(1,(A118='[6]Rev Exp'!$F$11:$F$155)*(B118='[6]Rev Exp'!$G$11:$G$155),0))</f>
        <v>3681.3048720000006</v>
      </c>
      <c r="E118" s="592"/>
    </row>
    <row r="119" spans="1:5">
      <c r="A119" s="386">
        <v>396</v>
      </c>
      <c r="B119" s="379" t="s">
        <v>250</v>
      </c>
      <c r="D119" s="331">
        <f t="array" ref="D119">INDEX('[6]Rev Exp'!$J$11:$J$155,MATCH(1,(A119='[6]Rev Exp'!$F$11:$F$155)*(B119='[6]Rev Exp'!$G$11:$G$155),0))</f>
        <v>94167.121489000012</v>
      </c>
      <c r="E119" s="592"/>
    </row>
    <row r="120" spans="1:5">
      <c r="A120" s="386">
        <v>397</v>
      </c>
      <c r="B120" s="379" t="s">
        <v>251</v>
      </c>
      <c r="D120" s="331">
        <f t="array" ref="D120">INDEX('[6]Rev Exp'!$J$11:$J$155,MATCH(1,(A120='[6]Rev Exp'!$F$11:$F$155)*(B120='[6]Rev Exp'!$G$11:$G$155),0))</f>
        <v>279337.67963700002</v>
      </c>
      <c r="E120" s="592"/>
    </row>
    <row r="121" spans="1:5">
      <c r="A121" s="386">
        <v>398</v>
      </c>
      <c r="B121" s="379" t="s">
        <v>252</v>
      </c>
      <c r="D121" s="331">
        <f t="array" ref="D121">INDEX('[6]Rev Exp'!$J$11:$J$155,MATCH(1,(A121='[6]Rev Exp'!$F$11:$F$155)*(B121='[6]Rev Exp'!$G$11:$G$155),0))</f>
        <v>6674.743199999999</v>
      </c>
      <c r="E121" s="592"/>
    </row>
    <row r="122" spans="1:5" ht="12" thickBot="1">
      <c r="A122" s="386"/>
      <c r="B122" s="591" t="s">
        <v>202</v>
      </c>
      <c r="D122" s="590">
        <f>SUM(D112:D121)</f>
        <v>2036007.254683</v>
      </c>
    </row>
    <row r="123" spans="1:5" ht="12" thickTop="1">
      <c r="A123" s="386"/>
      <c r="B123" s="377"/>
    </row>
    <row r="124" spans="1:5">
      <c r="A124" s="374"/>
      <c r="B124" s="377" t="s">
        <v>203</v>
      </c>
    </row>
    <row r="125" spans="1:5">
      <c r="A125" s="385" t="s">
        <v>204</v>
      </c>
      <c r="B125" s="379" t="s">
        <v>205</v>
      </c>
      <c r="D125" s="331">
        <f t="array" ref="D125">INDEX('[6]Rev Exp'!$J$11:$J$155,MATCH(1,(A125='[6]Rev Exp'!$F$11:$F$155)*(B125='[6]Rev Exp'!$G$11:$G$155),0))</f>
        <v>3372736.5033780001</v>
      </c>
    </row>
    <row r="126" spans="1:5">
      <c r="A126" s="385" t="s">
        <v>206</v>
      </c>
      <c r="B126" s="379" t="s">
        <v>207</v>
      </c>
      <c r="D126" s="331">
        <f t="array" ref="D126">INDEX('[6]Rev Exp'!$J$11:$J$155,MATCH(1,(A126='[6]Rev Exp'!$F$11:$F$155)*(B126='[6]Rev Exp'!$G$11:$G$155),0))</f>
        <v>232461.64</v>
      </c>
    </row>
    <row r="127" spans="1:5">
      <c r="A127" s="385" t="s">
        <v>206</v>
      </c>
      <c r="B127" s="379" t="s">
        <v>80</v>
      </c>
      <c r="D127" s="331">
        <f t="array" ref="D127">INDEX('[6]Rev Exp'!$J$11:$J$155,MATCH(1,(A127='[6]Rev Exp'!$F$11:$F$155)*(B127='[6]Rev Exp'!$G$11:$G$155),0))</f>
        <v>11803856.964308001</v>
      </c>
    </row>
    <row r="128" spans="1:5">
      <c r="A128" s="385" t="s">
        <v>206</v>
      </c>
      <c r="B128" s="379" t="s">
        <v>208</v>
      </c>
      <c r="D128" s="331">
        <f t="array" ref="D128">INDEX('[6]Rev Exp'!$J$11:$J$155,MATCH(1,(A128='[6]Rev Exp'!$F$11:$F$155)*(B128='[6]Rev Exp'!$G$11:$G$155),0))</f>
        <v>2036007.254683</v>
      </c>
    </row>
    <row r="129" spans="1:4" ht="12" thickBot="1">
      <c r="A129" s="374"/>
      <c r="B129" s="591" t="s">
        <v>209</v>
      </c>
      <c r="D129" s="590">
        <f>SUM(D125:D128)</f>
        <v>17445062.362369001</v>
      </c>
    </row>
    <row r="130" spans="1:4" ht="12" thickTop="1">
      <c r="A130" s="374"/>
      <c r="B130" s="588"/>
      <c r="D130" s="590"/>
    </row>
    <row r="131" spans="1:4">
      <c r="A131" s="386"/>
      <c r="B131" s="377" t="s">
        <v>212</v>
      </c>
    </row>
    <row r="132" spans="1:4">
      <c r="A132" s="385">
        <v>408</v>
      </c>
      <c r="B132" s="379" t="s">
        <v>213</v>
      </c>
      <c r="D132" s="331">
        <f t="array" ref="D132">INDEX('[6]Rev Exp'!$J$11:$J$155,MATCH(1,(A132='[6]Rev Exp'!$F$11:$F$155)*(B132='[6]Rev Exp'!$G$11:$G$155),0))</f>
        <v>4971210.869877005</v>
      </c>
    </row>
    <row r="133" spans="1:4">
      <c r="A133" s="385">
        <v>408</v>
      </c>
      <c r="B133" s="379" t="s">
        <v>214</v>
      </c>
      <c r="D133" s="331">
        <f t="array" ref="D133">INDEX('[6]Rev Exp'!$J$11:$J$155,MATCH(1,(A133='[6]Rev Exp'!$F$11:$F$155)*(B133='[6]Rev Exp'!$G$11:$G$155),0))</f>
        <v>881569.91580000019</v>
      </c>
    </row>
    <row r="134" spans="1:4">
      <c r="A134" s="385"/>
      <c r="B134" s="589" t="s">
        <v>215</v>
      </c>
      <c r="D134" s="590">
        <f>SUM(D132:D133)</f>
        <v>5852780.7856770055</v>
      </c>
    </row>
    <row r="136" spans="1:4">
      <c r="A136" s="386"/>
      <c r="B136" s="387" t="s">
        <v>38</v>
      </c>
    </row>
    <row r="137" spans="1:4">
      <c r="A137" s="390">
        <v>431</v>
      </c>
      <c r="B137" s="379" t="s">
        <v>291</v>
      </c>
      <c r="D137" s="331">
        <f t="array" ref="D137">INDEX('[6]Rev Exp'!$J$11:$J$155,MATCH(1,(A137='[6]Rev Exp'!$F$11:$F$155)*(B137='[6]Rev Exp'!$G$11:$G$155),0))</f>
        <v>53976.84</v>
      </c>
    </row>
    <row r="138" spans="1:4">
      <c r="A138" s="386"/>
      <c r="B138" s="589" t="s">
        <v>210</v>
      </c>
      <c r="D138" s="586">
        <f>SUM(D137)</f>
        <v>53976.84</v>
      </c>
    </row>
    <row r="139" spans="1:4">
      <c r="A139" s="386"/>
      <c r="B139" s="387"/>
    </row>
    <row r="140" spans="1:4">
      <c r="A140" s="385"/>
      <c r="B140" s="387" t="s">
        <v>216</v>
      </c>
    </row>
    <row r="141" spans="1:4">
      <c r="A141" s="385">
        <v>409</v>
      </c>
      <c r="B141" s="381" t="s">
        <v>217</v>
      </c>
      <c r="D141" s="331">
        <f t="array" ref="D141">INDEX('[6]Rev Exp'!$J$11:$J$155,MATCH(1,(A141='[6]Rev Exp'!$F$11:$F$155)*(B141='[6]Rev Exp'!$G$11:$G$155),0))</f>
        <v>1368864.2109483429</v>
      </c>
    </row>
    <row r="142" spans="1:4">
      <c r="A142" s="390">
        <v>410.1</v>
      </c>
      <c r="B142" s="379" t="s">
        <v>218</v>
      </c>
      <c r="D142" s="331">
        <f t="array" ref="D142">INDEX('[6]Rev Exp'!$J$11:$J$155,MATCH(1,(A142='[6]Rev Exp'!$F$11:$F$155)*(B142='[6]Rev Exp'!$G$11:$G$155),0))</f>
        <v>2527569.497407476</v>
      </c>
    </row>
    <row r="143" spans="1:4">
      <c r="A143" s="385">
        <v>411</v>
      </c>
      <c r="B143" s="379" t="s">
        <v>219</v>
      </c>
      <c r="D143" s="331">
        <f t="array" ref="D143">INDEX('[6]Rev Exp'!$J$11:$J$155,MATCH(1,(A143='[6]Rev Exp'!$F$11:$F$155)*(B143='[6]Rev Exp'!$G$11:$G$155),0))</f>
        <v>-2143670.7200000002</v>
      </c>
    </row>
    <row r="144" spans="1:4">
      <c r="A144" s="386"/>
      <c r="B144" s="588" t="s">
        <v>220</v>
      </c>
      <c r="D144" s="586">
        <f>SUM(D141:D143)</f>
        <v>1752762.9883558187</v>
      </c>
    </row>
    <row r="145" spans="1:6">
      <c r="A145" s="386"/>
      <c r="B145" s="588"/>
    </row>
    <row r="146" spans="1:6" ht="12" thickBot="1">
      <c r="A146" s="386"/>
      <c r="B146" s="583" t="s">
        <v>400</v>
      </c>
      <c r="D146" s="585">
        <f>+D134+D144</f>
        <v>7605543.7740328237</v>
      </c>
    </row>
    <row r="147" spans="1:6" ht="12" thickTop="1">
      <c r="A147" s="386"/>
      <c r="B147" s="387"/>
    </row>
    <row r="148" spans="1:6">
      <c r="A148" s="386"/>
      <c r="B148" s="587" t="s">
        <v>221</v>
      </c>
      <c r="D148" s="586">
        <f>+D79+D129+D138+D134</f>
        <v>52314640.538121134</v>
      </c>
      <c r="F148" s="584">
        <f>D148-'[6]Rev Exp'!$J$152</f>
        <v>0</v>
      </c>
    </row>
    <row r="149" spans="1:6">
      <c r="A149" s="386"/>
      <c r="B149" s="387"/>
      <c r="F149" s="307"/>
    </row>
    <row r="150" spans="1:6" ht="12" thickBot="1">
      <c r="A150" s="385"/>
      <c r="B150" s="583" t="s">
        <v>222</v>
      </c>
      <c r="D150" s="585">
        <f>+D148+D144</f>
        <v>54067403.526476949</v>
      </c>
      <c r="F150" s="584">
        <f>D150-'[6]Rev Exp'!$J$154</f>
        <v>0</v>
      </c>
    </row>
    <row r="151" spans="1:6" ht="12" thickTop="1"/>
    <row r="152" spans="1:6" ht="12" thickBot="1">
      <c r="B152" s="583" t="s">
        <v>48</v>
      </c>
    </row>
    <row r="153" spans="1:6" ht="12" thickTop="1"/>
  </sheetData>
  <printOptions horizontalCentered="1"/>
  <pageMargins left="0.7" right="0.7" top="0.75" bottom="0.75" header="0.3" footer="0.3"/>
  <pageSetup scale="8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1C18F-A873-43A5-BE36-8775B6D4544D}">
  <sheetPr codeName="Sheet42">
    <tabColor theme="8" tint="0.59999389629810485"/>
  </sheetPr>
  <dimension ref="A1:K167"/>
  <sheetViews>
    <sheetView topLeftCell="A127" zoomScale="130" zoomScaleNormal="130" workbookViewId="0">
      <selection sqref="A1:S3"/>
    </sheetView>
  </sheetViews>
  <sheetFormatPr defaultColWidth="9.140625" defaultRowHeight="11.25"/>
  <cols>
    <col min="1" max="1" width="8.7109375" style="304" bestFit="1" customWidth="1"/>
    <col min="2" max="2" width="54.85546875" style="304" bestFit="1" customWidth="1"/>
    <col min="3" max="3" width="17.140625" style="601" customWidth="1"/>
    <col min="4" max="4" width="20.42578125" style="304" customWidth="1"/>
    <col min="5" max="5" width="13.140625" style="304" bestFit="1" customWidth="1"/>
    <col min="6" max="6" width="9.140625" style="304"/>
    <col min="7" max="7" width="26.85546875" style="304" hidden="1" customWidth="1"/>
    <col min="8" max="8" width="38.140625" style="304" hidden="1" customWidth="1"/>
    <col min="9" max="9" width="0" style="304" hidden="1" customWidth="1"/>
    <col min="10" max="10" width="8.140625" style="304" hidden="1" customWidth="1"/>
    <col min="11" max="11" width="23.5703125" style="304" bestFit="1" customWidth="1"/>
    <col min="12" max="16384" width="9.140625" style="304"/>
  </cols>
  <sheetData>
    <row r="1" spans="1:10" ht="15.75">
      <c r="A1" s="602" t="s">
        <v>401</v>
      </c>
    </row>
    <row r="2" spans="1:10">
      <c r="C2" s="464" t="s">
        <v>2</v>
      </c>
    </row>
    <row r="3" spans="1:10">
      <c r="C3" s="464" t="s">
        <v>66</v>
      </c>
    </row>
    <row r="4" spans="1:10">
      <c r="A4" s="400" t="s">
        <v>60</v>
      </c>
      <c r="B4" s="416" t="s">
        <v>73</v>
      </c>
      <c r="C4" s="620"/>
    </row>
    <row r="5" spans="1:10" ht="45">
      <c r="A5" s="400" t="s">
        <v>63</v>
      </c>
      <c r="B5" s="377" t="s">
        <v>205</v>
      </c>
      <c r="C5" s="610"/>
      <c r="G5" s="304" t="s">
        <v>402</v>
      </c>
      <c r="H5" s="304" t="s">
        <v>403</v>
      </c>
      <c r="J5" s="627" t="s">
        <v>404</v>
      </c>
    </row>
    <row r="6" spans="1:10">
      <c r="A6" s="386">
        <v>302</v>
      </c>
      <c r="B6" s="379" t="s">
        <v>192</v>
      </c>
      <c r="C6" s="610">
        <f t="array" ref="C6">INDEX('[6]Rate Base'!$H$10:$H$143,MATCH(1,(A6='[6]Rate Base'!$D$10:$D$143)*(B6='[6]Rate Base'!$E$10:$E$143),0))</f>
        <v>349890.09</v>
      </c>
      <c r="G6" s="304">
        <f>VLOOKUP('[6]Rate Base'!D11,$A$6:$A$134,1,FALSE)</f>
        <v>302</v>
      </c>
      <c r="H6" s="304" t="str">
        <f>VLOOKUP(G6,'[6]Rate Base'!$D$9:$E$143,2,FALSE)</f>
        <v>Franchises and Consents</v>
      </c>
      <c r="J6" s="304">
        <f>VLOOKUP(A6,'[6]Rate Base'!$D$9:$D$143,1,FALSE)</f>
        <v>302</v>
      </c>
    </row>
    <row r="7" spans="1:10">
      <c r="A7" s="386">
        <v>303</v>
      </c>
      <c r="B7" s="379" t="s">
        <v>241</v>
      </c>
      <c r="C7" s="610">
        <f t="array" ref="C7">INDEX('[6]Rate Base'!$H$10:$H$143,MATCH(1,(A7='[6]Rate Base'!$D$10:$D$143)*(B7='[6]Rate Base'!$E$10:$E$143),0))</f>
        <v>1446736.34</v>
      </c>
      <c r="G7" s="304">
        <f>VLOOKUP('[6]Rate Base'!D12,$A$6:$A$134,1,FALSE)</f>
        <v>303</v>
      </c>
      <c r="H7" s="304" t="str">
        <f>VLOOKUP(G7,'[6]Rate Base'!$D$9:$E$143,2,FALSE)</f>
        <v>Misc. Intangible Plant</v>
      </c>
      <c r="J7" s="304">
        <f>VLOOKUP(A7,'[6]Rate Base'!$D$9:$D$143,1,FALSE)</f>
        <v>303</v>
      </c>
    </row>
    <row r="8" spans="1:10">
      <c r="A8" s="386"/>
      <c r="B8" s="593" t="s">
        <v>75</v>
      </c>
      <c r="C8" s="609">
        <f>SUM(C6:C7)</f>
        <v>1796626.4300000002</v>
      </c>
    </row>
    <row r="9" spans="1:10">
      <c r="A9" s="386"/>
      <c r="B9" s="588"/>
      <c r="C9" s="608"/>
      <c r="G9" s="304">
        <f>VLOOKUP('[6]Rate Base'!D16,$A$6:$A$134,1,FALSE)</f>
        <v>365</v>
      </c>
      <c r="H9" s="304" t="str">
        <f>VLOOKUP(G9,'[6]Rate Base'!$D$9:$E$143,2,FALSE)</f>
        <v>Land and Land Rights</v>
      </c>
    </row>
    <row r="10" spans="1:10">
      <c r="A10" s="440"/>
      <c r="B10" s="377" t="s">
        <v>207</v>
      </c>
      <c r="C10" s="624"/>
      <c r="G10" s="304">
        <f>VLOOKUP('[6]Rate Base'!D17,$A$6:$A$134,1,FALSE)</f>
        <v>366</v>
      </c>
      <c r="H10" s="304" t="str">
        <f>VLOOKUP(G10,'[6]Rate Base'!$D$9:$E$143,2,FALSE)</f>
        <v>Structures &amp; Improvements</v>
      </c>
    </row>
    <row r="11" spans="1:10">
      <c r="A11" s="386">
        <v>365</v>
      </c>
      <c r="B11" s="379" t="s">
        <v>81</v>
      </c>
      <c r="C11" s="610">
        <f t="array" ref="C11">INDEX('[6]Rate Base'!$H$10:$H$143,MATCH(1,(A11='[6]Rate Base'!$D$10:$D$143)*(B11='[6]Rate Base'!$E$10:$E$143),0))</f>
        <v>88132.220000000016</v>
      </c>
      <c r="G11" s="304">
        <f>VLOOKUP('[6]Rate Base'!D18,$A$6:$A$134,1,FALSE)</f>
        <v>367</v>
      </c>
      <c r="H11" s="304" t="str">
        <f>VLOOKUP(G11,'[6]Rate Base'!$D$9:$E$143,2,FALSE)</f>
        <v>Mains</v>
      </c>
      <c r="J11" s="304">
        <f>VLOOKUP(A11,'[6]Rate Base'!$D$9:$D$143,1,FALSE)</f>
        <v>365</v>
      </c>
    </row>
    <row r="12" spans="1:10">
      <c r="A12" s="386">
        <v>366</v>
      </c>
      <c r="B12" s="379" t="s">
        <v>82</v>
      </c>
      <c r="C12" s="610">
        <f t="array" ref="C12">INDEX('[6]Rate Base'!$H$10:$H$143,MATCH(1,(A12='[6]Rate Base'!$D$10:$D$143)*(B12='[6]Rate Base'!$E$10:$E$143),0))</f>
        <v>20699.02</v>
      </c>
      <c r="G12" s="304">
        <f>VLOOKUP('[6]Rate Base'!D19,$A$6:$A$134,1,FALSE)</f>
        <v>369</v>
      </c>
      <c r="H12" s="304" t="str">
        <f>VLOOKUP(G12,'[6]Rate Base'!$D$9:$E$143,2,FALSE)</f>
        <v>Measuring and Regulating Station Equipment</v>
      </c>
      <c r="J12" s="304">
        <f>VLOOKUP(A12,'[6]Rate Base'!$D$9:$D$143,1,FALSE)</f>
        <v>366</v>
      </c>
    </row>
    <row r="13" spans="1:10">
      <c r="A13" s="386">
        <v>367</v>
      </c>
      <c r="B13" s="379" t="s">
        <v>83</v>
      </c>
      <c r="C13" s="610">
        <f t="array" ref="C13">INDEX('[6]Rate Base'!$H$10:$H$143,MATCH(1,(A13='[6]Rate Base'!$D$10:$D$143)*(B13='[6]Rate Base'!$E$10:$E$143),0))</f>
        <v>17814114.489999995</v>
      </c>
      <c r="G13" s="304">
        <f>VLOOKUP('[6]Rate Base'!D20,$A$6:$A$134,1,FALSE)</f>
        <v>371</v>
      </c>
      <c r="H13" s="304" t="str">
        <f>VLOOKUP(G13,'[6]Rate Base'!$D$9:$E$143,2,FALSE)</f>
        <v>Other Equipment</v>
      </c>
      <c r="J13" s="304">
        <f>VLOOKUP(A13,'[6]Rate Base'!$D$9:$D$143,1,FALSE)</f>
        <v>367</v>
      </c>
    </row>
    <row r="14" spans="1:10">
      <c r="A14" s="386">
        <v>369</v>
      </c>
      <c r="B14" s="379" t="s">
        <v>242</v>
      </c>
      <c r="C14" s="610">
        <f t="array" ref="C14">INDEX('[6]Rate Base'!$H$10:$H$143,MATCH(1,(A14='[6]Rate Base'!$D$10:$D$143)*(B14='[6]Rate Base'!$E$10:$E$143),0))</f>
        <v>868641.52000000048</v>
      </c>
      <c r="J14" s="304">
        <f>VLOOKUP(A14,'[6]Rate Base'!$D$9:$D$143,1,FALSE)</f>
        <v>369</v>
      </c>
    </row>
    <row r="15" spans="1:10">
      <c r="A15" s="385">
        <v>371</v>
      </c>
      <c r="B15" s="379" t="s">
        <v>98</v>
      </c>
      <c r="C15" s="610">
        <f t="array" ref="C15">INDEX('[6]Rate Base'!$H$10:$H$143,MATCH(1,(A15='[6]Rate Base'!$D$10:$D$143)*(B15='[6]Rate Base'!$E$10:$E$143),0))</f>
        <v>0</v>
      </c>
      <c r="J15" s="304">
        <f>VLOOKUP(A15,'[6]Rate Base'!$D$9:$D$143,1,FALSE)</f>
        <v>371</v>
      </c>
    </row>
    <row r="16" spans="1:10">
      <c r="A16" s="374"/>
      <c r="B16" s="593" t="s">
        <v>78</v>
      </c>
      <c r="C16" s="609">
        <f>SUM(C11:C15)</f>
        <v>18791587.249999993</v>
      </c>
      <c r="G16" s="304">
        <f>VLOOKUP('[6]Rate Base'!D28,$A$6:$A$134,1,FALSE)</f>
        <v>379</v>
      </c>
      <c r="H16" s="304" t="str">
        <f>VLOOKUP(G16,'[6]Rate Base'!$D$9:$E$143,2,FALSE)</f>
        <v>Measuring and Regulating Station Equipment-City</v>
      </c>
    </row>
    <row r="17" spans="1:10" customFormat="1" ht="15"/>
    <row r="18" spans="1:10">
      <c r="A18" s="374"/>
      <c r="B18" s="377" t="s">
        <v>80</v>
      </c>
      <c r="C18" s="620"/>
      <c r="G18" s="304">
        <f>VLOOKUP('[6]Rate Base'!D30,$A$6:$A$134,1,FALSE)</f>
        <v>381</v>
      </c>
      <c r="H18" s="304" t="str">
        <f>VLOOKUP(G18,'[6]Rate Base'!$D$9:$E$143,2,FALSE)</f>
        <v>Meters</v>
      </c>
    </row>
    <row r="19" spans="1:10">
      <c r="A19" s="385">
        <v>374</v>
      </c>
      <c r="B19" s="379" t="s">
        <v>81</v>
      </c>
      <c r="C19" s="610">
        <f t="array" ref="C19">INDEX('[6]Rate Base'!$H$10:$H$143,MATCH(1,(A19='[6]Rate Base'!$D$10:$D$143)*(B19='[6]Rate Base'!$E$10:$E$143),0))</f>
        <v>448524.97000000009</v>
      </c>
      <c r="D19" s="331"/>
      <c r="E19" s="323"/>
      <c r="G19" s="304">
        <f>VLOOKUP('[6]Rate Base'!D31,$A$6:$A$134,1,FALSE)</f>
        <v>382</v>
      </c>
      <c r="H19" s="304" t="str">
        <f>VLOOKUP(G19,'[6]Rate Base'!$D$9:$E$143,2,FALSE)</f>
        <v>Meter Installations</v>
      </c>
      <c r="J19" s="304">
        <f>VLOOKUP(A19,'[6]Rate Base'!$D$9:$D$143,1,FALSE)</f>
        <v>374</v>
      </c>
    </row>
    <row r="20" spans="1:10">
      <c r="A20" s="386">
        <f>+A19+1</f>
        <v>375</v>
      </c>
      <c r="B20" s="379" t="s">
        <v>82</v>
      </c>
      <c r="C20" s="610">
        <f t="array" ref="C20">INDEX('[6]Rate Base'!$H$10:$H$143,MATCH(1,(A20='[6]Rate Base'!$D$10:$D$143)*(B20='[6]Rate Base'!$E$10:$E$143),0))</f>
        <v>181967.05000000002</v>
      </c>
      <c r="D20" s="331"/>
      <c r="E20" s="323"/>
      <c r="G20" s="304">
        <f>VLOOKUP('[6]Rate Base'!D32,$A$6:$A$134,1,FALSE)</f>
        <v>383</v>
      </c>
      <c r="H20" s="304" t="str">
        <f>VLOOKUP(G20,'[6]Rate Base'!$D$9:$E$143,2,FALSE)</f>
        <v>House Regulators</v>
      </c>
      <c r="J20" s="304">
        <f>VLOOKUP(A20,'[6]Rate Base'!$D$9:$D$143,1,FALSE)</f>
        <v>375</v>
      </c>
    </row>
    <row r="21" spans="1:10">
      <c r="A21" s="386">
        <f>+A20+1</f>
        <v>376</v>
      </c>
      <c r="B21" s="379" t="s">
        <v>83</v>
      </c>
      <c r="C21" s="610">
        <f t="array" ref="C21">INDEX('[6]Rate Base'!$H$10:$H$143,MATCH(1,(A21='[6]Rate Base'!$D$10:$D$143)*(B21='[6]Rate Base'!$E$10:$E$143),0))</f>
        <v>242676757.6768555</v>
      </c>
      <c r="D21" s="331"/>
      <c r="E21" s="323"/>
      <c r="G21" s="304">
        <f>VLOOKUP('[6]Rate Base'!D33,$A$6:$A$134,1,FALSE)</f>
        <v>384</v>
      </c>
      <c r="H21" s="304" t="str">
        <f>VLOOKUP(G21,'[6]Rate Base'!$D$9:$E$143,2,FALSE)</f>
        <v>House Regulatory Installations</v>
      </c>
      <c r="J21" s="304">
        <f>VLOOKUP(A21,'[6]Rate Base'!$D$9:$D$143,1,FALSE)</f>
        <v>376</v>
      </c>
    </row>
    <row r="22" spans="1:10">
      <c r="A22" s="386">
        <v>378</v>
      </c>
      <c r="B22" s="379" t="s">
        <v>84</v>
      </c>
      <c r="C22" s="610">
        <f t="array" ref="C22">INDEX('[6]Rate Base'!$H$10:$H$143,MATCH(1,(A22='[6]Rate Base'!$D$10:$D$143)*(B22='[6]Rate Base'!$E$10:$E$143),0))</f>
        <v>5189851.3</v>
      </c>
      <c r="D22" s="331"/>
      <c r="E22" s="323"/>
      <c r="G22" s="304">
        <f>VLOOKUP('[6]Rate Base'!D34,$A$6:$A$134,1,FALSE)</f>
        <v>385</v>
      </c>
      <c r="H22" s="304" t="str">
        <f>VLOOKUP(G22,'[6]Rate Base'!$D$9:$E$143,2,FALSE)</f>
        <v>Industrial Measuring Regulating Station Equipment</v>
      </c>
      <c r="J22" s="304">
        <f>VLOOKUP(A22,'[6]Rate Base'!$D$9:$D$143,1,FALSE)</f>
        <v>378</v>
      </c>
    </row>
    <row r="23" spans="1:10">
      <c r="A23" s="386">
        <f t="shared" ref="A23:A28" si="0">+A22+1</f>
        <v>379</v>
      </c>
      <c r="B23" s="379" t="s">
        <v>85</v>
      </c>
      <c r="C23" s="610">
        <f t="array" ref="C23">INDEX('[6]Rate Base'!$H$10:$H$143,MATCH(1,(A23='[6]Rate Base'!$D$10:$D$143)*(B23='[6]Rate Base'!$E$10:$E$143),0))</f>
        <v>4484164.9085957995</v>
      </c>
      <c r="D23" s="331"/>
      <c r="E23" s="323"/>
      <c r="G23" s="304">
        <f>VLOOKUP('[6]Rate Base'!D35,$A$6:$A$134,1,FALSE)</f>
        <v>387</v>
      </c>
      <c r="H23" s="304" t="str">
        <f>VLOOKUP(G23,'[6]Rate Base'!$D$9:$E$143,2,FALSE)</f>
        <v>Other Equipment</v>
      </c>
      <c r="J23" s="304">
        <f>VLOOKUP(A23,'[6]Rate Base'!$D$9:$D$143,1,FALSE)</f>
        <v>379</v>
      </c>
    </row>
    <row r="24" spans="1:10">
      <c r="A24" s="386">
        <f t="shared" si="0"/>
        <v>380</v>
      </c>
      <c r="B24" s="379" t="s">
        <v>86</v>
      </c>
      <c r="C24" s="610">
        <f t="array" ref="C24">INDEX('[6]Rate Base'!$H$10:$H$143,MATCH(1,(A24='[6]Rate Base'!$D$10:$D$143)*(B24='[6]Rate Base'!$E$10:$E$143),0))</f>
        <v>179843564.31000003</v>
      </c>
      <c r="D24" s="331"/>
      <c r="E24" s="323"/>
      <c r="J24" s="304">
        <f>VLOOKUP(A24,'[6]Rate Base'!$D$9:$D$143,1,FALSE)</f>
        <v>380</v>
      </c>
    </row>
    <row r="25" spans="1:10">
      <c r="A25" s="386">
        <f t="shared" si="0"/>
        <v>381</v>
      </c>
      <c r="B25" s="379" t="s">
        <v>88</v>
      </c>
      <c r="C25" s="610">
        <f t="array" ref="C25">INDEX('[6]Rate Base'!$H$10:$H$143,MATCH(1,(A25='[6]Rate Base'!$D$10:$D$143)*(B25='[6]Rate Base'!$E$10:$E$143),0))</f>
        <v>42960829.150000006</v>
      </c>
      <c r="D25" s="331"/>
      <c r="E25" s="323"/>
      <c r="J25" s="304">
        <f>VLOOKUP(A25,'[6]Rate Base'!$D$9:$D$143,1,FALSE)</f>
        <v>381</v>
      </c>
    </row>
    <row r="26" spans="1:10">
      <c r="A26" s="386">
        <f t="shared" si="0"/>
        <v>382</v>
      </c>
      <c r="B26" s="379" t="s">
        <v>90</v>
      </c>
      <c r="C26" s="610">
        <f t="array" ref="C26">INDEX('[6]Rate Base'!$H$10:$H$143,MATCH(1,(A26='[6]Rate Base'!$D$10:$D$143)*(B26='[6]Rate Base'!$E$10:$E$143),0))</f>
        <v>15735999.51</v>
      </c>
      <c r="D26" s="331"/>
      <c r="E26" s="323"/>
      <c r="J26" s="304">
        <f>VLOOKUP(A26,'[6]Rate Base'!$D$9:$D$143,1,FALSE)</f>
        <v>382</v>
      </c>
    </row>
    <row r="27" spans="1:10">
      <c r="A27" s="386">
        <f t="shared" si="0"/>
        <v>383</v>
      </c>
      <c r="B27" s="379" t="s">
        <v>92</v>
      </c>
      <c r="C27" s="610">
        <f t="array" ref="C27">INDEX('[6]Rate Base'!$H$10:$H$143,MATCH(1,(A27='[6]Rate Base'!$D$10:$D$143)*(B27='[6]Rate Base'!$E$10:$E$143),0))</f>
        <v>5257376.13</v>
      </c>
      <c r="D27" s="331"/>
      <c r="E27" s="323"/>
      <c r="G27" s="304">
        <f>VLOOKUP('[6]Rate Base'!D39,$A$6:$A$134,1,FALSE)</f>
        <v>389</v>
      </c>
      <c r="H27" s="304" t="str">
        <f>VLOOKUP(G27,'[6]Rate Base'!$D$9:$E$143,2,FALSE)</f>
        <v>Land &amp; Land Rights</v>
      </c>
      <c r="J27" s="304">
        <f>VLOOKUP(A27,'[6]Rate Base'!$D$9:$D$143,1,FALSE)</f>
        <v>383</v>
      </c>
    </row>
    <row r="28" spans="1:10">
      <c r="A28" s="386">
        <f t="shared" si="0"/>
        <v>384</v>
      </c>
      <c r="B28" s="379" t="s">
        <v>94</v>
      </c>
      <c r="C28" s="610">
        <f t="array" ref="C28">INDEX('[6]Rate Base'!$H$10:$H$143,MATCH(1,(A28='[6]Rate Base'!$D$10:$D$143)*(B28='[6]Rate Base'!$E$10:$E$143),0))</f>
        <v>4523983.3899999997</v>
      </c>
      <c r="D28" s="331"/>
      <c r="E28" s="323"/>
      <c r="G28" s="304">
        <f>VLOOKUP('[6]Rate Base'!D40,$A$6:$A$134,1,FALSE)</f>
        <v>390</v>
      </c>
      <c r="H28" s="304" t="str">
        <f>VLOOKUP(G28,'[6]Rate Base'!$D$9:$E$143,2,FALSE)</f>
        <v>Structures &amp; Improvements</v>
      </c>
      <c r="J28" s="304">
        <f>VLOOKUP(A28,'[6]Rate Base'!$D$9:$D$143,1,FALSE)</f>
        <v>384</v>
      </c>
    </row>
    <row r="29" spans="1:10">
      <c r="A29" s="386">
        <v>385</v>
      </c>
      <c r="B29" s="379" t="s">
        <v>96</v>
      </c>
      <c r="C29" s="610">
        <f t="array" ref="C29">INDEX('[6]Rate Base'!$H$10:$H$143,MATCH(1,(A29='[6]Rate Base'!$D$10:$D$143)*(B29='[6]Rate Base'!$E$10:$E$143),0))</f>
        <v>2736981.55</v>
      </c>
      <c r="D29" s="331"/>
      <c r="E29" s="323"/>
      <c r="G29" s="304">
        <f>VLOOKUP('[6]Rate Base'!D41,$A$6:$A$134,1,FALSE)</f>
        <v>391</v>
      </c>
      <c r="H29" s="304" t="str">
        <f>VLOOKUP(G29,'[6]Rate Base'!$D$9:$E$143,2,FALSE)</f>
        <v>Office Furniture and Equipment</v>
      </c>
      <c r="J29" s="304">
        <f>VLOOKUP(A29,'[6]Rate Base'!$D$9:$D$143,1,FALSE)</f>
        <v>385</v>
      </c>
    </row>
    <row r="30" spans="1:10">
      <c r="A30" s="386">
        <v>387</v>
      </c>
      <c r="B30" s="379" t="s">
        <v>98</v>
      </c>
      <c r="C30" s="610">
        <f t="array" ref="C30">INDEX('[6]Rate Base'!$H$10:$H$143,MATCH(1,(A30='[6]Rate Base'!$D$10:$D$143)*(B30='[6]Rate Base'!$E$10:$E$143),0))</f>
        <v>2047314.92</v>
      </c>
      <c r="D30" s="331"/>
      <c r="E30" s="323"/>
      <c r="G30" s="304">
        <f>VLOOKUP('[6]Rate Base'!D42,$A$6:$A$134,1,FALSE)</f>
        <v>392</v>
      </c>
      <c r="H30" s="304" t="str">
        <f>VLOOKUP(G30,'[6]Rate Base'!$D$9:$E$143,2,FALSE)</f>
        <v>Transportation Equipment</v>
      </c>
      <c r="J30" s="304">
        <f>VLOOKUP(A30,'[6]Rate Base'!$D$9:$D$143,1,FALSE)</f>
        <v>387</v>
      </c>
    </row>
    <row r="31" spans="1:10">
      <c r="A31" s="392"/>
      <c r="B31" s="593" t="s">
        <v>100</v>
      </c>
      <c r="C31" s="609">
        <f>SUM(C19:C30)</f>
        <v>506087314.86545134</v>
      </c>
      <c r="D31" s="331"/>
      <c r="E31" s="323"/>
      <c r="G31" s="304">
        <f>VLOOKUP('[6]Rate Base'!D43,$A$6:$A$134,1,FALSE)</f>
        <v>393</v>
      </c>
      <c r="H31" s="304" t="str">
        <f>VLOOKUP(G31,'[6]Rate Base'!$D$9:$E$143,2,FALSE)</f>
        <v>Stores Equipment</v>
      </c>
    </row>
    <row r="32" spans="1:10">
      <c r="A32" s="622"/>
      <c r="G32" s="304">
        <f>VLOOKUP('[6]Rate Base'!D44,$A$6:$A$134,1,FALSE)</f>
        <v>394</v>
      </c>
      <c r="H32" s="304" t="str">
        <f>VLOOKUP(G32,'[6]Rate Base'!$D$9:$E$143,2,FALSE)</f>
        <v>Tools, Shop and Garage Equipment</v>
      </c>
    </row>
    <row r="33" spans="1:10">
      <c r="A33" s="374"/>
      <c r="B33" s="377" t="s">
        <v>208</v>
      </c>
      <c r="C33" s="620"/>
    </row>
    <row r="34" spans="1:10">
      <c r="A34" s="386">
        <v>389</v>
      </c>
      <c r="B34" s="379" t="s">
        <v>244</v>
      </c>
      <c r="C34" s="610">
        <f t="array" ref="C34">INDEX('[6]Rate Base'!$H$10:$H$143,MATCH(1,(A34='[6]Rate Base'!$D$10:$D$143)*(B34='[6]Rate Base'!$E$10:$E$143),0))</f>
        <v>1381083.1600000001</v>
      </c>
      <c r="J34" s="304">
        <f>VLOOKUP(A34,'[6]Rate Base'!$D$9:$D$143,1,FALSE)</f>
        <v>389</v>
      </c>
    </row>
    <row r="35" spans="1:10">
      <c r="A35" s="386">
        <v>390</v>
      </c>
      <c r="B35" s="379" t="s">
        <v>82</v>
      </c>
      <c r="C35" s="610">
        <f t="array" ref="C35">INDEX('[6]Rate Base'!$H$10:$H$143,MATCH(1,(A35='[6]Rate Base'!$D$10:$D$143)*(B35='[6]Rate Base'!$E$10:$E$143),0))</f>
        <v>24503745.149999999</v>
      </c>
      <c r="J35" s="304">
        <f>VLOOKUP(A35,'[6]Rate Base'!$D$9:$D$143,1,FALSE)</f>
        <v>390</v>
      </c>
    </row>
    <row r="36" spans="1:10">
      <c r="A36" s="386">
        <v>391</v>
      </c>
      <c r="B36" s="379" t="s">
        <v>245</v>
      </c>
      <c r="C36" s="610">
        <f t="array" ref="C36">INDEX('[6]Rate Base'!$H$10:$H$143,MATCH(1,(A36='[6]Rate Base'!$D$10:$D$143)*(B36='[6]Rate Base'!$E$10:$E$143),0))</f>
        <v>5812745.9799999995</v>
      </c>
      <c r="G36" s="304">
        <f>VLOOKUP('[6]Rate Base'!D60,$A$6:$A$134,1,FALSE)</f>
        <v>302</v>
      </c>
      <c r="H36" s="304" t="str">
        <f>VLOOKUP(G36,'[6]Rate Base'!$D$9:$E$143,2,FALSE)</f>
        <v>Franchises and Consents</v>
      </c>
      <c r="J36" s="304">
        <f>VLOOKUP(A36,'[6]Rate Base'!$D$9:$D$143,1,FALSE)</f>
        <v>391</v>
      </c>
    </row>
    <row r="37" spans="1:10">
      <c r="A37" s="386">
        <v>392</v>
      </c>
      <c r="B37" s="379" t="s">
        <v>246</v>
      </c>
      <c r="C37" s="610">
        <f t="array" ref="C37">INDEX('[6]Rate Base'!$H$10:$H$143,MATCH(1,(A37='[6]Rate Base'!$D$10:$D$143)*(B37='[6]Rate Base'!$E$10:$E$143),0))</f>
        <v>17786454.300000001</v>
      </c>
      <c r="G37" s="304">
        <f>VLOOKUP('[6]Rate Base'!D61,$A$6:$A$134,1,FALSE)</f>
        <v>303</v>
      </c>
      <c r="H37" s="304" t="str">
        <f>VLOOKUP(G37,'[6]Rate Base'!$D$9:$E$143,2,FALSE)</f>
        <v>Misc. Intangible Plant</v>
      </c>
      <c r="J37" s="304">
        <f>VLOOKUP(A37,'[6]Rate Base'!$D$9:$D$143,1,FALSE)</f>
        <v>392</v>
      </c>
    </row>
    <row r="38" spans="1:10">
      <c r="A38" s="386">
        <v>393</v>
      </c>
      <c r="B38" s="379" t="s">
        <v>247</v>
      </c>
      <c r="C38" s="610">
        <f t="array" ref="C38">INDEX('[6]Rate Base'!$H$10:$H$143,MATCH(1,(A38='[6]Rate Base'!$D$10:$D$143)*(B38='[6]Rate Base'!$E$10:$E$143),0))</f>
        <v>333146.71000000002</v>
      </c>
      <c r="J38" s="304">
        <f>VLOOKUP(A38,'[6]Rate Base'!$D$9:$D$143,1,FALSE)</f>
        <v>393</v>
      </c>
    </row>
    <row r="39" spans="1:10">
      <c r="A39" s="386">
        <v>394</v>
      </c>
      <c r="B39" s="379" t="s">
        <v>248</v>
      </c>
      <c r="C39" s="610">
        <f t="array" ref="C39">INDEX('[6]Rate Base'!$H$10:$H$143,MATCH(1,(A39='[6]Rate Base'!$D$10:$D$143)*(B39='[6]Rate Base'!$E$10:$E$143),0))</f>
        <v>7175365.2899999991</v>
      </c>
      <c r="J39" s="304">
        <f>VLOOKUP(A39,'[6]Rate Base'!$D$9:$D$143,1,FALSE)</f>
        <v>394</v>
      </c>
    </row>
    <row r="40" spans="1:10">
      <c r="A40" s="386">
        <v>395</v>
      </c>
      <c r="B40" s="379" t="s">
        <v>249</v>
      </c>
      <c r="C40" s="610">
        <f t="array" ref="C40">INDEX('[6]Rate Base'!$H$10:$H$143,MATCH(1,(A40='[6]Rate Base'!$D$10:$D$143)*(B40='[6]Rate Base'!$E$10:$E$143),0))</f>
        <v>90479.96</v>
      </c>
      <c r="J40" s="304">
        <f>VLOOKUP(A40,'[6]Rate Base'!$D$9:$D$143,1,FALSE)</f>
        <v>395</v>
      </c>
    </row>
    <row r="41" spans="1:10">
      <c r="A41" s="386">
        <v>396</v>
      </c>
      <c r="B41" s="379" t="s">
        <v>250</v>
      </c>
      <c r="C41" s="610">
        <f t="array" ref="C41">INDEX('[6]Rate Base'!$H$10:$H$143,MATCH(1,(A41='[6]Rate Base'!$D$10:$D$143)*(B41='[6]Rate Base'!$E$10:$E$143),0))</f>
        <v>4069513.62</v>
      </c>
      <c r="J41" s="304">
        <f>VLOOKUP(A41,'[6]Rate Base'!$D$9:$D$143,1,FALSE)</f>
        <v>396</v>
      </c>
    </row>
    <row r="42" spans="1:10">
      <c r="A42" s="386">
        <v>397</v>
      </c>
      <c r="B42" s="379" t="s">
        <v>251</v>
      </c>
      <c r="C42" s="610">
        <f t="array" ref="C42">INDEX('[6]Rate Base'!$H$10:$H$143,MATCH(1,(A42='[6]Rate Base'!$D$10:$D$143)*(B42='[6]Rate Base'!$E$10:$E$143),0))</f>
        <v>4309880.47</v>
      </c>
      <c r="G42" s="304">
        <f>VLOOKUP('[6]Rate Base'!D66,$A$6:$A$134,1,FALSE)</f>
        <v>365</v>
      </c>
      <c r="H42" s="304" t="str">
        <f>VLOOKUP(G42,'[6]Rate Base'!$D$9:$E$143,2,FALSE)</f>
        <v>Land and Land Rights</v>
      </c>
      <c r="J42" s="304">
        <f>VLOOKUP(A42,'[6]Rate Base'!$D$9:$D$143,1,FALSE)</f>
        <v>397</v>
      </c>
    </row>
    <row r="43" spans="1:10">
      <c r="A43" s="386">
        <v>398</v>
      </c>
      <c r="B43" s="379" t="s">
        <v>252</v>
      </c>
      <c r="C43" s="610">
        <f t="array" ref="C43">INDEX('[6]Rate Base'!$H$10:$H$143,MATCH(1,(A43='[6]Rate Base'!$D$10:$D$143)*(B43='[6]Rate Base'!$E$10:$E$143),0))</f>
        <v>414872.4200000001</v>
      </c>
      <c r="G43" s="304">
        <f>VLOOKUP('[6]Rate Base'!D67,$A$6:$A$134,1,FALSE)</f>
        <v>366</v>
      </c>
      <c r="H43" s="304" t="str">
        <f>VLOOKUP(G43,'[6]Rate Base'!$D$9:$E$143,2,FALSE)</f>
        <v>Structures &amp; Improvements</v>
      </c>
      <c r="J43" s="304">
        <f>VLOOKUP(A43,'[6]Rate Base'!$D$9:$D$143,1,FALSE)</f>
        <v>398</v>
      </c>
    </row>
    <row r="44" spans="1:10">
      <c r="A44" s="622"/>
      <c r="B44" s="626" t="s">
        <v>102</v>
      </c>
      <c r="C44" s="609">
        <f>SUM(C34:C43)</f>
        <v>65877287.060000002</v>
      </c>
      <c r="G44" s="304">
        <f>VLOOKUP('[6]Rate Base'!D68,$A$6:$A$134,1,FALSE)</f>
        <v>367</v>
      </c>
      <c r="H44" s="304" t="str">
        <f>VLOOKUP(G44,'[6]Rate Base'!$D$9:$E$143,2,FALSE)</f>
        <v>Mains</v>
      </c>
    </row>
    <row r="45" spans="1:10">
      <c r="A45" s="622"/>
      <c r="B45" s="621"/>
      <c r="C45" s="610"/>
      <c r="G45" s="304">
        <f>VLOOKUP('[6]Rate Base'!D69,$A$6:$A$134,1,FALSE)</f>
        <v>369</v>
      </c>
      <c r="H45" s="304" t="str">
        <f>VLOOKUP(G45,'[6]Rate Base'!$D$9:$E$143,2,FALSE)</f>
        <v>Measuring and Regulating Station Equipment</v>
      </c>
    </row>
    <row r="46" spans="1:10" ht="15">
      <c r="A46" s="622"/>
      <c r="B46" s="619" t="s">
        <v>253</v>
      </c>
      <c r="C46" s="618"/>
      <c r="D46"/>
      <c r="E46"/>
      <c r="G46" s="304">
        <f>VLOOKUP('[6]Rate Base'!D70,$A$6:$A$134,1,FALSE)</f>
        <v>371</v>
      </c>
      <c r="H46" s="304" t="str">
        <f>VLOOKUP(G46,'[6]Rate Base'!$D$9:$E$143,2,FALSE)</f>
        <v>Other Equipment</v>
      </c>
    </row>
    <row r="47" spans="1:10" ht="15">
      <c r="A47" s="622"/>
      <c r="B47" s="616" t="s">
        <v>205</v>
      </c>
      <c r="C47" s="610">
        <f>C8</f>
        <v>1796626.4300000002</v>
      </c>
      <c r="D47"/>
      <c r="E47"/>
    </row>
    <row r="48" spans="1:10" ht="15">
      <c r="A48" s="622"/>
      <c r="B48" s="616" t="s">
        <v>207</v>
      </c>
      <c r="C48" s="610">
        <f>C16</f>
        <v>18791587.249999993</v>
      </c>
      <c r="D48"/>
      <c r="E48"/>
    </row>
    <row r="49" spans="1:10" ht="15">
      <c r="A49" s="622"/>
      <c r="B49" s="616" t="s">
        <v>80</v>
      </c>
      <c r="C49" s="610">
        <f>C31</f>
        <v>506087314.86545134</v>
      </c>
      <c r="D49"/>
      <c r="E49"/>
    </row>
    <row r="50" spans="1:10" ht="15">
      <c r="A50" s="622"/>
      <c r="B50" s="616" t="s">
        <v>208</v>
      </c>
      <c r="C50" s="610">
        <f>C44</f>
        <v>65877287.060000002</v>
      </c>
      <c r="D50"/>
      <c r="E50"/>
    </row>
    <row r="51" spans="1:10" ht="15.75" thickBot="1">
      <c r="A51" s="622"/>
      <c r="B51" s="614" t="s">
        <v>405</v>
      </c>
      <c r="C51" s="614">
        <f>SUM(C47:C50)</f>
        <v>592552815.60545135</v>
      </c>
      <c r="D51"/>
      <c r="E51"/>
      <c r="G51" s="304">
        <f>VLOOKUP('[6]Rate Base'!D75,$A$6:$A$134,1,FALSE)</f>
        <v>374.1</v>
      </c>
      <c r="H51" s="304" t="str">
        <f>VLOOKUP(G51,'[6]Rate Base'!$D$9:$E$143,2,FALSE)</f>
        <v>Land and Land Rights</v>
      </c>
    </row>
    <row r="52" spans="1:10" ht="12" thickTop="1">
      <c r="A52" s="622"/>
      <c r="B52" s="621"/>
      <c r="C52" s="610"/>
      <c r="G52" s="304">
        <f>VLOOKUP('[6]Rate Base'!D76,$A$6:$A$134,1,FALSE)</f>
        <v>375.1</v>
      </c>
      <c r="H52" s="304" t="str">
        <f>VLOOKUP(G52,'[6]Rate Base'!$D$9:$E$143,2,FALSE)</f>
        <v>Structures &amp; Improvements</v>
      </c>
    </row>
    <row r="53" spans="1:10">
      <c r="A53" s="382"/>
      <c r="B53" s="406" t="s">
        <v>406</v>
      </c>
      <c r="C53" s="625"/>
      <c r="G53" s="304">
        <f>VLOOKUP('[6]Rate Base'!D82,$A$6:$A$134,1,FALSE)</f>
        <v>382</v>
      </c>
      <c r="H53" s="304" t="str">
        <f>VLOOKUP(G53,'[6]Rate Base'!$D$9:$E$143,2,FALSE)</f>
        <v>Meter Installations</v>
      </c>
    </row>
    <row r="54" spans="1:10">
      <c r="A54" s="386"/>
      <c r="B54" s="377" t="s">
        <v>407</v>
      </c>
      <c r="C54" s="620"/>
      <c r="G54" s="304">
        <f>VLOOKUP('[6]Rate Base'!D83,$A$6:$A$134,1,FALSE)</f>
        <v>383</v>
      </c>
      <c r="H54" s="304" t="str">
        <f>VLOOKUP(G54,'[6]Rate Base'!$D$9:$E$143,2,FALSE)</f>
        <v>House Regulators</v>
      </c>
    </row>
    <row r="55" spans="1:10">
      <c r="A55" s="386">
        <v>302</v>
      </c>
      <c r="B55" s="379" t="s">
        <v>256</v>
      </c>
      <c r="C55" s="610">
        <f t="array" ref="C55">INDEX('[6]Rate Base'!$H$10:$H$143,MATCH(1,(A55='[6]Rate Base'!$D$10:$D$143)*(B55='[6]Rate Base'!$E$10:$E$143),0))</f>
        <v>80651.846724924166</v>
      </c>
      <c r="G55" s="304">
        <f>VLOOKUP('[6]Rate Base'!D84,$A$6:$A$134,1,FALSE)</f>
        <v>384</v>
      </c>
      <c r="H55" s="304" t="str">
        <f>VLOOKUP(G55,'[6]Rate Base'!$D$9:$E$143,2,FALSE)</f>
        <v>House Regulatory Installations</v>
      </c>
      <c r="J55" s="304">
        <f>VLOOKUP(A55,'[6]Rate Base'!$D$9:$D$143,1,FALSE)</f>
        <v>302</v>
      </c>
    </row>
    <row r="56" spans="1:10">
      <c r="A56" s="386">
        <v>303</v>
      </c>
      <c r="B56" s="379" t="s">
        <v>257</v>
      </c>
      <c r="C56" s="610">
        <f t="array" ref="C56">INDEX('[6]Rate Base'!$H$10:$H$143,MATCH(1,(A56='[6]Rate Base'!$D$10:$D$143)*(B56='[6]Rate Base'!$E$10:$E$143),0))</f>
        <v>297869.99</v>
      </c>
      <c r="G56" s="304">
        <f>VLOOKUP('[6]Rate Base'!D85,$A$6:$A$134,1,FALSE)</f>
        <v>385</v>
      </c>
      <c r="H56" s="304" t="str">
        <f>VLOOKUP(G56,'[6]Rate Base'!$D$9:$E$143,2,FALSE)</f>
        <v>Industrial Measuring Regulating Station Equipment</v>
      </c>
      <c r="J56" s="304">
        <f>VLOOKUP(A56,'[6]Rate Base'!$D$9:$D$143,1,FALSE)</f>
        <v>303</v>
      </c>
    </row>
    <row r="57" spans="1:10">
      <c r="A57" s="622"/>
      <c r="B57" s="621"/>
      <c r="C57" s="610"/>
      <c r="G57" s="304">
        <f>VLOOKUP('[6]Rate Base'!D86,$A$6:$A$134,1,FALSE)</f>
        <v>387</v>
      </c>
      <c r="H57" s="304" t="str">
        <f>VLOOKUP(G57,'[6]Rate Base'!$D$9:$E$143,2,FALSE)</f>
        <v>Other Equipment</v>
      </c>
    </row>
    <row r="58" spans="1:10">
      <c r="A58" s="386"/>
      <c r="B58" s="593" t="s">
        <v>408</v>
      </c>
      <c r="C58" s="609">
        <f>SUM(C55:C56)</f>
        <v>378521.83672492416</v>
      </c>
    </row>
    <row r="59" spans="1:10">
      <c r="A59" s="386"/>
      <c r="B59" s="377"/>
      <c r="C59" s="460"/>
    </row>
    <row r="60" spans="1:10">
      <c r="A60" s="440"/>
      <c r="B60" s="377" t="s">
        <v>409</v>
      </c>
      <c r="C60" s="624"/>
    </row>
    <row r="61" spans="1:10">
      <c r="A61" s="385">
        <v>365</v>
      </c>
      <c r="B61" s="379" t="s">
        <v>244</v>
      </c>
      <c r="C61" s="610">
        <f>'[6]Rate Base'!H66</f>
        <v>46426.032578184699</v>
      </c>
      <c r="G61" s="304">
        <f>VLOOKUP('[6]Rate Base'!D91,$A$6:$A$134,1,FALSE)</f>
        <v>389</v>
      </c>
      <c r="H61" s="304" t="str">
        <f>VLOOKUP(G61,'[6]Rate Base'!$D$9:$E$143,2,FALSE)</f>
        <v>Land &amp; Land Rights</v>
      </c>
      <c r="J61" s="304">
        <f>VLOOKUP(A61,'[6]Rate Base'!$D$9:$D$143,1,FALSE)</f>
        <v>365</v>
      </c>
    </row>
    <row r="62" spans="1:10">
      <c r="A62" s="385">
        <v>366</v>
      </c>
      <c r="B62" s="379" t="s">
        <v>82</v>
      </c>
      <c r="C62" s="610">
        <f>'[6]Rate Base'!H67</f>
        <v>8095.3994666966801</v>
      </c>
      <c r="G62" s="304">
        <f>VLOOKUP('[6]Rate Base'!D92,$A$6:$A$134,1,FALSE)</f>
        <v>390</v>
      </c>
      <c r="H62" s="304" t="str">
        <f>VLOOKUP(G62,'[6]Rate Base'!$D$9:$E$143,2,FALSE)</f>
        <v>Structures &amp; Improvements</v>
      </c>
      <c r="J62" s="304">
        <f>VLOOKUP(A62,'[6]Rate Base'!$D$9:$D$143,1,FALSE)</f>
        <v>366</v>
      </c>
    </row>
    <row r="63" spans="1:10">
      <c r="A63" s="385">
        <v>367</v>
      </c>
      <c r="B63" s="379" t="s">
        <v>83</v>
      </c>
      <c r="C63" s="610">
        <f>'[6]Rate Base'!H68</f>
        <v>8842569.5002335012</v>
      </c>
      <c r="G63" s="304">
        <f>VLOOKUP('[6]Rate Base'!D93,$A$6:$A$134,1,FALSE)</f>
        <v>391</v>
      </c>
      <c r="H63" s="304" t="str">
        <f>VLOOKUP(G63,'[6]Rate Base'!$D$9:$E$143,2,FALSE)</f>
        <v>Office Furniture and Equipment</v>
      </c>
      <c r="J63" s="304">
        <f>VLOOKUP(A63,'[6]Rate Base'!$D$9:$D$143,1,FALSE)</f>
        <v>367</v>
      </c>
    </row>
    <row r="64" spans="1:10">
      <c r="A64" s="385">
        <v>369</v>
      </c>
      <c r="B64" s="379" t="s">
        <v>259</v>
      </c>
      <c r="C64" s="610">
        <f>'[6]Rate Base'!H69</f>
        <v>783405.53523846227</v>
      </c>
      <c r="G64" s="304">
        <f>VLOOKUP('[6]Rate Base'!D94,$A$6:$A$134,1,FALSE)</f>
        <v>392</v>
      </c>
      <c r="H64" s="304" t="str">
        <f>VLOOKUP(G64,'[6]Rate Base'!$D$9:$E$143,2,FALSE)</f>
        <v>Transportation Equipment</v>
      </c>
      <c r="J64" s="304">
        <f>VLOOKUP(A64,'[6]Rate Base'!$D$9:$D$143,1,FALSE)</f>
        <v>369</v>
      </c>
    </row>
    <row r="65" spans="1:10">
      <c r="A65" s="385">
        <v>371</v>
      </c>
      <c r="B65" s="379" t="s">
        <v>98</v>
      </c>
      <c r="C65" s="610">
        <f>'[6]Rate Base'!H70</f>
        <v>9251.5862531429157</v>
      </c>
      <c r="G65" s="304">
        <f>VLOOKUP('[6]Rate Base'!D95,$A$6:$A$134,1,FALSE)</f>
        <v>393</v>
      </c>
      <c r="H65" s="304" t="str">
        <f>VLOOKUP(G65,'[6]Rate Base'!$D$9:$E$143,2,FALSE)</f>
        <v>Stores Equipment</v>
      </c>
      <c r="J65" s="304">
        <f>VLOOKUP(A65,'[6]Rate Base'!$D$9:$D$143,1,FALSE)</f>
        <v>371</v>
      </c>
    </row>
    <row r="66" spans="1:10" ht="12" thickBot="1">
      <c r="A66" s="390"/>
      <c r="B66" s="591" t="s">
        <v>410</v>
      </c>
      <c r="C66" s="606">
        <f>SUM(C61:C65)</f>
        <v>9689748.0537699871</v>
      </c>
    </row>
    <row r="67" spans="1:10" ht="12" thickTop="1">
      <c r="A67" s="374"/>
      <c r="B67" s="377"/>
      <c r="C67" s="460"/>
    </row>
    <row r="68" spans="1:10">
      <c r="A68" s="374"/>
      <c r="B68" s="377" t="s">
        <v>411</v>
      </c>
      <c r="C68" s="620"/>
    </row>
    <row r="69" spans="1:10">
      <c r="A69" s="386">
        <v>374.1</v>
      </c>
      <c r="B69" s="379" t="s">
        <v>81</v>
      </c>
      <c r="C69" s="610">
        <f t="array" ref="C69">INDEX('[6]Rate Base'!$H$10:$H$143,MATCH(1,(A69='[6]Rate Base'!$D$10:$D$143)*(B69='[6]Rate Base'!$E$10:$E$143),0))</f>
        <v>-92336.965428911208</v>
      </c>
      <c r="D69" s="331"/>
      <c r="E69" s="323"/>
      <c r="J69" s="623">
        <f>VLOOKUP(A69,'[6]Rate Base'!$D$9:$D$143,1,FALSE)</f>
        <v>374.1</v>
      </c>
    </row>
    <row r="70" spans="1:10">
      <c r="A70" s="386">
        <f>+A69+1</f>
        <v>375.1</v>
      </c>
      <c r="B70" s="379" t="s">
        <v>82</v>
      </c>
      <c r="C70" s="610">
        <f t="array" ref="C70">INDEX('[6]Rate Base'!$H$10:$H$143,MATCH(1,(A70='[6]Rate Base'!$D$10:$D$143)*(B70='[6]Rate Base'!$E$10:$E$143),0))</f>
        <v>22598.333404365083</v>
      </c>
      <c r="D70" s="331"/>
      <c r="E70" s="323"/>
      <c r="G70" s="304">
        <f>VLOOKUP('[6]Rate Base'!D105,$A$6:$A$134,1,FALSE)</f>
        <v>115</v>
      </c>
      <c r="H70" s="304" t="s">
        <v>264</v>
      </c>
      <c r="J70" s="623">
        <f>VLOOKUP(A70,'[6]Rate Base'!$D$9:$D$143,1,FALSE)</f>
        <v>375.1</v>
      </c>
    </row>
    <row r="71" spans="1:10">
      <c r="A71" s="386">
        <f>+A70+1</f>
        <v>376.1</v>
      </c>
      <c r="B71" s="379" t="s">
        <v>83</v>
      </c>
      <c r="C71" s="610">
        <f t="array" ref="C71">INDEX('[6]Rate Base'!$H$10:$H$143,MATCH(1,(A71='[6]Rate Base'!$D$10:$D$143)*(B71='[6]Rate Base'!$E$10:$E$143),0))</f>
        <v>101785637.01979342</v>
      </c>
      <c r="D71" s="331"/>
      <c r="E71" s="323"/>
      <c r="G71" s="304">
        <f>VLOOKUP('[6]Rate Base'!D106,$A$6:$A$134,1,FALSE)</f>
        <v>115</v>
      </c>
      <c r="H71" s="304" t="s">
        <v>265</v>
      </c>
      <c r="J71" s="623">
        <f>VLOOKUP(A71,'[6]Rate Base'!$D$9:$D$143,1,FALSE)</f>
        <v>376.1</v>
      </c>
    </row>
    <row r="72" spans="1:10">
      <c r="A72" s="386">
        <v>378</v>
      </c>
      <c r="B72" s="379" t="s">
        <v>84</v>
      </c>
      <c r="C72" s="610">
        <f>'[6]Rate Base'!$H$78</f>
        <v>2284171.1606795238</v>
      </c>
      <c r="D72" s="331"/>
      <c r="E72" s="323"/>
      <c r="G72" s="304">
        <f>VLOOKUP('[6]Rate Base'!D107,$A$6:$A$134,1,FALSE)</f>
        <v>115</v>
      </c>
      <c r="H72" s="304" t="s">
        <v>266</v>
      </c>
      <c r="J72" s="304">
        <f>VLOOKUP(A72,'[6]Rate Base'!$D$9:$D$143,1,FALSE)</f>
        <v>378</v>
      </c>
    </row>
    <row r="73" spans="1:10">
      <c r="A73" s="386">
        <f t="shared" ref="A73:A78" si="1">+A72+1</f>
        <v>379</v>
      </c>
      <c r="B73" s="379" t="s">
        <v>85</v>
      </c>
      <c r="C73" s="610">
        <f>'[6]Rate Base'!$H$79</f>
        <v>1501138.1757369672</v>
      </c>
      <c r="D73" s="331"/>
      <c r="E73" s="323"/>
      <c r="G73" s="304">
        <f>VLOOKUP('[6]Rate Base'!D108,$A$6:$A$134,1,FALSE)</f>
        <v>115</v>
      </c>
      <c r="H73" s="304" t="s">
        <v>267</v>
      </c>
      <c r="J73" s="304">
        <f>VLOOKUP(A73,'[6]Rate Base'!$D$9:$D$143,1,FALSE)</f>
        <v>379</v>
      </c>
    </row>
    <row r="74" spans="1:10">
      <c r="A74" s="386">
        <f t="shared" si="1"/>
        <v>380</v>
      </c>
      <c r="B74" s="379" t="s">
        <v>86</v>
      </c>
      <c r="C74" s="610">
        <f>'[6]Rate Base'!$H$80</f>
        <v>74196129.296303719</v>
      </c>
      <c r="D74" s="331"/>
      <c r="E74" s="323"/>
      <c r="J74" s="304">
        <f>VLOOKUP(A74,'[6]Rate Base'!$D$9:$D$143,1,FALSE)</f>
        <v>380</v>
      </c>
    </row>
    <row r="75" spans="1:10">
      <c r="A75" s="386">
        <f t="shared" si="1"/>
        <v>381</v>
      </c>
      <c r="B75" s="379" t="s">
        <v>88</v>
      </c>
      <c r="C75" s="610">
        <f>'[6]Rate Base'!$H$81</f>
        <v>7955789.7595603261</v>
      </c>
      <c r="D75" s="331"/>
      <c r="E75" s="323"/>
      <c r="J75" s="304">
        <f>VLOOKUP(A75,'[6]Rate Base'!$D$9:$D$143,1,FALSE)</f>
        <v>381</v>
      </c>
    </row>
    <row r="76" spans="1:10">
      <c r="A76" s="386">
        <f t="shared" si="1"/>
        <v>382</v>
      </c>
      <c r="B76" s="379" t="s">
        <v>90</v>
      </c>
      <c r="C76" s="610">
        <f>'[6]Rate Base'!H82</f>
        <v>2202668.2624319443</v>
      </c>
      <c r="D76" s="331"/>
      <c r="E76" s="323"/>
      <c r="J76" s="304">
        <f>VLOOKUP(A76,'[6]Rate Base'!$D$9:$D$143,1,FALSE)</f>
        <v>382</v>
      </c>
    </row>
    <row r="77" spans="1:10">
      <c r="A77" s="386">
        <f t="shared" si="1"/>
        <v>383</v>
      </c>
      <c r="B77" s="379" t="s">
        <v>92</v>
      </c>
      <c r="C77" s="610">
        <f>'[6]Rate Base'!H83</f>
        <v>2760214.253748354</v>
      </c>
      <c r="D77" s="331"/>
      <c r="E77" s="323"/>
      <c r="J77" s="304">
        <f>VLOOKUP(A77,'[6]Rate Base'!$D$9:$D$143,1,FALSE)</f>
        <v>383</v>
      </c>
    </row>
    <row r="78" spans="1:10">
      <c r="A78" s="386">
        <f t="shared" si="1"/>
        <v>384</v>
      </c>
      <c r="B78" s="379" t="s">
        <v>109</v>
      </c>
      <c r="C78" s="610">
        <f>'[6]Rate Base'!H84</f>
        <v>1602310.7255132014</v>
      </c>
      <c r="D78" s="331"/>
      <c r="E78" s="323"/>
      <c r="J78" s="304">
        <f>VLOOKUP(A78,'[6]Rate Base'!$D$9:$D$143,1,FALSE)</f>
        <v>384</v>
      </c>
    </row>
    <row r="79" spans="1:10">
      <c r="A79" s="386">
        <v>385</v>
      </c>
      <c r="B79" s="379" t="s">
        <v>96</v>
      </c>
      <c r="C79" s="610">
        <f>'[6]Rate Base'!H85</f>
        <v>1086037.8183738508</v>
      </c>
      <c r="D79" s="331"/>
      <c r="E79" s="323"/>
      <c r="J79" s="304">
        <f>VLOOKUP(A79,'[6]Rate Base'!$D$9:$D$143,1,FALSE)</f>
        <v>385</v>
      </c>
    </row>
    <row r="80" spans="1:10">
      <c r="A80" s="386">
        <v>387</v>
      </c>
      <c r="B80" s="379" t="s">
        <v>98</v>
      </c>
      <c r="C80" s="610">
        <f>'[6]Rate Base'!H86</f>
        <v>1443407.5796437112</v>
      </c>
      <c r="D80" s="331"/>
      <c r="E80" s="323"/>
      <c r="J80" s="304">
        <f>VLOOKUP(A80,'[6]Rate Base'!$D$9:$D$143,1,FALSE)</f>
        <v>387</v>
      </c>
    </row>
    <row r="81" spans="1:10">
      <c r="A81" s="392"/>
      <c r="B81" s="621"/>
      <c r="C81" s="610"/>
      <c r="D81" s="331"/>
      <c r="F81" s="331"/>
    </row>
    <row r="82" spans="1:10">
      <c r="A82" s="622"/>
      <c r="B82" s="593" t="s">
        <v>412</v>
      </c>
      <c r="C82" s="609">
        <f>SUM(C69:C80)</f>
        <v>196747765.41976047</v>
      </c>
      <c r="E82" s="323"/>
    </row>
    <row r="83" spans="1:10">
      <c r="A83" s="622"/>
      <c r="B83" s="621"/>
      <c r="C83" s="610"/>
    </row>
    <row r="84" spans="1:10">
      <c r="A84" s="386"/>
      <c r="B84" s="377" t="s">
        <v>413</v>
      </c>
      <c r="C84" s="620"/>
      <c r="G84" s="304" t="str">
        <f>VLOOKUP('[6]Rate Base'!D119,$A$6:$A$134,1,FALSE)</f>
        <v>N/A</v>
      </c>
      <c r="H84" s="304" t="str">
        <f>VLOOKUP(G84,'[6]Rate Base'!$D$9:$E$143,2,FALSE)</f>
        <v>Cash Working Capital</v>
      </c>
    </row>
    <row r="85" spans="1:10">
      <c r="A85" s="386">
        <v>389</v>
      </c>
      <c r="B85" s="379" t="s">
        <v>244</v>
      </c>
      <c r="C85" s="610">
        <f>'[6]Rate Base'!$H$91</f>
        <v>53808.336261180128</v>
      </c>
      <c r="G85" s="304" t="str">
        <f>VLOOKUP('[6]Rate Base'!D120,$A$6:$A$134,1,FALSE)</f>
        <v>154/163</v>
      </c>
      <c r="H85" s="304" t="str">
        <f>VLOOKUP('[6]Rate Base'!$D$120,'[6]Rate Base'!$D$9:$E$143,2,FALSE)</f>
        <v>Materials &amp; Supplies</v>
      </c>
    </row>
    <row r="86" spans="1:10">
      <c r="A86" s="386">
        <v>390</v>
      </c>
      <c r="B86" s="379" t="s">
        <v>82</v>
      </c>
      <c r="C86" s="610">
        <f>'[6]Rate Base'!$H$92</f>
        <v>5018337.2304815482</v>
      </c>
      <c r="G86" s="304">
        <f>VLOOKUP('[6]Rate Base'!D121,$A$6:$A$134,1,FALSE)</f>
        <v>165</v>
      </c>
      <c r="H86" s="304" t="str">
        <f>VLOOKUP(G86,'[6]Rate Base'!$D$9:$E$143,2,FALSE)</f>
        <v>Prepayments</v>
      </c>
    </row>
    <row r="87" spans="1:10">
      <c r="A87" s="386">
        <v>391</v>
      </c>
      <c r="B87" s="379" t="s">
        <v>262</v>
      </c>
      <c r="C87" s="610">
        <f t="array" ref="C87">INDEX('[6]Rate Base'!$H$10:$H$143,MATCH(1,(A87='[6]Rate Base'!$D$10:$D$143)*(B87='[6]Rate Base'!$E$10:$E$143),0))</f>
        <v>2674621.9000000004</v>
      </c>
    </row>
    <row r="88" spans="1:10">
      <c r="A88" s="386">
        <v>392</v>
      </c>
      <c r="B88" s="379" t="s">
        <v>246</v>
      </c>
      <c r="C88" s="610">
        <f>'[6]Rate Base'!$H$94</f>
        <v>9526985.8599999994</v>
      </c>
    </row>
    <row r="89" spans="1:10">
      <c r="A89" s="386">
        <v>393</v>
      </c>
      <c r="B89" s="379" t="s">
        <v>247</v>
      </c>
      <c r="C89" s="610">
        <f>'[6]Rate Base'!$H$95</f>
        <v>164097.41788302996</v>
      </c>
    </row>
    <row r="90" spans="1:10">
      <c r="A90" s="386">
        <v>394</v>
      </c>
      <c r="B90" s="379" t="s">
        <v>248</v>
      </c>
      <c r="C90" s="610">
        <f>'[6]Rate Base'!$H$96</f>
        <v>2546006.1231774464</v>
      </c>
      <c r="G90" s="304">
        <f>VLOOKUP('[6]Rate Base'!D125,$A$6:$A$134,1,FALSE)</f>
        <v>252</v>
      </c>
      <c r="H90" s="304" t="str">
        <f>VLOOKUP(G90,'[6]Rate Base'!$D$9:$E$143,2,FALSE)</f>
        <v>Customer Advances for Construction</v>
      </c>
    </row>
    <row r="91" spans="1:10">
      <c r="A91" s="386">
        <v>395</v>
      </c>
      <c r="B91" s="379" t="s">
        <v>249</v>
      </c>
      <c r="C91" s="610">
        <f>'[6]Rate Base'!H97</f>
        <v>53093.94000000001</v>
      </c>
      <c r="G91" s="304">
        <f>VLOOKUP('[6]Rate Base'!D126,$A$6:$A$134,1,FALSE)</f>
        <v>235</v>
      </c>
      <c r="H91" s="304" t="str">
        <f>VLOOKUP(G91,'[6]Rate Base'!$D$9:$E$143,2,FALSE)</f>
        <v>Customer Deposits</v>
      </c>
    </row>
    <row r="92" spans="1:10">
      <c r="A92" s="386">
        <v>396</v>
      </c>
      <c r="B92" s="379" t="s">
        <v>250</v>
      </c>
      <c r="C92" s="610">
        <f>'[6]Rate Base'!H98</f>
        <v>1864718.65</v>
      </c>
    </row>
    <row r="93" spans="1:10">
      <c r="A93" s="386">
        <v>397</v>
      </c>
      <c r="B93" s="379" t="s">
        <v>251</v>
      </c>
      <c r="C93" s="610">
        <f>'[6]Rate Base'!H99</f>
        <v>1508713.8800000001</v>
      </c>
    </row>
    <row r="94" spans="1:10">
      <c r="A94" s="386">
        <v>398</v>
      </c>
      <c r="B94" s="379" t="s">
        <v>252</v>
      </c>
      <c r="C94" s="610">
        <f>'[6]Rate Base'!H100</f>
        <v>285726.95542065043</v>
      </c>
    </row>
    <row r="96" spans="1:10">
      <c r="B96" s="593" t="s">
        <v>414</v>
      </c>
      <c r="C96" s="609">
        <f>SUM(C85:C94)</f>
        <v>23696110.293223854</v>
      </c>
      <c r="J96" s="304">
        <f>VLOOKUP(A85,'[6]Rate Base'!$D$9:$D$143,1,FALSE)</f>
        <v>389</v>
      </c>
    </row>
    <row r="97" spans="1:10">
      <c r="J97" s="304">
        <f>VLOOKUP(A86,'[6]Rate Base'!$D$9:$D$143,1,FALSE)</f>
        <v>390</v>
      </c>
    </row>
    <row r="98" spans="1:10">
      <c r="A98" s="386"/>
      <c r="B98" s="377" t="s">
        <v>415</v>
      </c>
      <c r="C98" s="478"/>
      <c r="G98" s="304">
        <f>VLOOKUP('[6]Rate Base'!D133,$A$6:$A$134,1,FALSE)</f>
        <v>182.3</v>
      </c>
      <c r="H98" s="304" t="str">
        <f>VLOOKUP(G98,'[6]Rate Base'!$D$9:$E$143,2,FALSE)</f>
        <v>Regulatory Assets</v>
      </c>
      <c r="J98" s="304">
        <f>VLOOKUP(A87,'[6]Rate Base'!$D$9:$D$143,1,FALSE)</f>
        <v>391</v>
      </c>
    </row>
    <row r="99" spans="1:10">
      <c r="A99" s="386">
        <v>115</v>
      </c>
      <c r="B99" s="379" t="s">
        <v>264</v>
      </c>
      <c r="C99" s="478">
        <f>C58</f>
        <v>378521.83672492416</v>
      </c>
      <c r="G99" s="304">
        <f>VLOOKUP('[6]Rate Base'!D134,$A$6:$A$134,1,FALSE)</f>
        <v>254</v>
      </c>
      <c r="H99" s="304" t="str">
        <f>VLOOKUP('[6]Rate Base'!$D$134,'[6]Rate Base'!$D$9:$E$143,2,FALSE)</f>
        <v>Regulatory Liabilities</v>
      </c>
      <c r="J99" s="304">
        <f>VLOOKUP(A88,'[6]Rate Base'!$D$9:$D$143,1,FALSE)</f>
        <v>392</v>
      </c>
    </row>
    <row r="100" spans="1:10">
      <c r="A100" s="386">
        <v>115</v>
      </c>
      <c r="B100" s="379" t="s">
        <v>265</v>
      </c>
      <c r="C100" s="478">
        <f>C66</f>
        <v>9689748.0537699871</v>
      </c>
      <c r="J100" s="304">
        <f>VLOOKUP(A89,'[6]Rate Base'!$D$9:$D$143,1,FALSE)</f>
        <v>393</v>
      </c>
    </row>
    <row r="101" spans="1:10">
      <c r="A101" s="386">
        <v>115</v>
      </c>
      <c r="B101" s="381" t="s">
        <v>266</v>
      </c>
      <c r="C101" s="478">
        <f>C82</f>
        <v>196747765.41976047</v>
      </c>
      <c r="J101" s="304">
        <f>VLOOKUP(A90,'[6]Rate Base'!$D$9:$D$143,1,FALSE)</f>
        <v>394</v>
      </c>
    </row>
    <row r="102" spans="1:10">
      <c r="A102" s="386">
        <v>115</v>
      </c>
      <c r="B102" s="379" t="s">
        <v>267</v>
      </c>
      <c r="C102" s="478">
        <f>C96</f>
        <v>23696110.293223854</v>
      </c>
      <c r="J102" s="304">
        <f>VLOOKUP(A91,'[6]Rate Base'!$D$9:$D$143,1,FALSE)</f>
        <v>395</v>
      </c>
    </row>
    <row r="103" spans="1:10" ht="12" thickBot="1">
      <c r="A103" s="374"/>
      <c r="B103" s="591" t="s">
        <v>416</v>
      </c>
      <c r="C103" s="606">
        <f>SUM(C99:C102)</f>
        <v>230512145.60347924</v>
      </c>
      <c r="G103" s="304">
        <f>VLOOKUP('[6]Rate Base'!D138,$A$6:$A$134,1,FALSE)</f>
        <v>190</v>
      </c>
      <c r="H103" s="304" t="str">
        <f>VLOOKUP(G103,'[6]Rate Base'!$D$9:$E$143,2,FALSE)</f>
        <v>ADIT</v>
      </c>
      <c r="J103" s="304">
        <f>VLOOKUP(A92,'[6]Rate Base'!$D$9:$D$143,1,FALSE)</f>
        <v>396</v>
      </c>
    </row>
    <row r="104" spans="1:10" ht="12" thickTop="1">
      <c r="G104" s="304">
        <f>VLOOKUP('[6]Rate Base'!D139,$A$6:$A$134,1,FALSE)</f>
        <v>282</v>
      </c>
      <c r="H104" s="304" t="str">
        <f>VLOOKUP(G104,'[6]Rate Base'!$D$9:$E$143,2,FALSE)</f>
        <v>ADIT - Other Property</v>
      </c>
      <c r="J104" s="304">
        <f>VLOOKUP(A93,'[6]Rate Base'!$D$9:$D$143,1,FALSE)</f>
        <v>397</v>
      </c>
    </row>
    <row r="105" spans="1:10" ht="12.75">
      <c r="B105" s="619" t="s">
        <v>417</v>
      </c>
      <c r="C105" s="618"/>
    </row>
    <row r="106" spans="1:10" ht="12.75">
      <c r="B106" s="616" t="s">
        <v>205</v>
      </c>
      <c r="C106" s="615">
        <f>+C47-C99</f>
        <v>1418104.593275076</v>
      </c>
    </row>
    <row r="107" spans="1:10" ht="12.75">
      <c r="B107" s="616" t="s">
        <v>207</v>
      </c>
      <c r="C107" s="615">
        <f>+C48-C100</f>
        <v>9101839.1962300055</v>
      </c>
    </row>
    <row r="108" spans="1:10" ht="12.75">
      <c r="B108" s="617" t="s">
        <v>80</v>
      </c>
      <c r="C108" s="615">
        <f>+C49-C101</f>
        <v>309339549.44569087</v>
      </c>
    </row>
    <row r="109" spans="1:10" ht="12.75">
      <c r="B109" s="616" t="s">
        <v>208</v>
      </c>
      <c r="C109" s="615">
        <f>+C50-C102</f>
        <v>42181176.766776145</v>
      </c>
    </row>
    <row r="110" spans="1:10" ht="13.5" thickBot="1">
      <c r="B110" s="614" t="s">
        <v>418</v>
      </c>
      <c r="C110" s="613">
        <f>SUM(C106:C109)</f>
        <v>362040670.00197208</v>
      </c>
      <c r="E110" s="331">
        <f>C110-'[6]Rate Base'!$H$116</f>
        <v>0</v>
      </c>
    </row>
    <row r="111" spans="1:10" ht="12" thickTop="1"/>
    <row r="112" spans="1:10">
      <c r="A112" s="392"/>
      <c r="B112" s="377" t="s">
        <v>114</v>
      </c>
      <c r="C112" s="478"/>
    </row>
    <row r="113" spans="1:11">
      <c r="A113" s="390" t="s">
        <v>115</v>
      </c>
      <c r="B113" s="379" t="s">
        <v>16</v>
      </c>
      <c r="C113" s="610">
        <f t="array" ref="C113">INDEX('[6]Rate Base'!$H$10:$H$143,MATCH(1,(A113='[6]Rate Base'!$D$10:$D$143)*(B113='[6]Rate Base'!$E$10:$E$143),0))</f>
        <v>-5304562.0382017521</v>
      </c>
      <c r="J113" s="304" t="str">
        <f>VLOOKUP(A113,'[6]Rate Base'!$D$9:$D$143,1,FALSE)</f>
        <v>N/A</v>
      </c>
    </row>
    <row r="114" spans="1:11">
      <c r="A114" s="385" t="s">
        <v>270</v>
      </c>
      <c r="B114" s="379" t="s">
        <v>17</v>
      </c>
      <c r="C114" s="610">
        <f t="array" ref="C114">INDEX('[6]Rate Base'!$H$10:$H$143,MATCH(1,(A114='[6]Rate Base'!$D$10:$D$143)*(B114='[6]Rate Base'!$E$10:$E$143),0))</f>
        <v>2592782.7800000003</v>
      </c>
      <c r="J114" s="304" t="str">
        <f>VLOOKUP(A114,'[6]Rate Base'!$D$9:$D$143,1,FALSE)</f>
        <v>154/163</v>
      </c>
    </row>
    <row r="115" spans="1:11">
      <c r="A115" s="385">
        <v>165</v>
      </c>
      <c r="B115" s="381" t="s">
        <v>18</v>
      </c>
      <c r="C115" s="610">
        <f t="array" ref="C115">INDEX('[6]Rate Base'!$H$10:$H$143,MATCH(1,(A115='[6]Rate Base'!$D$10:$D$143)*(B115='[6]Rate Base'!$E$10:$E$143),0))</f>
        <v>485024.13</v>
      </c>
      <c r="J115" s="304">
        <f>VLOOKUP(A115,'[6]Rate Base'!$D$9:$D$143,1,FALSE)</f>
        <v>165</v>
      </c>
    </row>
    <row r="116" spans="1:11">
      <c r="A116" s="374"/>
      <c r="B116" s="589" t="s">
        <v>117</v>
      </c>
      <c r="C116" s="609">
        <f>SUM(C113:C115)</f>
        <v>-2226755.128201752</v>
      </c>
    </row>
    <row r="117" spans="1:11">
      <c r="A117" s="374"/>
      <c r="B117" s="387"/>
      <c r="C117" s="478"/>
    </row>
    <row r="118" spans="1:11">
      <c r="A118" s="386"/>
      <c r="B118" s="377" t="s">
        <v>118</v>
      </c>
      <c r="C118" s="478"/>
    </row>
    <row r="119" spans="1:11">
      <c r="A119" s="385">
        <v>252</v>
      </c>
      <c r="B119" s="381" t="s">
        <v>119</v>
      </c>
      <c r="C119" s="610">
        <f t="array" ref="C119">INDEX('[6]Rate Base'!$H$10:$H$143,MATCH(1,(A119='[6]Rate Base'!$D$10:$D$143)*(B119='[6]Rate Base'!$E$10:$E$143),0))</f>
        <v>-5445150</v>
      </c>
      <c r="J119" s="304">
        <f>VLOOKUP(A119,'[6]Rate Base'!$D$9:$D$143,1,FALSE)</f>
        <v>252</v>
      </c>
    </row>
    <row r="120" spans="1:11">
      <c r="A120" s="385">
        <v>235</v>
      </c>
      <c r="B120" s="381" t="s">
        <v>20</v>
      </c>
      <c r="C120" s="610">
        <f t="array" ref="C120">INDEX('[6]Rate Base'!$H$10:$H$143,MATCH(1,(A120='[6]Rate Base'!$D$10:$D$143)*(B120='[6]Rate Base'!$E$10:$E$143),0))</f>
        <v>-1598822.74</v>
      </c>
      <c r="E120" s="331"/>
      <c r="J120" s="304">
        <f>VLOOKUP(A120,'[6]Rate Base'!$D$9:$D$143,1,FALSE)</f>
        <v>235</v>
      </c>
    </row>
    <row r="121" spans="1:11">
      <c r="A121" s="374"/>
      <c r="B121" s="593" t="s">
        <v>121</v>
      </c>
      <c r="C121" s="609">
        <f>SUM(C119:C120)</f>
        <v>-7043972.7400000002</v>
      </c>
    </row>
    <row r="122" spans="1:11">
      <c r="A122" s="374"/>
      <c r="B122" s="588"/>
      <c r="C122" s="608"/>
    </row>
    <row r="123" spans="1:11" ht="12" thickBot="1">
      <c r="A123" s="374"/>
      <c r="B123" s="591" t="s">
        <v>271</v>
      </c>
      <c r="C123" s="612">
        <f>C110+C116+C121</f>
        <v>352769942.13377035</v>
      </c>
    </row>
    <row r="124" spans="1:11" ht="12" thickTop="1">
      <c r="A124" s="374"/>
      <c r="B124" s="377"/>
      <c r="C124" s="478"/>
    </row>
    <row r="125" spans="1:11">
      <c r="A125" s="374"/>
      <c r="B125" s="377" t="s">
        <v>122</v>
      </c>
      <c r="C125" s="478"/>
    </row>
    <row r="126" spans="1:11">
      <c r="A126" s="383"/>
      <c r="B126" s="381" t="s">
        <v>123</v>
      </c>
      <c r="C126" s="610">
        <f t="array" ref="C126">INDEX('[6]Rate Base'!$H$10:$H$143,MATCH(1,(A126='[6]Rate Base'!$D$10:$D$143)*(B126='[6]Rate Base'!$E$10:$E$143),0))</f>
        <v>0</v>
      </c>
      <c r="J126" s="304" t="e">
        <f>VLOOKUP(A126,'[6]Rate Base'!$D$9:$D$143,1,FALSE)</f>
        <v>#N/A</v>
      </c>
    </row>
    <row r="127" spans="1:11" ht="11.1" customHeight="1">
      <c r="A127" s="383">
        <v>182.3</v>
      </c>
      <c r="B127" s="381" t="s">
        <v>125</v>
      </c>
      <c r="C127" s="610">
        <f t="array" ref="C127">INDEX('[6]Rate Base'!$H$10:$H$143,MATCH(1,(A127='[6]Rate Base'!$D$10:$D$143)*(B127='[6]Rate Base'!$E$10:$E$143),0))</f>
        <v>1094518.56</v>
      </c>
      <c r="J127" s="304">
        <f>VLOOKUP(A127,'[6]Rate Base'!$D$9:$D$143,1,FALSE)</f>
        <v>182.3</v>
      </c>
    </row>
    <row r="128" spans="1:11" ht="15">
      <c r="A128" s="382">
        <v>254</v>
      </c>
      <c r="B128" s="381" t="s">
        <v>126</v>
      </c>
      <c r="C128" s="610">
        <f t="array" ref="C128">INDEX('[6]Rate Base'!$H$10:$H$143,MATCH(1,(A128='[6]Rate Base'!$D$10:$D$143)*(B128='[6]Rate Base'!$E$10:$E$143),0))</f>
        <v>-24923934.370000001</v>
      </c>
      <c r="J128" s="611">
        <f>VLOOKUP(A128,'[6]Rate Base'!$D$9:$D$143,1,FALSE)</f>
        <v>254</v>
      </c>
      <c r="K128"/>
    </row>
    <row r="129" spans="1:10">
      <c r="A129" s="374"/>
      <c r="B129" s="593" t="s">
        <v>21</v>
      </c>
      <c r="C129" s="609">
        <f>SUM(C126:C128)</f>
        <v>-23829415.810000002</v>
      </c>
    </row>
    <row r="130" spans="1:10">
      <c r="A130" s="374"/>
      <c r="B130" s="377"/>
      <c r="C130" s="478"/>
    </row>
    <row r="131" spans="1:10">
      <c r="A131" s="374"/>
      <c r="B131" s="377" t="s">
        <v>272</v>
      </c>
      <c r="C131" s="478"/>
    </row>
    <row r="132" spans="1:10">
      <c r="A132" s="386">
        <v>190</v>
      </c>
      <c r="B132" s="381" t="s">
        <v>273</v>
      </c>
      <c r="C132" s="610">
        <f t="array" ref="C132">INDEX('[6]Rate Base'!$H$10:$H$143,MATCH(1,(A132='[6]Rate Base'!$D$10:$D$143)*(B132='[6]Rate Base'!$E$10:$E$143),0))</f>
        <v>12781272.569999998</v>
      </c>
      <c r="J132" s="304">
        <f>VLOOKUP(A132,'[6]Rate Base'!$D$9:$D$143,1,FALSE)</f>
        <v>190</v>
      </c>
    </row>
    <row r="133" spans="1:10">
      <c r="A133" s="386">
        <v>282</v>
      </c>
      <c r="B133" s="381" t="s">
        <v>274</v>
      </c>
      <c r="C133" s="610">
        <f t="array" ref="C133">INDEX('[6]Rate Base'!$H$10:$H$143,MATCH(1,(A133='[6]Rate Base'!$D$10:$D$143)*(B133='[6]Rate Base'!$E$10:$E$143),0))</f>
        <v>-50154236.741083831</v>
      </c>
      <c r="J133" s="304">
        <f>VLOOKUP(A133,'[6]Rate Base'!$D$9:$D$143,1,FALSE)</f>
        <v>282</v>
      </c>
    </row>
    <row r="134" spans="1:10">
      <c r="A134" s="386">
        <v>283</v>
      </c>
      <c r="B134" s="381" t="s">
        <v>275</v>
      </c>
      <c r="C134" s="610">
        <f t="array" ref="C134">INDEX('[6]Rate Base'!$H$10:$H$143,MATCH(1,(A134='[6]Rate Base'!$D$10:$D$143)*(B134='[6]Rate Base'!$E$10:$E$143),0))</f>
        <v>-272180.46999999997</v>
      </c>
      <c r="J134" s="304">
        <f>VLOOKUP(A134,'[6]Rate Base'!$D$9:$D$143,1,FALSE)</f>
        <v>283</v>
      </c>
    </row>
    <row r="135" spans="1:10">
      <c r="A135" s="374"/>
      <c r="B135" s="593" t="s">
        <v>128</v>
      </c>
      <c r="C135" s="609">
        <f>SUM(C132:C134)</f>
        <v>-37645144.641083829</v>
      </c>
    </row>
    <row r="136" spans="1:10">
      <c r="A136" s="374"/>
      <c r="B136" s="588"/>
      <c r="C136" s="608"/>
      <c r="E136" s="304" t="s">
        <v>419</v>
      </c>
    </row>
    <row r="137" spans="1:10" ht="12" thickBot="1">
      <c r="A137" s="374"/>
      <c r="B137" s="607" t="s">
        <v>24</v>
      </c>
      <c r="C137" s="606">
        <f>+C123+C129+C135</f>
        <v>291295381.68268651</v>
      </c>
      <c r="E137" s="606" t="str">
        <f>IF(VLOOKUP(B137,'[6]Rate Base'!$E$7:$H$145,4,FALSE)=C137,"Match","Review")</f>
        <v>Match</v>
      </c>
    </row>
    <row r="138" spans="1:10" ht="12" thickTop="1"/>
    <row r="139" spans="1:10" ht="12.75">
      <c r="B139" s="605" t="s">
        <v>420</v>
      </c>
      <c r="C139" s="604">
        <f>C137-C113</f>
        <v>296599943.72088826</v>
      </c>
    </row>
    <row r="166" spans="1:3">
      <c r="A166" s="374"/>
      <c r="B166" s="381"/>
      <c r="C166" s="470"/>
    </row>
    <row r="167" spans="1:3">
      <c r="A167" s="374"/>
      <c r="B167" s="381"/>
      <c r="C167" s="603"/>
    </row>
  </sheetData>
  <autoFilter ref="G5:G104" xr:uid="{CA9FC6D1-FF16-42AB-B41F-473B9EACE970}"/>
  <printOptions horizontalCentered="1"/>
  <pageMargins left="0.7" right="0.7" top="0.75" bottom="0.75" header="0.3" footer="0.3"/>
  <pageSetup scale="79" orientation="portrait" horizontalDpi="200" verticalDpi="200" r:id="rId1"/>
  <rowBreaks count="1" manualBreakCount="1">
    <brk id="64" max="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415EF-1396-481F-8DAC-47364AF81AEC}">
  <sheetPr codeName="Sheet43">
    <tabColor theme="8" tint="0.59999389629810485"/>
  </sheetPr>
  <dimension ref="A1:R243"/>
  <sheetViews>
    <sheetView zoomScale="120" zoomScaleNormal="120" zoomScaleSheetLayoutView="118" workbookViewId="0">
      <selection sqref="A1:S3"/>
    </sheetView>
  </sheetViews>
  <sheetFormatPr defaultColWidth="9.140625" defaultRowHeight="11.25"/>
  <cols>
    <col min="1" max="1" width="7" style="360" bestFit="1" customWidth="1"/>
    <col min="2" max="2" width="43.140625" style="360" customWidth="1"/>
    <col min="3" max="3" width="8.85546875" style="454" bestFit="1" customWidth="1"/>
    <col min="4" max="4" width="13.140625" style="360" bestFit="1" customWidth="1"/>
    <col min="5" max="5" width="7.140625" style="360" bestFit="1" customWidth="1"/>
    <col min="6" max="6" width="10.28515625" style="360" bestFit="1" customWidth="1"/>
    <col min="7" max="7" width="7.140625" style="360" bestFit="1" customWidth="1"/>
    <col min="8" max="8" width="7.85546875" style="360" customWidth="1"/>
    <col min="9" max="9" width="6" style="360" bestFit="1" customWidth="1"/>
    <col min="10" max="10" width="23.5703125" style="360" bestFit="1" customWidth="1"/>
    <col min="11" max="11" width="7.140625" style="360" bestFit="1" customWidth="1"/>
    <col min="12" max="12" width="11.28515625" style="360" bestFit="1" customWidth="1"/>
    <col min="13" max="13" width="7.5703125" style="360" bestFit="1" customWidth="1"/>
    <col min="14" max="15" width="7.140625" style="360" bestFit="1" customWidth="1"/>
    <col min="16" max="16" width="1.5703125" style="360" customWidth="1"/>
    <col min="17" max="17" width="16" style="360" customWidth="1"/>
    <col min="18" max="18" width="9.28515625" style="360" bestFit="1" customWidth="1"/>
    <col min="19" max="16384" width="9.140625" style="360"/>
  </cols>
  <sheetData>
    <row r="1" spans="1:17" ht="12.75">
      <c r="A1" s="791" t="s">
        <v>421</v>
      </c>
      <c r="B1" s="791"/>
      <c r="C1" s="791"/>
      <c r="D1" s="791"/>
      <c r="E1" s="791"/>
      <c r="F1" s="791"/>
      <c r="G1" s="791"/>
      <c r="H1" s="791"/>
      <c r="I1" s="791"/>
      <c r="J1" s="791"/>
      <c r="K1" s="791"/>
      <c r="L1" s="791"/>
      <c r="M1" s="791"/>
      <c r="N1" s="791"/>
      <c r="O1" s="791"/>
      <c r="P1" s="791"/>
      <c r="Q1" s="791"/>
    </row>
    <row r="2" spans="1:17" ht="12.75">
      <c r="A2" s="791" t="s">
        <v>422</v>
      </c>
      <c r="B2" s="791"/>
      <c r="C2" s="791"/>
      <c r="D2" s="791"/>
      <c r="E2" s="791"/>
      <c r="F2" s="791"/>
      <c r="G2" s="791"/>
      <c r="H2" s="791"/>
      <c r="I2" s="791"/>
      <c r="J2" s="791"/>
      <c r="K2" s="791"/>
      <c r="L2" s="791"/>
      <c r="M2" s="791"/>
      <c r="N2" s="791"/>
      <c r="O2" s="791"/>
      <c r="P2" s="791"/>
      <c r="Q2" s="791"/>
    </row>
    <row r="3" spans="1:17" ht="12.75">
      <c r="A3" s="791" t="s">
        <v>423</v>
      </c>
      <c r="B3" s="791"/>
      <c r="C3" s="791"/>
      <c r="D3" s="791"/>
      <c r="E3" s="791"/>
      <c r="F3" s="791"/>
      <c r="G3" s="791"/>
      <c r="H3" s="791"/>
      <c r="I3" s="791"/>
      <c r="J3" s="791"/>
      <c r="K3" s="791"/>
      <c r="L3" s="791"/>
      <c r="M3" s="791"/>
      <c r="N3" s="791"/>
      <c r="O3" s="791"/>
      <c r="P3" s="791"/>
      <c r="Q3" s="791"/>
    </row>
    <row r="4" spans="1:17" ht="12" thickBot="1"/>
    <row r="5" spans="1:17" ht="15" customHeight="1">
      <c r="A5" s="519"/>
      <c r="B5" s="519"/>
      <c r="C5" s="533"/>
      <c r="D5" s="774" t="s">
        <v>225</v>
      </c>
      <c r="E5" s="775"/>
      <c r="F5" s="775"/>
      <c r="G5" s="776"/>
      <c r="H5" s="781" t="s">
        <v>68</v>
      </c>
      <c r="I5" s="782"/>
      <c r="J5" s="774" t="s">
        <v>69</v>
      </c>
      <c r="K5" s="775"/>
      <c r="L5" s="775"/>
      <c r="M5" s="775"/>
      <c r="N5" s="775"/>
      <c r="O5" s="776"/>
    </row>
    <row r="6" spans="1:17" s="364" customFormat="1">
      <c r="A6" s="365" t="s">
        <v>60</v>
      </c>
      <c r="C6" s="532" t="s">
        <v>2</v>
      </c>
      <c r="D6" s="511" t="s">
        <v>227</v>
      </c>
      <c r="E6" s="792" t="s">
        <v>228</v>
      </c>
      <c r="F6" s="792"/>
      <c r="G6" s="780"/>
      <c r="H6" s="779"/>
      <c r="I6" s="780"/>
      <c r="J6" s="511"/>
      <c r="K6" s="499"/>
      <c r="L6" s="499"/>
      <c r="M6" s="499" t="s">
        <v>229</v>
      </c>
      <c r="N6" s="499"/>
      <c r="O6" s="510"/>
    </row>
    <row r="7" spans="1:17" s="364" customFormat="1" ht="12" thickBot="1">
      <c r="A7" s="508" t="s">
        <v>231</v>
      </c>
      <c r="B7" s="507"/>
      <c r="C7" s="531" t="s">
        <v>66</v>
      </c>
      <c r="D7" s="503"/>
      <c r="E7" s="502" t="s">
        <v>232</v>
      </c>
      <c r="F7" s="502" t="s">
        <v>233</v>
      </c>
      <c r="G7" s="501" t="s">
        <v>234</v>
      </c>
      <c r="H7" s="503" t="s">
        <v>235</v>
      </c>
      <c r="I7" s="501" t="s">
        <v>234</v>
      </c>
      <c r="J7" s="503" t="s">
        <v>236</v>
      </c>
      <c r="K7" s="502" t="s">
        <v>237</v>
      </c>
      <c r="L7" s="502" t="s">
        <v>238</v>
      </c>
      <c r="M7" s="502" t="s">
        <v>239</v>
      </c>
      <c r="N7" s="502" t="s">
        <v>240</v>
      </c>
      <c r="O7" s="501" t="s">
        <v>424</v>
      </c>
      <c r="Q7" s="364" t="s">
        <v>386</v>
      </c>
    </row>
    <row r="8" spans="1:17" s="643" customFormat="1" ht="30.75" customHeight="1">
      <c r="B8" s="636" t="s">
        <v>425</v>
      </c>
      <c r="C8" s="645"/>
      <c r="D8" s="644"/>
      <c r="E8" s="644"/>
      <c r="F8" s="644"/>
      <c r="G8" s="644"/>
      <c r="H8" s="644"/>
      <c r="I8" s="644"/>
      <c r="J8" s="644"/>
      <c r="K8" s="644"/>
      <c r="L8" s="644"/>
      <c r="M8" s="644"/>
      <c r="N8" s="644"/>
      <c r="O8" s="644"/>
    </row>
    <row r="9" spans="1:17" ht="12.75" customHeight="1">
      <c r="A9" s="463"/>
      <c r="B9" s="416" t="s">
        <v>73</v>
      </c>
      <c r="C9" s="457"/>
      <c r="D9" s="498"/>
      <c r="E9" s="464"/>
      <c r="F9" s="464"/>
      <c r="G9" s="464"/>
      <c r="H9" s="464"/>
      <c r="I9" s="464"/>
      <c r="J9" s="464"/>
      <c r="K9" s="464"/>
      <c r="L9" s="497"/>
      <c r="M9" s="464"/>
      <c r="N9" s="464"/>
      <c r="O9" s="464"/>
    </row>
    <row r="10" spans="1:17">
      <c r="A10" s="463"/>
      <c r="B10" s="377" t="s">
        <v>205</v>
      </c>
      <c r="C10" s="457"/>
      <c r="D10" s="642"/>
      <c r="E10" s="642"/>
      <c r="F10" s="642"/>
      <c r="G10" s="642"/>
      <c r="H10" s="642"/>
      <c r="I10" s="642"/>
      <c r="J10" s="642"/>
      <c r="K10" s="642"/>
      <c r="L10" s="642"/>
      <c r="M10" s="642"/>
      <c r="N10" s="642"/>
      <c r="O10" s="642"/>
    </row>
    <row r="11" spans="1:17">
      <c r="A11" s="385">
        <v>302</v>
      </c>
      <c r="B11" s="379" t="s">
        <v>192</v>
      </c>
      <c r="C11" s="632">
        <f>SUM(D11:O11)</f>
        <v>1</v>
      </c>
      <c r="D11" s="632">
        <f>+'G-5 Function Rate Base'!$H$34/'G-5 Function Rate Base'!$D$34</f>
        <v>0</v>
      </c>
      <c r="E11" s="632">
        <f>+'G-5 Function Rate Base'!I34/'G-5 Function Rate Base'!$D$34</f>
        <v>0.25997700742943058</v>
      </c>
      <c r="F11" s="632">
        <f>+'G-5 Function Rate Base'!J34/'G-5 Function Rate Base'!$D$34</f>
        <v>1.8430948871455917E-2</v>
      </c>
      <c r="G11" s="632">
        <f>+'G-5 Function Rate Base'!K34/'G-5 Function Rate Base'!$D$34</f>
        <v>5.1017614333658144E-3</v>
      </c>
      <c r="H11" s="632">
        <f>+'G-5 Function Rate Base'!L34/'G-5 Function Rate Base'!$D$34</f>
        <v>0</v>
      </c>
      <c r="I11" s="632">
        <f>+'G-5 Function Rate Base'!M34/'G-5 Function Rate Base'!$D$34</f>
        <v>0</v>
      </c>
      <c r="J11" s="632">
        <f>+'G-5 Function Rate Base'!N34/'G-5 Function Rate Base'!$D$34</f>
        <v>0.58081104379192594</v>
      </c>
      <c r="K11" s="632">
        <f>+'G-5 Function Rate Base'!O34/'G-5 Function Rate Base'!$D$34</f>
        <v>0.11182927799808795</v>
      </c>
      <c r="L11" s="632">
        <f>+'G-5 Function Rate Base'!P34/'G-5 Function Rate Base'!$D$34</f>
        <v>2.3849960475733678E-2</v>
      </c>
      <c r="M11" s="632">
        <f>+'G-5 Function Rate Base'!Q34/'G-5 Function Rate Base'!$D$34</f>
        <v>0</v>
      </c>
      <c r="N11" s="632">
        <f>+'G-5 Function Rate Base'!R34/'G-5 Function Rate Base'!$D$34</f>
        <v>0</v>
      </c>
      <c r="O11" s="632">
        <f>+'G-5 Function Rate Base'!S34/'G-5 Function Rate Base'!$D$34</f>
        <v>0</v>
      </c>
      <c r="Q11" s="456" t="s">
        <v>426</v>
      </c>
    </row>
    <row r="12" spans="1:17">
      <c r="A12" s="385">
        <v>303</v>
      </c>
      <c r="B12" s="379" t="s">
        <v>193</v>
      </c>
      <c r="C12" s="632">
        <f>SUM(D12:O12)</f>
        <v>1</v>
      </c>
      <c r="D12" s="631">
        <f>+'G-5 Function Rate Base'!H34/'G-5 Function Rate Base'!$D$34</f>
        <v>0</v>
      </c>
      <c r="E12" s="631">
        <f>+'G-5 Function Rate Base'!I34/'G-5 Function Rate Base'!$D$34</f>
        <v>0.25997700742943058</v>
      </c>
      <c r="F12" s="631">
        <f>+'G-5 Function Rate Base'!J34/'G-5 Function Rate Base'!$D$34</f>
        <v>1.8430948871455917E-2</v>
      </c>
      <c r="G12" s="631">
        <f>+'G-5 Function Rate Base'!K34/'G-5 Function Rate Base'!$D$34</f>
        <v>5.1017614333658144E-3</v>
      </c>
      <c r="H12" s="631">
        <f>+'G-5 Function Rate Base'!L34/'G-5 Function Rate Base'!$D$34</f>
        <v>0</v>
      </c>
      <c r="I12" s="631">
        <f>+'G-5 Function Rate Base'!M34/'G-5 Function Rate Base'!$D$34</f>
        <v>0</v>
      </c>
      <c r="J12" s="631">
        <f>+'G-5 Function Rate Base'!N34/'G-5 Function Rate Base'!$D$34</f>
        <v>0.58081104379192594</v>
      </c>
      <c r="K12" s="631">
        <f>+'G-5 Function Rate Base'!O34/'G-5 Function Rate Base'!$D$34</f>
        <v>0.11182927799808795</v>
      </c>
      <c r="L12" s="631">
        <f>+'G-5 Function Rate Base'!P34/'G-5 Function Rate Base'!$D$34</f>
        <v>2.3849960475733678E-2</v>
      </c>
      <c r="M12" s="631">
        <f>+'G-5 Function Rate Base'!Q34/'G-5 Function Rate Base'!$D$34</f>
        <v>0</v>
      </c>
      <c r="N12" s="631">
        <f>+'G-5 Function Rate Base'!R34/'G-5 Function Rate Base'!$D$34</f>
        <v>0</v>
      </c>
      <c r="O12" s="631">
        <f>+'G-5 Function Rate Base'!S34/'G-5 Function Rate Base'!$D$34</f>
        <v>0</v>
      </c>
      <c r="Q12" s="456" t="s">
        <v>426</v>
      </c>
    </row>
    <row r="13" spans="1:17">
      <c r="A13" s="385"/>
      <c r="B13" s="377" t="s">
        <v>75</v>
      </c>
      <c r="C13" s="637"/>
      <c r="D13" s="632"/>
      <c r="E13" s="632"/>
      <c r="F13" s="632"/>
      <c r="G13" s="632"/>
      <c r="H13" s="632"/>
      <c r="I13" s="632"/>
      <c r="J13" s="632"/>
      <c r="K13" s="632"/>
      <c r="L13" s="632"/>
      <c r="M13" s="632"/>
      <c r="N13" s="632"/>
      <c r="O13" s="632"/>
      <c r="Q13" s="456"/>
    </row>
    <row r="14" spans="1:17">
      <c r="A14" s="385"/>
      <c r="B14" s="377"/>
      <c r="C14" s="637"/>
      <c r="D14" s="632"/>
      <c r="E14" s="632"/>
      <c r="F14" s="632"/>
      <c r="G14" s="632"/>
      <c r="H14" s="632"/>
      <c r="I14" s="632"/>
      <c r="J14" s="632"/>
      <c r="K14" s="632"/>
      <c r="L14" s="632"/>
      <c r="M14" s="632"/>
      <c r="N14" s="632"/>
      <c r="O14" s="632"/>
      <c r="Q14" s="456"/>
    </row>
    <row r="15" spans="1:17">
      <c r="A15" s="522"/>
      <c r="B15" s="377" t="s">
        <v>207</v>
      </c>
      <c r="C15" s="641"/>
      <c r="D15" s="632"/>
      <c r="E15" s="632"/>
      <c r="F15" s="632"/>
      <c r="G15" s="632"/>
      <c r="H15" s="632"/>
      <c r="I15" s="632"/>
      <c r="J15" s="632"/>
      <c r="K15" s="632"/>
      <c r="L15" s="632"/>
      <c r="M15" s="632"/>
      <c r="N15" s="632"/>
      <c r="O15" s="632"/>
      <c r="Q15" s="456"/>
    </row>
    <row r="16" spans="1:17">
      <c r="A16" s="385">
        <v>365</v>
      </c>
      <c r="B16" s="379" t="s">
        <v>81</v>
      </c>
      <c r="C16" s="632">
        <f>SUM(D16:O16)</f>
        <v>1</v>
      </c>
      <c r="D16" s="632">
        <v>0</v>
      </c>
      <c r="E16" s="632">
        <v>1</v>
      </c>
      <c r="F16" s="632">
        <v>0</v>
      </c>
      <c r="G16" s="632">
        <v>0</v>
      </c>
      <c r="H16" s="632">
        <v>0</v>
      </c>
      <c r="I16" s="632">
        <v>0</v>
      </c>
      <c r="J16" s="632">
        <v>0</v>
      </c>
      <c r="K16" s="632">
        <v>0</v>
      </c>
      <c r="L16" s="632">
        <v>0</v>
      </c>
      <c r="M16" s="632">
        <v>0</v>
      </c>
      <c r="N16" s="632">
        <v>0</v>
      </c>
      <c r="O16" s="632">
        <v>0</v>
      </c>
      <c r="Q16" s="456" t="s">
        <v>427</v>
      </c>
    </row>
    <row r="17" spans="1:17">
      <c r="A17" s="385">
        <v>366</v>
      </c>
      <c r="B17" s="379" t="s">
        <v>82</v>
      </c>
      <c r="C17" s="632">
        <f>SUM(D17:O17)</f>
        <v>1</v>
      </c>
      <c r="D17" s="632">
        <v>0</v>
      </c>
      <c r="E17" s="632">
        <v>1</v>
      </c>
      <c r="F17" s="632">
        <v>0</v>
      </c>
      <c r="G17" s="632">
        <v>0</v>
      </c>
      <c r="H17" s="632">
        <v>0</v>
      </c>
      <c r="I17" s="632">
        <v>0</v>
      </c>
      <c r="J17" s="632">
        <v>0</v>
      </c>
      <c r="K17" s="632">
        <v>0</v>
      </c>
      <c r="L17" s="632">
        <v>0</v>
      </c>
      <c r="M17" s="632">
        <v>0</v>
      </c>
      <c r="N17" s="632">
        <v>0</v>
      </c>
      <c r="O17" s="632">
        <v>0</v>
      </c>
      <c r="Q17" s="456" t="s">
        <v>427</v>
      </c>
    </row>
    <row r="18" spans="1:17">
      <c r="A18" s="385">
        <v>367</v>
      </c>
      <c r="B18" s="379" t="s">
        <v>83</v>
      </c>
      <c r="C18" s="632">
        <f>SUM(D18:O18)</f>
        <v>1</v>
      </c>
      <c r="D18" s="632">
        <v>0</v>
      </c>
      <c r="E18" s="632">
        <v>1</v>
      </c>
      <c r="F18" s="632">
        <v>0</v>
      </c>
      <c r="G18" s="632">
        <v>0</v>
      </c>
      <c r="H18" s="632">
        <v>0</v>
      </c>
      <c r="I18" s="632">
        <v>0</v>
      </c>
      <c r="J18" s="632">
        <v>0</v>
      </c>
      <c r="K18" s="632">
        <v>0</v>
      </c>
      <c r="L18" s="632">
        <v>0</v>
      </c>
      <c r="M18" s="632">
        <v>0</v>
      </c>
      <c r="N18" s="632">
        <v>0</v>
      </c>
      <c r="O18" s="632">
        <v>0</v>
      </c>
      <c r="Q18" s="456" t="s">
        <v>427</v>
      </c>
    </row>
    <row r="19" spans="1:17">
      <c r="A19" s="385">
        <v>369</v>
      </c>
      <c r="B19" s="379" t="s">
        <v>259</v>
      </c>
      <c r="C19" s="632">
        <f>SUM(D19:O19)</f>
        <v>1</v>
      </c>
      <c r="D19" s="632">
        <v>0</v>
      </c>
      <c r="E19" s="632">
        <v>1</v>
      </c>
      <c r="F19" s="632">
        <v>0</v>
      </c>
      <c r="G19" s="632">
        <v>0</v>
      </c>
      <c r="H19" s="632">
        <v>0</v>
      </c>
      <c r="I19" s="632">
        <v>0</v>
      </c>
      <c r="J19" s="632">
        <v>0</v>
      </c>
      <c r="K19" s="632">
        <v>0</v>
      </c>
      <c r="L19" s="632">
        <v>0</v>
      </c>
      <c r="M19" s="632">
        <v>0</v>
      </c>
      <c r="N19" s="632">
        <v>0</v>
      </c>
      <c r="O19" s="632">
        <v>0</v>
      </c>
      <c r="Q19" s="456" t="s">
        <v>427</v>
      </c>
    </row>
    <row r="20" spans="1:17">
      <c r="A20" s="385">
        <v>371</v>
      </c>
      <c r="B20" s="379" t="s">
        <v>98</v>
      </c>
      <c r="C20" s="632">
        <f>SUM(D20:O20)</f>
        <v>1</v>
      </c>
      <c r="D20" s="632">
        <v>0</v>
      </c>
      <c r="E20" s="632">
        <v>1</v>
      </c>
      <c r="F20" s="632">
        <v>0</v>
      </c>
      <c r="G20" s="632">
        <v>0</v>
      </c>
      <c r="H20" s="632">
        <v>0</v>
      </c>
      <c r="I20" s="632">
        <v>0</v>
      </c>
      <c r="J20" s="632">
        <v>0</v>
      </c>
      <c r="K20" s="632">
        <v>0</v>
      </c>
      <c r="L20" s="632">
        <v>0</v>
      </c>
      <c r="M20" s="632">
        <v>0</v>
      </c>
      <c r="N20" s="632">
        <v>0</v>
      </c>
      <c r="O20" s="632">
        <v>0</v>
      </c>
      <c r="Q20" s="456" t="s">
        <v>427</v>
      </c>
    </row>
    <row r="21" spans="1:17">
      <c r="A21" s="390"/>
      <c r="B21" s="377" t="s">
        <v>78</v>
      </c>
      <c r="C21" s="637"/>
      <c r="D21" s="637"/>
      <c r="E21" s="637"/>
      <c r="F21" s="637"/>
      <c r="G21" s="637"/>
      <c r="H21" s="637"/>
      <c r="I21" s="637"/>
      <c r="J21" s="637"/>
      <c r="K21" s="637"/>
      <c r="L21" s="637"/>
      <c r="M21" s="637"/>
      <c r="N21" s="637"/>
      <c r="O21" s="637"/>
      <c r="Q21" s="456"/>
    </row>
    <row r="22" spans="1:17">
      <c r="A22" s="390"/>
      <c r="B22" s="377"/>
      <c r="C22" s="637"/>
      <c r="D22" s="632"/>
      <c r="E22" s="632"/>
      <c r="F22" s="632"/>
      <c r="G22" s="632"/>
      <c r="H22" s="632"/>
      <c r="I22" s="632"/>
      <c r="J22" s="632"/>
      <c r="K22" s="632"/>
      <c r="L22" s="632"/>
      <c r="M22" s="632"/>
      <c r="N22" s="632"/>
      <c r="O22" s="632"/>
      <c r="Q22" s="456"/>
    </row>
    <row r="23" spans="1:17">
      <c r="A23" s="390"/>
      <c r="B23" s="377" t="s">
        <v>80</v>
      </c>
      <c r="C23" s="640"/>
      <c r="D23" s="632"/>
      <c r="E23" s="632"/>
      <c r="F23" s="632"/>
      <c r="G23" s="632"/>
      <c r="H23" s="632"/>
      <c r="I23" s="632"/>
      <c r="J23" s="632"/>
      <c r="K23" s="632"/>
      <c r="L23" s="632"/>
      <c r="M23" s="632"/>
      <c r="N23" s="632"/>
      <c r="O23" s="632"/>
      <c r="Q23" s="456"/>
    </row>
    <row r="24" spans="1:17">
      <c r="A24" s="385">
        <v>374</v>
      </c>
      <c r="B24" s="379" t="s">
        <v>81</v>
      </c>
      <c r="C24" s="632">
        <f t="shared" ref="C24:C35" si="0">SUM(D24:O24)</f>
        <v>1</v>
      </c>
      <c r="D24" s="632">
        <v>0</v>
      </c>
      <c r="E24" s="632">
        <v>0</v>
      </c>
      <c r="F24" s="632">
        <v>0</v>
      </c>
      <c r="G24" s="632">
        <v>1</v>
      </c>
      <c r="H24" s="632">
        <v>0</v>
      </c>
      <c r="I24" s="632">
        <v>0</v>
      </c>
      <c r="J24" s="632">
        <v>0</v>
      </c>
      <c r="K24" s="632">
        <v>0</v>
      </c>
      <c r="L24" s="632">
        <v>0</v>
      </c>
      <c r="M24" s="632">
        <v>0</v>
      </c>
      <c r="N24" s="632">
        <v>0</v>
      </c>
      <c r="O24" s="632">
        <v>0</v>
      </c>
      <c r="Q24" s="360" t="s">
        <v>428</v>
      </c>
    </row>
    <row r="25" spans="1:17">
      <c r="A25" s="385">
        <f>+A24+1</f>
        <v>375</v>
      </c>
      <c r="B25" s="379" t="s">
        <v>82</v>
      </c>
      <c r="C25" s="632">
        <f t="shared" si="0"/>
        <v>1</v>
      </c>
      <c r="D25" s="632">
        <v>0</v>
      </c>
      <c r="E25" s="632">
        <v>0</v>
      </c>
      <c r="F25" s="632">
        <v>0</v>
      </c>
      <c r="G25" s="632">
        <v>1</v>
      </c>
      <c r="H25" s="632">
        <v>0</v>
      </c>
      <c r="I25" s="632">
        <v>0</v>
      </c>
      <c r="J25" s="632">
        <v>0</v>
      </c>
      <c r="K25" s="632">
        <v>0</v>
      </c>
      <c r="L25" s="632">
        <v>0</v>
      </c>
      <c r="M25" s="632">
        <v>0</v>
      </c>
      <c r="N25" s="632">
        <v>0</v>
      </c>
      <c r="O25" s="632">
        <v>0</v>
      </c>
      <c r="Q25" s="360" t="s">
        <v>428</v>
      </c>
    </row>
    <row r="26" spans="1:17">
      <c r="A26" s="385">
        <f>+A25+1</f>
        <v>376</v>
      </c>
      <c r="B26" s="379" t="s">
        <v>83</v>
      </c>
      <c r="C26" s="632">
        <f t="shared" si="0"/>
        <v>1</v>
      </c>
      <c r="D26" s="632">
        <v>0</v>
      </c>
      <c r="E26" s="632">
        <f>1-J26</f>
        <v>0.48486249821048266</v>
      </c>
      <c r="F26" s="632">
        <v>0</v>
      </c>
      <c r="G26" s="632">
        <v>0</v>
      </c>
      <c r="H26" s="632">
        <v>0</v>
      </c>
      <c r="I26" s="632">
        <v>0</v>
      </c>
      <c r="J26" s="632">
        <f>[16]Summary!$J$9</f>
        <v>0.51513750178951734</v>
      </c>
      <c r="K26" s="632">
        <v>0</v>
      </c>
      <c r="L26" s="632">
        <v>0</v>
      </c>
      <c r="M26" s="632">
        <v>0</v>
      </c>
      <c r="N26" s="632">
        <v>0</v>
      </c>
      <c r="O26" s="632">
        <v>0</v>
      </c>
      <c r="Q26" s="456" t="s">
        <v>429</v>
      </c>
    </row>
    <row r="27" spans="1:17">
      <c r="A27" s="385">
        <v>378</v>
      </c>
      <c r="B27" s="379" t="s">
        <v>430</v>
      </c>
      <c r="C27" s="632">
        <f t="shared" si="0"/>
        <v>1</v>
      </c>
      <c r="D27" s="632">
        <v>0</v>
      </c>
      <c r="E27" s="632">
        <v>0</v>
      </c>
      <c r="F27" s="632">
        <v>1</v>
      </c>
      <c r="G27" s="632">
        <v>0</v>
      </c>
      <c r="H27" s="632">
        <v>0</v>
      </c>
      <c r="I27" s="632">
        <v>0</v>
      </c>
      <c r="J27" s="632">
        <v>0</v>
      </c>
      <c r="K27" s="632">
        <v>0</v>
      </c>
      <c r="L27" s="632">
        <v>0</v>
      </c>
      <c r="M27" s="632">
        <v>0</v>
      </c>
      <c r="N27" s="632">
        <v>0</v>
      </c>
      <c r="O27" s="632">
        <v>0</v>
      </c>
      <c r="Q27" s="456" t="s">
        <v>431</v>
      </c>
    </row>
    <row r="28" spans="1:17">
      <c r="A28" s="385">
        <f t="shared" ref="A28:A33" si="1">+A27+1</f>
        <v>379</v>
      </c>
      <c r="B28" s="379" t="s">
        <v>432</v>
      </c>
      <c r="C28" s="632">
        <f t="shared" si="0"/>
        <v>1</v>
      </c>
      <c r="D28" s="632">
        <v>0</v>
      </c>
      <c r="E28" s="632">
        <v>0</v>
      </c>
      <c r="F28" s="632">
        <v>1</v>
      </c>
      <c r="G28" s="632">
        <v>0</v>
      </c>
      <c r="H28" s="632">
        <v>0</v>
      </c>
      <c r="I28" s="632">
        <v>0</v>
      </c>
      <c r="J28" s="632">
        <v>0</v>
      </c>
      <c r="K28" s="632">
        <v>0</v>
      </c>
      <c r="L28" s="632">
        <v>0</v>
      </c>
      <c r="M28" s="632">
        <v>0</v>
      </c>
      <c r="N28" s="632">
        <v>0</v>
      </c>
      <c r="O28" s="632">
        <v>0</v>
      </c>
      <c r="Q28" s="456" t="s">
        <v>431</v>
      </c>
    </row>
    <row r="29" spans="1:17">
      <c r="A29" s="385">
        <f t="shared" si="1"/>
        <v>380</v>
      </c>
      <c r="B29" s="379" t="s">
        <v>86</v>
      </c>
      <c r="C29" s="632">
        <f t="shared" si="0"/>
        <v>1</v>
      </c>
      <c r="D29" s="632">
        <v>0</v>
      </c>
      <c r="E29" s="632">
        <v>0</v>
      </c>
      <c r="F29" s="632">
        <v>0</v>
      </c>
      <c r="G29" s="632">
        <v>0</v>
      </c>
      <c r="H29" s="632">
        <v>0</v>
      </c>
      <c r="I29" s="632">
        <v>0</v>
      </c>
      <c r="J29" s="632">
        <v>1</v>
      </c>
      <c r="K29" s="632">
        <v>0</v>
      </c>
      <c r="L29" s="632">
        <v>0</v>
      </c>
      <c r="M29" s="632">
        <v>0</v>
      </c>
      <c r="N29" s="632">
        <v>0</v>
      </c>
      <c r="O29" s="632">
        <v>0</v>
      </c>
      <c r="Q29" s="456" t="s">
        <v>433</v>
      </c>
    </row>
    <row r="30" spans="1:17">
      <c r="A30" s="385">
        <f t="shared" si="1"/>
        <v>381</v>
      </c>
      <c r="B30" s="379" t="s">
        <v>88</v>
      </c>
      <c r="C30" s="632">
        <f t="shared" si="0"/>
        <v>1</v>
      </c>
      <c r="D30" s="632">
        <v>0</v>
      </c>
      <c r="E30" s="632">
        <v>0</v>
      </c>
      <c r="F30" s="632">
        <v>0</v>
      </c>
      <c r="G30" s="632">
        <v>0</v>
      </c>
      <c r="H30" s="632">
        <v>0</v>
      </c>
      <c r="I30" s="632">
        <v>0</v>
      </c>
      <c r="J30" s="632">
        <v>0</v>
      </c>
      <c r="K30" s="632">
        <v>1</v>
      </c>
      <c r="L30" s="632">
        <v>0</v>
      </c>
      <c r="M30" s="632">
        <v>0</v>
      </c>
      <c r="N30" s="632">
        <v>0</v>
      </c>
      <c r="O30" s="632">
        <v>0</v>
      </c>
      <c r="Q30" s="456" t="s">
        <v>434</v>
      </c>
    </row>
    <row r="31" spans="1:17">
      <c r="A31" s="385">
        <f t="shared" si="1"/>
        <v>382</v>
      </c>
      <c r="B31" s="379" t="s">
        <v>90</v>
      </c>
      <c r="C31" s="632">
        <f t="shared" si="0"/>
        <v>1</v>
      </c>
      <c r="D31" s="632">
        <v>0</v>
      </c>
      <c r="E31" s="632">
        <v>0</v>
      </c>
      <c r="F31" s="632">
        <v>0</v>
      </c>
      <c r="G31" s="632">
        <v>0</v>
      </c>
      <c r="H31" s="632">
        <v>0</v>
      </c>
      <c r="I31" s="632">
        <v>0</v>
      </c>
      <c r="J31" s="632">
        <v>0</v>
      </c>
      <c r="K31" s="632">
        <v>1</v>
      </c>
      <c r="L31" s="632">
        <v>0</v>
      </c>
      <c r="M31" s="632">
        <v>0</v>
      </c>
      <c r="N31" s="632">
        <v>0</v>
      </c>
      <c r="O31" s="632">
        <v>0</v>
      </c>
      <c r="Q31" s="456" t="s">
        <v>434</v>
      </c>
    </row>
    <row r="32" spans="1:17">
      <c r="A32" s="385">
        <f t="shared" si="1"/>
        <v>383</v>
      </c>
      <c r="B32" s="379" t="s">
        <v>92</v>
      </c>
      <c r="C32" s="632">
        <f t="shared" si="0"/>
        <v>1</v>
      </c>
      <c r="D32" s="632">
        <v>0</v>
      </c>
      <c r="E32" s="632">
        <v>0</v>
      </c>
      <c r="F32" s="632">
        <v>0</v>
      </c>
      <c r="G32" s="632">
        <v>0</v>
      </c>
      <c r="H32" s="632">
        <v>0</v>
      </c>
      <c r="I32" s="632">
        <v>0</v>
      </c>
      <c r="J32" s="632">
        <v>0</v>
      </c>
      <c r="K32" s="632">
        <v>0</v>
      </c>
      <c r="L32" s="632">
        <v>1</v>
      </c>
      <c r="M32" s="632">
        <v>0</v>
      </c>
      <c r="N32" s="632">
        <v>0</v>
      </c>
      <c r="O32" s="632">
        <v>0</v>
      </c>
      <c r="Q32" s="456" t="s">
        <v>435</v>
      </c>
    </row>
    <row r="33" spans="1:17">
      <c r="A33" s="385">
        <f t="shared" si="1"/>
        <v>384</v>
      </c>
      <c r="B33" s="379" t="s">
        <v>94</v>
      </c>
      <c r="C33" s="632">
        <f t="shared" si="0"/>
        <v>1</v>
      </c>
      <c r="D33" s="632">
        <v>0</v>
      </c>
      <c r="E33" s="632">
        <v>0</v>
      </c>
      <c r="F33" s="632">
        <v>0</v>
      </c>
      <c r="G33" s="632">
        <v>0</v>
      </c>
      <c r="H33" s="632">
        <v>0</v>
      </c>
      <c r="I33" s="632">
        <v>0</v>
      </c>
      <c r="J33" s="632">
        <v>0</v>
      </c>
      <c r="K33" s="632">
        <v>0</v>
      </c>
      <c r="L33" s="632">
        <v>1</v>
      </c>
      <c r="M33" s="632">
        <v>0</v>
      </c>
      <c r="N33" s="632">
        <v>0</v>
      </c>
      <c r="O33" s="632">
        <v>0</v>
      </c>
      <c r="Q33" s="456" t="s">
        <v>435</v>
      </c>
    </row>
    <row r="34" spans="1:17">
      <c r="A34" s="385">
        <v>385</v>
      </c>
      <c r="B34" s="379" t="s">
        <v>200</v>
      </c>
      <c r="C34" s="632">
        <f t="shared" si="0"/>
        <v>1</v>
      </c>
      <c r="D34" s="632">
        <v>0</v>
      </c>
      <c r="E34" s="632">
        <v>0</v>
      </c>
      <c r="F34" s="632">
        <v>0</v>
      </c>
      <c r="G34" s="632">
        <v>0</v>
      </c>
      <c r="H34" s="632">
        <v>0</v>
      </c>
      <c r="I34" s="632">
        <v>0</v>
      </c>
      <c r="J34" s="632">
        <v>0</v>
      </c>
      <c r="K34" s="632">
        <v>0</v>
      </c>
      <c r="L34" s="632">
        <v>1</v>
      </c>
      <c r="M34" s="632">
        <v>0</v>
      </c>
      <c r="N34" s="632">
        <v>0</v>
      </c>
      <c r="O34" s="632">
        <v>0</v>
      </c>
      <c r="Q34" s="456" t="s">
        <v>435</v>
      </c>
    </row>
    <row r="35" spans="1:17">
      <c r="A35" s="385">
        <v>387</v>
      </c>
      <c r="B35" s="379" t="s">
        <v>98</v>
      </c>
      <c r="C35" s="632">
        <f t="shared" si="0"/>
        <v>1</v>
      </c>
      <c r="D35" s="632">
        <v>0</v>
      </c>
      <c r="E35" s="632">
        <v>0</v>
      </c>
      <c r="F35" s="632">
        <v>0</v>
      </c>
      <c r="G35" s="631">
        <v>1</v>
      </c>
      <c r="H35" s="632">
        <v>0</v>
      </c>
      <c r="I35" s="632">
        <v>0</v>
      </c>
      <c r="J35" s="632">
        <v>0</v>
      </c>
      <c r="K35" s="632">
        <v>0</v>
      </c>
      <c r="L35" s="632">
        <v>0</v>
      </c>
      <c r="M35" s="632">
        <v>0</v>
      </c>
      <c r="N35" s="632">
        <v>0</v>
      </c>
      <c r="O35" s="632">
        <v>0</v>
      </c>
      <c r="Q35" s="360" t="s">
        <v>428</v>
      </c>
    </row>
    <row r="36" spans="1:17">
      <c r="A36" s="390"/>
      <c r="B36" s="377" t="s">
        <v>100</v>
      </c>
      <c r="C36" s="637"/>
      <c r="D36" s="637"/>
      <c r="E36" s="637"/>
      <c r="F36" s="637"/>
      <c r="G36" s="637"/>
      <c r="H36" s="637"/>
      <c r="I36" s="637"/>
      <c r="J36" s="637"/>
      <c r="K36" s="637"/>
      <c r="L36" s="637"/>
      <c r="M36" s="637"/>
      <c r="N36" s="637"/>
      <c r="O36" s="637"/>
      <c r="Q36" s="456"/>
    </row>
    <row r="37" spans="1:17">
      <c r="A37" s="390"/>
      <c r="B37" s="377"/>
      <c r="C37" s="637"/>
      <c r="D37" s="632"/>
      <c r="E37" s="632"/>
      <c r="F37" s="632"/>
      <c r="G37" s="632"/>
      <c r="H37" s="632"/>
      <c r="I37" s="632"/>
      <c r="J37" s="632"/>
      <c r="K37" s="632"/>
      <c r="L37" s="632"/>
      <c r="M37" s="632"/>
      <c r="N37" s="632"/>
      <c r="O37" s="632"/>
      <c r="Q37" s="456"/>
    </row>
    <row r="38" spans="1:17">
      <c r="A38" s="390"/>
      <c r="B38" s="377" t="s">
        <v>208</v>
      </c>
      <c r="C38" s="640"/>
      <c r="D38" s="632"/>
      <c r="E38" s="632"/>
      <c r="F38" s="632"/>
      <c r="G38" s="632"/>
      <c r="H38" s="632"/>
      <c r="I38" s="632"/>
      <c r="J38" s="632"/>
      <c r="K38" s="632"/>
      <c r="L38" s="632"/>
      <c r="M38" s="632"/>
      <c r="N38" s="632"/>
      <c r="O38" s="632"/>
      <c r="Q38" s="456"/>
    </row>
    <row r="39" spans="1:17">
      <c r="A39" s="385">
        <v>389</v>
      </c>
      <c r="B39" s="379" t="s">
        <v>290</v>
      </c>
      <c r="C39" s="632">
        <f t="shared" ref="C39:C48" si="2">SUM(D39:O39)</f>
        <v>1</v>
      </c>
      <c r="D39" s="632">
        <f t="shared" ref="D39:D48" si="3">+$D$11</f>
        <v>0</v>
      </c>
      <c r="E39" s="632">
        <f t="shared" ref="E39:E48" si="4">+$E$11</f>
        <v>0.25997700742943058</v>
      </c>
      <c r="F39" s="632">
        <f t="shared" ref="F39:F48" si="5">+$F$11</f>
        <v>1.8430948871455917E-2</v>
      </c>
      <c r="G39" s="632">
        <f t="shared" ref="G39:G48" si="6">+$G$11</f>
        <v>5.1017614333658144E-3</v>
      </c>
      <c r="H39" s="632">
        <f t="shared" ref="H39:H48" si="7">+$H$11</f>
        <v>0</v>
      </c>
      <c r="I39" s="632">
        <f t="shared" ref="I39:I48" si="8">+$I$11</f>
        <v>0</v>
      </c>
      <c r="J39" s="632">
        <f t="shared" ref="J39:J48" si="9">+$J$11</f>
        <v>0.58081104379192594</v>
      </c>
      <c r="K39" s="632">
        <f t="shared" ref="K39:K48" si="10">+$K$11</f>
        <v>0.11182927799808795</v>
      </c>
      <c r="L39" s="632">
        <f t="shared" ref="L39:L48" si="11">+$L$11</f>
        <v>2.3849960475733678E-2</v>
      </c>
      <c r="M39" s="632">
        <f t="shared" ref="M39:M48" si="12">+$M$11</f>
        <v>0</v>
      </c>
      <c r="N39" s="632">
        <f t="shared" ref="N39:N48" si="13">+$N$11</f>
        <v>0</v>
      </c>
      <c r="O39" s="632">
        <f t="shared" ref="O39:O48" si="14">+$O$11</f>
        <v>0</v>
      </c>
      <c r="Q39" s="456" t="s">
        <v>426</v>
      </c>
    </row>
    <row r="40" spans="1:17">
      <c r="A40" s="385">
        <v>390</v>
      </c>
      <c r="B40" s="379" t="s">
        <v>82</v>
      </c>
      <c r="C40" s="632">
        <f t="shared" si="2"/>
        <v>1</v>
      </c>
      <c r="D40" s="632">
        <f t="shared" si="3"/>
        <v>0</v>
      </c>
      <c r="E40" s="632">
        <f t="shared" si="4"/>
        <v>0.25997700742943058</v>
      </c>
      <c r="F40" s="632">
        <f t="shared" si="5"/>
        <v>1.8430948871455917E-2</v>
      </c>
      <c r="G40" s="632">
        <f t="shared" si="6"/>
        <v>5.1017614333658144E-3</v>
      </c>
      <c r="H40" s="632">
        <f t="shared" si="7"/>
        <v>0</v>
      </c>
      <c r="I40" s="632">
        <f t="shared" si="8"/>
        <v>0</v>
      </c>
      <c r="J40" s="632">
        <f t="shared" si="9"/>
        <v>0.58081104379192594</v>
      </c>
      <c r="K40" s="632">
        <f t="shared" si="10"/>
        <v>0.11182927799808795</v>
      </c>
      <c r="L40" s="632">
        <f t="shared" si="11"/>
        <v>2.3849960475733678E-2</v>
      </c>
      <c r="M40" s="632">
        <f t="shared" si="12"/>
        <v>0</v>
      </c>
      <c r="N40" s="632">
        <f t="shared" si="13"/>
        <v>0</v>
      </c>
      <c r="O40" s="632">
        <f t="shared" si="14"/>
        <v>0</v>
      </c>
      <c r="Q40" s="456" t="s">
        <v>426</v>
      </c>
    </row>
    <row r="41" spans="1:17">
      <c r="A41" s="385">
        <v>391</v>
      </c>
      <c r="B41" s="379" t="s">
        <v>245</v>
      </c>
      <c r="C41" s="632">
        <f t="shared" si="2"/>
        <v>1</v>
      </c>
      <c r="D41" s="632">
        <f t="shared" si="3"/>
        <v>0</v>
      </c>
      <c r="E41" s="632">
        <f t="shared" si="4"/>
        <v>0.25997700742943058</v>
      </c>
      <c r="F41" s="632">
        <f t="shared" si="5"/>
        <v>1.8430948871455917E-2</v>
      </c>
      <c r="G41" s="632">
        <f t="shared" si="6"/>
        <v>5.1017614333658144E-3</v>
      </c>
      <c r="H41" s="632">
        <f t="shared" si="7"/>
        <v>0</v>
      </c>
      <c r="I41" s="632">
        <f t="shared" si="8"/>
        <v>0</v>
      </c>
      <c r="J41" s="632">
        <f t="shared" si="9"/>
        <v>0.58081104379192594</v>
      </c>
      <c r="K41" s="632">
        <f t="shared" si="10"/>
        <v>0.11182927799808795</v>
      </c>
      <c r="L41" s="632">
        <f t="shared" si="11"/>
        <v>2.3849960475733678E-2</v>
      </c>
      <c r="M41" s="632">
        <f t="shared" si="12"/>
        <v>0</v>
      </c>
      <c r="N41" s="632">
        <f t="shared" si="13"/>
        <v>0</v>
      </c>
      <c r="O41" s="632">
        <f t="shared" si="14"/>
        <v>0</v>
      </c>
      <c r="Q41" s="456" t="s">
        <v>426</v>
      </c>
    </row>
    <row r="42" spans="1:17">
      <c r="A42" s="385">
        <v>392</v>
      </c>
      <c r="B42" s="379" t="s">
        <v>246</v>
      </c>
      <c r="C42" s="632">
        <f t="shared" si="2"/>
        <v>1</v>
      </c>
      <c r="D42" s="632">
        <f t="shared" si="3"/>
        <v>0</v>
      </c>
      <c r="E42" s="632">
        <f t="shared" si="4"/>
        <v>0.25997700742943058</v>
      </c>
      <c r="F42" s="632">
        <f t="shared" si="5"/>
        <v>1.8430948871455917E-2</v>
      </c>
      <c r="G42" s="632">
        <f t="shared" si="6"/>
        <v>5.1017614333658144E-3</v>
      </c>
      <c r="H42" s="632">
        <f t="shared" si="7"/>
        <v>0</v>
      </c>
      <c r="I42" s="632">
        <f t="shared" si="8"/>
        <v>0</v>
      </c>
      <c r="J42" s="632">
        <f t="shared" si="9"/>
        <v>0.58081104379192594</v>
      </c>
      <c r="K42" s="632">
        <f t="shared" si="10"/>
        <v>0.11182927799808795</v>
      </c>
      <c r="L42" s="632">
        <f t="shared" si="11"/>
        <v>2.3849960475733678E-2</v>
      </c>
      <c r="M42" s="632">
        <f t="shared" si="12"/>
        <v>0</v>
      </c>
      <c r="N42" s="632">
        <f t="shared" si="13"/>
        <v>0</v>
      </c>
      <c r="O42" s="632">
        <f t="shared" si="14"/>
        <v>0</v>
      </c>
      <c r="Q42" s="456" t="s">
        <v>426</v>
      </c>
    </row>
    <row r="43" spans="1:17">
      <c r="A43" s="385">
        <v>393</v>
      </c>
      <c r="B43" s="379" t="s">
        <v>247</v>
      </c>
      <c r="C43" s="632">
        <f t="shared" si="2"/>
        <v>1</v>
      </c>
      <c r="D43" s="632">
        <f t="shared" si="3"/>
        <v>0</v>
      </c>
      <c r="E43" s="632">
        <f t="shared" si="4"/>
        <v>0.25997700742943058</v>
      </c>
      <c r="F43" s="632">
        <f t="shared" si="5"/>
        <v>1.8430948871455917E-2</v>
      </c>
      <c r="G43" s="632">
        <f t="shared" si="6"/>
        <v>5.1017614333658144E-3</v>
      </c>
      <c r="H43" s="632">
        <f t="shared" si="7"/>
        <v>0</v>
      </c>
      <c r="I43" s="632">
        <f t="shared" si="8"/>
        <v>0</v>
      </c>
      <c r="J43" s="632">
        <f t="shared" si="9"/>
        <v>0.58081104379192594</v>
      </c>
      <c r="K43" s="632">
        <f t="shared" si="10"/>
        <v>0.11182927799808795</v>
      </c>
      <c r="L43" s="632">
        <f t="shared" si="11"/>
        <v>2.3849960475733678E-2</v>
      </c>
      <c r="M43" s="632">
        <f t="shared" si="12"/>
        <v>0</v>
      </c>
      <c r="N43" s="632">
        <f t="shared" si="13"/>
        <v>0</v>
      </c>
      <c r="O43" s="632">
        <f t="shared" si="14"/>
        <v>0</v>
      </c>
      <c r="Q43" s="456" t="s">
        <v>426</v>
      </c>
    </row>
    <row r="44" spans="1:17">
      <c r="A44" s="385">
        <v>394</v>
      </c>
      <c r="B44" s="379" t="s">
        <v>248</v>
      </c>
      <c r="C44" s="632">
        <f t="shared" si="2"/>
        <v>1</v>
      </c>
      <c r="D44" s="632">
        <f t="shared" si="3"/>
        <v>0</v>
      </c>
      <c r="E44" s="632">
        <f t="shared" si="4"/>
        <v>0.25997700742943058</v>
      </c>
      <c r="F44" s="632">
        <f t="shared" si="5"/>
        <v>1.8430948871455917E-2</v>
      </c>
      <c r="G44" s="632">
        <f t="shared" si="6"/>
        <v>5.1017614333658144E-3</v>
      </c>
      <c r="H44" s="632">
        <f t="shared" si="7"/>
        <v>0</v>
      </c>
      <c r="I44" s="632">
        <f t="shared" si="8"/>
        <v>0</v>
      </c>
      <c r="J44" s="632">
        <f t="shared" si="9"/>
        <v>0.58081104379192594</v>
      </c>
      <c r="K44" s="632">
        <f t="shared" si="10"/>
        <v>0.11182927799808795</v>
      </c>
      <c r="L44" s="632">
        <f t="shared" si="11"/>
        <v>2.3849960475733678E-2</v>
      </c>
      <c r="M44" s="632">
        <f t="shared" si="12"/>
        <v>0</v>
      </c>
      <c r="N44" s="632">
        <f t="shared" si="13"/>
        <v>0</v>
      </c>
      <c r="O44" s="632">
        <f t="shared" si="14"/>
        <v>0</v>
      </c>
      <c r="Q44" s="456" t="s">
        <v>426</v>
      </c>
    </row>
    <row r="45" spans="1:17">
      <c r="A45" s="385">
        <v>395</v>
      </c>
      <c r="B45" s="379" t="s">
        <v>249</v>
      </c>
      <c r="C45" s="632">
        <f t="shared" si="2"/>
        <v>1</v>
      </c>
      <c r="D45" s="632">
        <f t="shared" si="3"/>
        <v>0</v>
      </c>
      <c r="E45" s="632">
        <f t="shared" si="4"/>
        <v>0.25997700742943058</v>
      </c>
      <c r="F45" s="632">
        <f t="shared" si="5"/>
        <v>1.8430948871455917E-2</v>
      </c>
      <c r="G45" s="632">
        <f t="shared" si="6"/>
        <v>5.1017614333658144E-3</v>
      </c>
      <c r="H45" s="632">
        <f t="shared" si="7"/>
        <v>0</v>
      </c>
      <c r="I45" s="632">
        <f t="shared" si="8"/>
        <v>0</v>
      </c>
      <c r="J45" s="632">
        <f t="shared" si="9"/>
        <v>0.58081104379192594</v>
      </c>
      <c r="K45" s="632">
        <f t="shared" si="10"/>
        <v>0.11182927799808795</v>
      </c>
      <c r="L45" s="632">
        <f t="shared" si="11"/>
        <v>2.3849960475733678E-2</v>
      </c>
      <c r="M45" s="632">
        <f t="shared" si="12"/>
        <v>0</v>
      </c>
      <c r="N45" s="632">
        <f t="shared" si="13"/>
        <v>0</v>
      </c>
      <c r="O45" s="632">
        <f t="shared" si="14"/>
        <v>0</v>
      </c>
      <c r="Q45" s="456" t="s">
        <v>426</v>
      </c>
    </row>
    <row r="46" spans="1:17">
      <c r="A46" s="385">
        <v>396</v>
      </c>
      <c r="B46" s="379" t="s">
        <v>250</v>
      </c>
      <c r="C46" s="632">
        <f t="shared" si="2"/>
        <v>1</v>
      </c>
      <c r="D46" s="632">
        <f t="shared" si="3"/>
        <v>0</v>
      </c>
      <c r="E46" s="632">
        <f t="shared" si="4"/>
        <v>0.25997700742943058</v>
      </c>
      <c r="F46" s="632">
        <f t="shared" si="5"/>
        <v>1.8430948871455917E-2</v>
      </c>
      <c r="G46" s="632">
        <f t="shared" si="6"/>
        <v>5.1017614333658144E-3</v>
      </c>
      <c r="H46" s="632">
        <f t="shared" si="7"/>
        <v>0</v>
      </c>
      <c r="I46" s="632">
        <f t="shared" si="8"/>
        <v>0</v>
      </c>
      <c r="J46" s="632">
        <f t="shared" si="9"/>
        <v>0.58081104379192594</v>
      </c>
      <c r="K46" s="632">
        <f t="shared" si="10"/>
        <v>0.11182927799808795</v>
      </c>
      <c r="L46" s="632">
        <f t="shared" si="11"/>
        <v>2.3849960475733678E-2</v>
      </c>
      <c r="M46" s="632">
        <f t="shared" si="12"/>
        <v>0</v>
      </c>
      <c r="N46" s="632">
        <f t="shared" si="13"/>
        <v>0</v>
      </c>
      <c r="O46" s="632">
        <f t="shared" si="14"/>
        <v>0</v>
      </c>
      <c r="Q46" s="456" t="s">
        <v>426</v>
      </c>
    </row>
    <row r="47" spans="1:17">
      <c r="A47" s="385">
        <v>397</v>
      </c>
      <c r="B47" s="379" t="s">
        <v>251</v>
      </c>
      <c r="C47" s="632">
        <f t="shared" si="2"/>
        <v>1</v>
      </c>
      <c r="D47" s="632">
        <f t="shared" si="3"/>
        <v>0</v>
      </c>
      <c r="E47" s="632">
        <f t="shared" si="4"/>
        <v>0.25997700742943058</v>
      </c>
      <c r="F47" s="632">
        <f t="shared" si="5"/>
        <v>1.8430948871455917E-2</v>
      </c>
      <c r="G47" s="632">
        <f t="shared" si="6"/>
        <v>5.1017614333658144E-3</v>
      </c>
      <c r="H47" s="632">
        <f t="shared" si="7"/>
        <v>0</v>
      </c>
      <c r="I47" s="632">
        <f t="shared" si="8"/>
        <v>0</v>
      </c>
      <c r="J47" s="632">
        <f t="shared" si="9"/>
        <v>0.58081104379192594</v>
      </c>
      <c r="K47" s="632">
        <f t="shared" si="10"/>
        <v>0.11182927799808795</v>
      </c>
      <c r="L47" s="632">
        <f t="shared" si="11"/>
        <v>2.3849960475733678E-2</v>
      </c>
      <c r="M47" s="632">
        <f t="shared" si="12"/>
        <v>0</v>
      </c>
      <c r="N47" s="632">
        <f t="shared" si="13"/>
        <v>0</v>
      </c>
      <c r="O47" s="632">
        <f t="shared" si="14"/>
        <v>0</v>
      </c>
      <c r="Q47" s="456" t="s">
        <v>426</v>
      </c>
    </row>
    <row r="48" spans="1:17">
      <c r="A48" s="385">
        <v>398</v>
      </c>
      <c r="B48" s="379" t="s">
        <v>252</v>
      </c>
      <c r="C48" s="632">
        <f t="shared" si="2"/>
        <v>1</v>
      </c>
      <c r="D48" s="631">
        <f t="shared" si="3"/>
        <v>0</v>
      </c>
      <c r="E48" s="631">
        <f t="shared" si="4"/>
        <v>0.25997700742943058</v>
      </c>
      <c r="F48" s="631">
        <f t="shared" si="5"/>
        <v>1.8430948871455917E-2</v>
      </c>
      <c r="G48" s="631">
        <f t="shared" si="6"/>
        <v>5.1017614333658144E-3</v>
      </c>
      <c r="H48" s="631">
        <f t="shared" si="7"/>
        <v>0</v>
      </c>
      <c r="I48" s="631">
        <f t="shared" si="8"/>
        <v>0</v>
      </c>
      <c r="J48" s="631">
        <f t="shared" si="9"/>
        <v>0.58081104379192594</v>
      </c>
      <c r="K48" s="631">
        <f t="shared" si="10"/>
        <v>0.11182927799808795</v>
      </c>
      <c r="L48" s="631">
        <f t="shared" si="11"/>
        <v>2.3849960475733678E-2</v>
      </c>
      <c r="M48" s="631">
        <f t="shared" si="12"/>
        <v>0</v>
      </c>
      <c r="N48" s="631">
        <f t="shared" si="13"/>
        <v>0</v>
      </c>
      <c r="O48" s="631">
        <f t="shared" si="14"/>
        <v>0</v>
      </c>
      <c r="Q48" s="456" t="s">
        <v>426</v>
      </c>
    </row>
    <row r="49" spans="1:17">
      <c r="A49" s="390"/>
      <c r="B49" s="407" t="s">
        <v>102</v>
      </c>
      <c r="C49" s="637"/>
      <c r="D49" s="632"/>
      <c r="E49" s="637"/>
      <c r="F49" s="637"/>
      <c r="G49" s="637"/>
      <c r="H49" s="637"/>
      <c r="I49" s="637"/>
      <c r="J49" s="637"/>
      <c r="K49" s="637"/>
      <c r="L49" s="637"/>
      <c r="M49" s="637"/>
      <c r="N49" s="637"/>
      <c r="O49" s="637"/>
      <c r="Q49" s="456"/>
    </row>
    <row r="50" spans="1:17">
      <c r="A50" s="390"/>
      <c r="B50" s="409"/>
      <c r="C50" s="637"/>
      <c r="D50" s="632"/>
      <c r="E50" s="632"/>
      <c r="F50" s="632"/>
      <c r="G50" s="632"/>
      <c r="H50" s="632"/>
      <c r="I50" s="632"/>
      <c r="J50" s="632"/>
      <c r="K50" s="632"/>
      <c r="L50" s="632"/>
      <c r="M50" s="632"/>
      <c r="N50" s="632"/>
      <c r="O50" s="632"/>
      <c r="Q50" s="456"/>
    </row>
    <row r="51" spans="1:17">
      <c r="A51" s="382"/>
      <c r="B51" s="407"/>
      <c r="C51" s="460"/>
      <c r="Q51" s="456"/>
    </row>
    <row r="52" spans="1:17">
      <c r="A52" s="382"/>
      <c r="B52" s="790" t="s">
        <v>105</v>
      </c>
      <c r="C52" s="790"/>
      <c r="Q52" s="456"/>
    </row>
    <row r="53" spans="1:17">
      <c r="A53" s="385"/>
      <c r="B53" s="377" t="s">
        <v>255</v>
      </c>
      <c r="C53" s="457"/>
      <c r="Q53" s="456"/>
    </row>
    <row r="54" spans="1:17">
      <c r="A54" s="385">
        <v>302</v>
      </c>
      <c r="B54" s="379" t="s">
        <v>256</v>
      </c>
      <c r="C54" s="632">
        <f>SUM(D54:O54)</f>
        <v>1</v>
      </c>
      <c r="D54" s="632">
        <f t="shared" ref="D54:O54" si="15">+D11</f>
        <v>0</v>
      </c>
      <c r="E54" s="632">
        <f t="shared" si="15"/>
        <v>0.25997700742943058</v>
      </c>
      <c r="F54" s="632">
        <f t="shared" si="15"/>
        <v>1.8430948871455917E-2</v>
      </c>
      <c r="G54" s="632">
        <f t="shared" si="15"/>
        <v>5.1017614333658144E-3</v>
      </c>
      <c r="H54" s="632">
        <f t="shared" si="15"/>
        <v>0</v>
      </c>
      <c r="I54" s="632">
        <f t="shared" si="15"/>
        <v>0</v>
      </c>
      <c r="J54" s="632">
        <f t="shared" si="15"/>
        <v>0.58081104379192594</v>
      </c>
      <c r="K54" s="632">
        <f t="shared" si="15"/>
        <v>0.11182927799808795</v>
      </c>
      <c r="L54" s="632">
        <f t="shared" si="15"/>
        <v>2.3849960475733678E-2</v>
      </c>
      <c r="M54" s="632">
        <f t="shared" si="15"/>
        <v>0</v>
      </c>
      <c r="N54" s="632">
        <f t="shared" si="15"/>
        <v>0</v>
      </c>
      <c r="O54" s="632">
        <f t="shared" si="15"/>
        <v>0</v>
      </c>
      <c r="Q54" s="456" t="s">
        <v>426</v>
      </c>
    </row>
    <row r="55" spans="1:17">
      <c r="A55" s="385">
        <v>303</v>
      </c>
      <c r="B55" s="379" t="s">
        <v>257</v>
      </c>
      <c r="C55" s="632">
        <f>SUM(D55:O55)</f>
        <v>1</v>
      </c>
      <c r="D55" s="631">
        <f t="shared" ref="D55:O55" si="16">+D12</f>
        <v>0</v>
      </c>
      <c r="E55" s="631">
        <f t="shared" si="16"/>
        <v>0.25997700742943058</v>
      </c>
      <c r="F55" s="631">
        <f t="shared" si="16"/>
        <v>1.8430948871455917E-2</v>
      </c>
      <c r="G55" s="631">
        <f t="shared" si="16"/>
        <v>5.1017614333658144E-3</v>
      </c>
      <c r="H55" s="631">
        <f t="shared" si="16"/>
        <v>0</v>
      </c>
      <c r="I55" s="631">
        <f t="shared" si="16"/>
        <v>0</v>
      </c>
      <c r="J55" s="631">
        <f t="shared" si="16"/>
        <v>0.58081104379192594</v>
      </c>
      <c r="K55" s="631">
        <f t="shared" si="16"/>
        <v>0.11182927799808795</v>
      </c>
      <c r="L55" s="631">
        <f t="shared" si="16"/>
        <v>2.3849960475733678E-2</v>
      </c>
      <c r="M55" s="631">
        <f t="shared" si="16"/>
        <v>0</v>
      </c>
      <c r="N55" s="631">
        <f t="shared" si="16"/>
        <v>0</v>
      </c>
      <c r="O55" s="631">
        <f t="shared" si="16"/>
        <v>0</v>
      </c>
      <c r="Q55" s="456" t="s">
        <v>426</v>
      </c>
    </row>
    <row r="56" spans="1:17">
      <c r="A56" s="385"/>
      <c r="B56" s="377" t="s">
        <v>106</v>
      </c>
      <c r="C56" s="632"/>
      <c r="D56" s="637"/>
      <c r="E56" s="637"/>
      <c r="F56" s="637"/>
      <c r="G56" s="637"/>
      <c r="H56" s="637"/>
      <c r="I56" s="637"/>
      <c r="J56" s="637"/>
      <c r="K56" s="637"/>
      <c r="L56" s="637"/>
      <c r="M56" s="637"/>
      <c r="N56" s="637"/>
      <c r="O56" s="637"/>
      <c r="Q56" s="456"/>
    </row>
    <row r="57" spans="1:17">
      <c r="A57" s="385"/>
      <c r="B57" s="377"/>
      <c r="C57" s="637"/>
      <c r="D57" s="632"/>
      <c r="E57" s="632"/>
      <c r="F57" s="632"/>
      <c r="G57" s="632"/>
      <c r="H57" s="632"/>
      <c r="I57" s="632"/>
      <c r="J57" s="632"/>
      <c r="K57" s="632"/>
      <c r="L57" s="632"/>
      <c r="M57" s="632"/>
      <c r="N57" s="632"/>
      <c r="O57" s="632"/>
      <c r="Q57" s="456"/>
    </row>
    <row r="58" spans="1:17">
      <c r="A58" s="522"/>
      <c r="B58" s="377" t="s">
        <v>258</v>
      </c>
      <c r="C58" s="641"/>
      <c r="D58" s="632"/>
      <c r="E58" s="632"/>
      <c r="F58" s="632"/>
      <c r="G58" s="632"/>
      <c r="H58" s="632"/>
      <c r="I58" s="632"/>
      <c r="J58" s="632"/>
      <c r="K58" s="632"/>
      <c r="L58" s="632"/>
      <c r="M58" s="632"/>
      <c r="N58" s="632"/>
      <c r="O58" s="632"/>
      <c r="Q58" s="456"/>
    </row>
    <row r="59" spans="1:17">
      <c r="A59" s="385">
        <v>365</v>
      </c>
      <c r="B59" s="379" t="s">
        <v>244</v>
      </c>
      <c r="C59" s="632">
        <f>SUM(D59:O59)</f>
        <v>1</v>
      </c>
      <c r="D59" s="632">
        <v>0</v>
      </c>
      <c r="E59" s="632">
        <v>1</v>
      </c>
      <c r="F59" s="632">
        <v>0</v>
      </c>
      <c r="G59" s="632">
        <v>0</v>
      </c>
      <c r="H59" s="632">
        <v>0</v>
      </c>
      <c r="I59" s="632">
        <v>0</v>
      </c>
      <c r="J59" s="632">
        <v>0</v>
      </c>
      <c r="K59" s="632">
        <v>0</v>
      </c>
      <c r="L59" s="632">
        <v>0</v>
      </c>
      <c r="M59" s="632">
        <v>0</v>
      </c>
      <c r="N59" s="632">
        <v>0</v>
      </c>
      <c r="O59" s="632">
        <v>0</v>
      </c>
      <c r="Q59" s="456"/>
    </row>
    <row r="60" spans="1:17">
      <c r="A60" s="385">
        <v>366</v>
      </c>
      <c r="B60" s="379" t="s">
        <v>82</v>
      </c>
      <c r="C60" s="632">
        <f>SUM(D60:O60)</f>
        <v>1</v>
      </c>
      <c r="D60" s="632">
        <v>0</v>
      </c>
      <c r="E60" s="632">
        <v>1</v>
      </c>
      <c r="F60" s="632">
        <v>0</v>
      </c>
      <c r="G60" s="632">
        <v>0</v>
      </c>
      <c r="H60" s="632">
        <v>0</v>
      </c>
      <c r="I60" s="632">
        <v>0</v>
      </c>
      <c r="J60" s="632">
        <v>0</v>
      </c>
      <c r="K60" s="632">
        <v>0</v>
      </c>
      <c r="L60" s="632">
        <v>0</v>
      </c>
      <c r="M60" s="632">
        <v>0</v>
      </c>
      <c r="N60" s="632">
        <v>0</v>
      </c>
      <c r="O60" s="632">
        <v>0</v>
      </c>
      <c r="Q60" s="456"/>
    </row>
    <row r="61" spans="1:17">
      <c r="A61" s="385">
        <v>367</v>
      </c>
      <c r="B61" s="379" t="s">
        <v>83</v>
      </c>
      <c r="C61" s="632">
        <f>SUM(D61:O61)</f>
        <v>1</v>
      </c>
      <c r="D61" s="632">
        <v>0</v>
      </c>
      <c r="E61" s="632">
        <v>1</v>
      </c>
      <c r="F61" s="632">
        <v>0</v>
      </c>
      <c r="G61" s="632">
        <v>0</v>
      </c>
      <c r="H61" s="632">
        <v>0</v>
      </c>
      <c r="I61" s="632">
        <v>0</v>
      </c>
      <c r="J61" s="632">
        <v>0</v>
      </c>
      <c r="K61" s="632">
        <v>0</v>
      </c>
      <c r="L61" s="632">
        <v>0</v>
      </c>
      <c r="M61" s="632">
        <v>0</v>
      </c>
      <c r="N61" s="632">
        <v>0</v>
      </c>
      <c r="O61" s="632">
        <v>0</v>
      </c>
      <c r="Q61" s="456"/>
    </row>
    <row r="62" spans="1:17">
      <c r="A62" s="385">
        <v>369</v>
      </c>
      <c r="B62" s="379" t="s">
        <v>259</v>
      </c>
      <c r="C62" s="632">
        <f>SUM(D62:O62)</f>
        <v>1</v>
      </c>
      <c r="D62" s="632">
        <v>0</v>
      </c>
      <c r="E62" s="632">
        <v>1</v>
      </c>
      <c r="F62" s="632">
        <v>0</v>
      </c>
      <c r="G62" s="632">
        <v>0</v>
      </c>
      <c r="H62" s="632">
        <v>0</v>
      </c>
      <c r="I62" s="632">
        <v>0</v>
      </c>
      <c r="J62" s="632">
        <v>0</v>
      </c>
      <c r="K62" s="632">
        <v>0</v>
      </c>
      <c r="L62" s="632">
        <v>0</v>
      </c>
      <c r="M62" s="632">
        <v>0</v>
      </c>
      <c r="N62" s="632">
        <v>0</v>
      </c>
      <c r="O62" s="632">
        <v>0</v>
      </c>
      <c r="Q62" s="456"/>
    </row>
    <row r="63" spans="1:17">
      <c r="A63" s="385">
        <v>371</v>
      </c>
      <c r="B63" s="379" t="s">
        <v>98</v>
      </c>
      <c r="C63" s="632">
        <f>SUM(D63:O63)</f>
        <v>1</v>
      </c>
      <c r="D63" s="632">
        <v>0</v>
      </c>
      <c r="E63" s="632">
        <v>1</v>
      </c>
      <c r="F63" s="632">
        <v>0</v>
      </c>
      <c r="G63" s="632">
        <v>0</v>
      </c>
      <c r="H63" s="632">
        <v>0</v>
      </c>
      <c r="I63" s="632">
        <v>0</v>
      </c>
      <c r="J63" s="632">
        <v>0</v>
      </c>
      <c r="K63" s="632">
        <v>0</v>
      </c>
      <c r="L63" s="632">
        <v>0</v>
      </c>
      <c r="M63" s="632">
        <v>0</v>
      </c>
      <c r="N63" s="632">
        <v>0</v>
      </c>
      <c r="O63" s="632">
        <v>0</v>
      </c>
      <c r="Q63" s="456"/>
    </row>
    <row r="64" spans="1:17">
      <c r="A64" s="390"/>
      <c r="B64" s="377" t="s">
        <v>107</v>
      </c>
      <c r="C64" s="637"/>
      <c r="D64" s="637"/>
      <c r="E64" s="637"/>
      <c r="F64" s="637"/>
      <c r="G64" s="637"/>
      <c r="H64" s="637"/>
      <c r="I64" s="637"/>
      <c r="J64" s="637"/>
      <c r="K64" s="637"/>
      <c r="L64" s="637"/>
      <c r="M64" s="637"/>
      <c r="N64" s="637"/>
      <c r="O64" s="637"/>
      <c r="Q64" s="456"/>
    </row>
    <row r="65" spans="1:17">
      <c r="A65" s="390"/>
      <c r="B65" s="377"/>
      <c r="C65" s="637"/>
      <c r="D65" s="632"/>
      <c r="E65" s="632"/>
      <c r="F65" s="632"/>
      <c r="G65" s="632"/>
      <c r="H65" s="632"/>
      <c r="I65" s="632"/>
      <c r="J65" s="632"/>
      <c r="K65" s="632"/>
      <c r="L65" s="632"/>
      <c r="M65" s="632"/>
      <c r="N65" s="632"/>
      <c r="O65" s="632"/>
      <c r="Q65" s="456"/>
    </row>
    <row r="66" spans="1:17">
      <c r="A66" s="390"/>
      <c r="B66" s="377" t="s">
        <v>260</v>
      </c>
      <c r="C66" s="640"/>
      <c r="D66" s="632"/>
      <c r="E66" s="632"/>
      <c r="F66" s="632"/>
      <c r="G66" s="632"/>
      <c r="H66" s="632"/>
      <c r="I66" s="632"/>
      <c r="J66" s="632"/>
      <c r="K66" s="632"/>
      <c r="L66" s="632"/>
      <c r="M66" s="632"/>
      <c r="N66" s="632"/>
      <c r="O66" s="632"/>
      <c r="Q66" s="456"/>
    </row>
    <row r="67" spans="1:17">
      <c r="A67" s="385">
        <v>374.1</v>
      </c>
      <c r="B67" s="379" t="s">
        <v>81</v>
      </c>
      <c r="C67" s="632">
        <f t="shared" ref="C67:C78" si="17">SUM(D67:O67)</f>
        <v>1</v>
      </c>
      <c r="D67" s="632">
        <v>0</v>
      </c>
      <c r="E67" s="632">
        <v>0</v>
      </c>
      <c r="F67" s="632">
        <v>0</v>
      </c>
      <c r="G67" s="632">
        <v>1</v>
      </c>
      <c r="H67" s="632">
        <v>0</v>
      </c>
      <c r="I67" s="632">
        <v>0</v>
      </c>
      <c r="J67" s="632">
        <v>0</v>
      </c>
      <c r="K67" s="632">
        <v>0</v>
      </c>
      <c r="L67" s="632">
        <v>0</v>
      </c>
      <c r="M67" s="632">
        <v>0</v>
      </c>
      <c r="N67" s="632">
        <v>0</v>
      </c>
      <c r="O67" s="632">
        <v>0</v>
      </c>
      <c r="Q67" s="360" t="s">
        <v>428</v>
      </c>
    </row>
    <row r="68" spans="1:17">
      <c r="A68" s="385">
        <f>+A67+1</f>
        <v>375.1</v>
      </c>
      <c r="B68" s="379" t="s">
        <v>82</v>
      </c>
      <c r="C68" s="632">
        <f t="shared" si="17"/>
        <v>1</v>
      </c>
      <c r="D68" s="632">
        <v>0</v>
      </c>
      <c r="E68" s="632">
        <v>0</v>
      </c>
      <c r="F68" s="632">
        <v>0</v>
      </c>
      <c r="G68" s="632">
        <v>1</v>
      </c>
      <c r="H68" s="632">
        <v>0</v>
      </c>
      <c r="I68" s="632">
        <v>0</v>
      </c>
      <c r="J68" s="632">
        <v>0</v>
      </c>
      <c r="K68" s="632">
        <v>0</v>
      </c>
      <c r="L68" s="632">
        <v>0</v>
      </c>
      <c r="M68" s="632">
        <v>0</v>
      </c>
      <c r="N68" s="632">
        <v>0</v>
      </c>
      <c r="O68" s="632">
        <v>0</v>
      </c>
      <c r="Q68" s="360" t="s">
        <v>428</v>
      </c>
    </row>
    <row r="69" spans="1:17">
      <c r="A69" s="385">
        <f>+A68+1</f>
        <v>376.1</v>
      </c>
      <c r="B69" s="379" t="s">
        <v>83</v>
      </c>
      <c r="C69" s="632">
        <f t="shared" si="17"/>
        <v>1</v>
      </c>
      <c r="D69" s="632">
        <v>0</v>
      </c>
      <c r="E69" s="632">
        <f>1-J69</f>
        <v>0.48486249821048266</v>
      </c>
      <c r="F69" s="632">
        <v>0</v>
      </c>
      <c r="G69" s="632">
        <v>0</v>
      </c>
      <c r="H69" s="632">
        <v>0</v>
      </c>
      <c r="I69" s="632">
        <v>0</v>
      </c>
      <c r="J69" s="632">
        <f>[16]Summary!$J$9</f>
        <v>0.51513750178951734</v>
      </c>
      <c r="K69" s="632">
        <v>0</v>
      </c>
      <c r="L69" s="632">
        <v>0</v>
      </c>
      <c r="M69" s="632">
        <v>0</v>
      </c>
      <c r="N69" s="632">
        <v>0</v>
      </c>
      <c r="O69" s="632">
        <v>0</v>
      </c>
      <c r="Q69" s="456"/>
    </row>
    <row r="70" spans="1:17">
      <c r="A70" s="385">
        <v>378</v>
      </c>
      <c r="B70" s="379" t="s">
        <v>84</v>
      </c>
      <c r="C70" s="632">
        <f t="shared" si="17"/>
        <v>1</v>
      </c>
      <c r="D70" s="632">
        <v>0</v>
      </c>
      <c r="E70" s="632">
        <v>0</v>
      </c>
      <c r="F70" s="632">
        <v>1</v>
      </c>
      <c r="G70" s="632">
        <v>0</v>
      </c>
      <c r="H70" s="632">
        <v>0</v>
      </c>
      <c r="I70" s="632">
        <v>0</v>
      </c>
      <c r="J70" s="632">
        <v>0</v>
      </c>
      <c r="K70" s="632">
        <v>0</v>
      </c>
      <c r="L70" s="632">
        <v>0</v>
      </c>
      <c r="M70" s="632">
        <v>0</v>
      </c>
      <c r="N70" s="632">
        <v>0</v>
      </c>
      <c r="O70" s="632">
        <v>0</v>
      </c>
      <c r="Q70" s="456"/>
    </row>
    <row r="71" spans="1:17">
      <c r="A71" s="385">
        <f t="shared" ref="A71:A76" si="18">+A70+1</f>
        <v>379</v>
      </c>
      <c r="B71" s="379" t="s">
        <v>85</v>
      </c>
      <c r="C71" s="632">
        <f t="shared" si="17"/>
        <v>1</v>
      </c>
      <c r="D71" s="632">
        <v>0</v>
      </c>
      <c r="E71" s="632">
        <v>0</v>
      </c>
      <c r="F71" s="632">
        <v>1</v>
      </c>
      <c r="G71" s="632">
        <v>0</v>
      </c>
      <c r="H71" s="632">
        <v>0</v>
      </c>
      <c r="I71" s="632">
        <v>0</v>
      </c>
      <c r="J71" s="632">
        <v>0</v>
      </c>
      <c r="K71" s="632">
        <v>0</v>
      </c>
      <c r="L71" s="632">
        <v>0</v>
      </c>
      <c r="M71" s="632">
        <v>0</v>
      </c>
      <c r="N71" s="632">
        <v>0</v>
      </c>
      <c r="O71" s="632">
        <v>0</v>
      </c>
      <c r="Q71" s="456"/>
    </row>
    <row r="72" spans="1:17">
      <c r="A72" s="385">
        <f t="shared" si="18"/>
        <v>380</v>
      </c>
      <c r="B72" s="379" t="s">
        <v>86</v>
      </c>
      <c r="C72" s="632">
        <f t="shared" si="17"/>
        <v>1</v>
      </c>
      <c r="D72" s="632">
        <v>0</v>
      </c>
      <c r="E72" s="632">
        <v>0</v>
      </c>
      <c r="F72" s="632">
        <v>0</v>
      </c>
      <c r="G72" s="632">
        <v>0</v>
      </c>
      <c r="H72" s="632">
        <v>0</v>
      </c>
      <c r="I72" s="632">
        <v>0</v>
      </c>
      <c r="J72" s="632">
        <v>1</v>
      </c>
      <c r="K72" s="632">
        <v>0</v>
      </c>
      <c r="L72" s="632">
        <v>0</v>
      </c>
      <c r="M72" s="632">
        <v>0</v>
      </c>
      <c r="N72" s="632">
        <v>0</v>
      </c>
      <c r="O72" s="632">
        <v>0</v>
      </c>
      <c r="Q72" s="456"/>
    </row>
    <row r="73" spans="1:17">
      <c r="A73" s="385">
        <f t="shared" si="18"/>
        <v>381</v>
      </c>
      <c r="B73" s="379" t="s">
        <v>88</v>
      </c>
      <c r="C73" s="632">
        <f t="shared" si="17"/>
        <v>1</v>
      </c>
      <c r="D73" s="632">
        <v>0</v>
      </c>
      <c r="E73" s="632">
        <v>0</v>
      </c>
      <c r="F73" s="632">
        <v>0</v>
      </c>
      <c r="G73" s="632">
        <v>0</v>
      </c>
      <c r="H73" s="632">
        <v>0</v>
      </c>
      <c r="I73" s="632">
        <v>0</v>
      </c>
      <c r="J73" s="632">
        <v>0</v>
      </c>
      <c r="K73" s="632">
        <v>1</v>
      </c>
      <c r="L73" s="632">
        <v>0</v>
      </c>
      <c r="M73" s="632">
        <v>0</v>
      </c>
      <c r="N73" s="632">
        <v>0</v>
      </c>
      <c r="O73" s="632">
        <v>0</v>
      </c>
      <c r="Q73" s="456"/>
    </row>
    <row r="74" spans="1:17">
      <c r="A74" s="385">
        <f t="shared" si="18"/>
        <v>382</v>
      </c>
      <c r="B74" s="379" t="s">
        <v>90</v>
      </c>
      <c r="C74" s="632">
        <f t="shared" si="17"/>
        <v>1</v>
      </c>
      <c r="D74" s="632">
        <v>0</v>
      </c>
      <c r="E74" s="632">
        <v>0</v>
      </c>
      <c r="F74" s="632">
        <v>0</v>
      </c>
      <c r="G74" s="632">
        <v>0</v>
      </c>
      <c r="H74" s="632">
        <v>0</v>
      </c>
      <c r="I74" s="632">
        <v>0</v>
      </c>
      <c r="J74" s="632">
        <v>0</v>
      </c>
      <c r="K74" s="632">
        <v>1</v>
      </c>
      <c r="L74" s="632">
        <v>0</v>
      </c>
      <c r="M74" s="632">
        <v>0</v>
      </c>
      <c r="N74" s="632">
        <v>0</v>
      </c>
      <c r="O74" s="632">
        <v>0</v>
      </c>
      <c r="Q74" s="456"/>
    </row>
    <row r="75" spans="1:17">
      <c r="A75" s="385">
        <f t="shared" si="18"/>
        <v>383</v>
      </c>
      <c r="B75" s="379" t="s">
        <v>92</v>
      </c>
      <c r="C75" s="632">
        <f t="shared" si="17"/>
        <v>1</v>
      </c>
      <c r="D75" s="632">
        <v>0</v>
      </c>
      <c r="E75" s="632">
        <v>0</v>
      </c>
      <c r="F75" s="632">
        <v>0</v>
      </c>
      <c r="G75" s="632">
        <v>0</v>
      </c>
      <c r="H75" s="632">
        <v>0</v>
      </c>
      <c r="I75" s="632">
        <v>0</v>
      </c>
      <c r="J75" s="632">
        <v>0</v>
      </c>
      <c r="K75" s="632">
        <v>0</v>
      </c>
      <c r="L75" s="632">
        <v>1</v>
      </c>
      <c r="M75" s="632">
        <v>0</v>
      </c>
      <c r="N75" s="632">
        <v>0</v>
      </c>
      <c r="O75" s="632">
        <v>0</v>
      </c>
      <c r="Q75" s="456"/>
    </row>
    <row r="76" spans="1:17">
      <c r="A76" s="385">
        <f t="shared" si="18"/>
        <v>384</v>
      </c>
      <c r="B76" s="379" t="s">
        <v>109</v>
      </c>
      <c r="C76" s="632">
        <f t="shared" si="17"/>
        <v>1</v>
      </c>
      <c r="D76" s="632">
        <v>0</v>
      </c>
      <c r="E76" s="632">
        <v>0</v>
      </c>
      <c r="F76" s="632">
        <v>0</v>
      </c>
      <c r="G76" s="632">
        <v>0</v>
      </c>
      <c r="H76" s="632">
        <v>0</v>
      </c>
      <c r="I76" s="632">
        <v>0</v>
      </c>
      <c r="J76" s="632">
        <v>0</v>
      </c>
      <c r="K76" s="632">
        <v>0</v>
      </c>
      <c r="L76" s="632">
        <v>1</v>
      </c>
      <c r="M76" s="632">
        <v>0</v>
      </c>
      <c r="N76" s="632">
        <v>0</v>
      </c>
      <c r="O76" s="632">
        <v>0</v>
      </c>
      <c r="Q76" s="456"/>
    </row>
    <row r="77" spans="1:17">
      <c r="A77" s="385">
        <v>385</v>
      </c>
      <c r="B77" s="379" t="s">
        <v>96</v>
      </c>
      <c r="C77" s="632">
        <f t="shared" si="17"/>
        <v>1</v>
      </c>
      <c r="D77" s="632">
        <v>0</v>
      </c>
      <c r="E77" s="632">
        <v>0</v>
      </c>
      <c r="F77" s="632">
        <v>0</v>
      </c>
      <c r="G77" s="632">
        <v>0</v>
      </c>
      <c r="H77" s="632">
        <v>0</v>
      </c>
      <c r="I77" s="632">
        <v>0</v>
      </c>
      <c r="J77" s="632">
        <v>0</v>
      </c>
      <c r="K77" s="632">
        <v>0</v>
      </c>
      <c r="L77" s="632">
        <v>1</v>
      </c>
      <c r="M77" s="632">
        <v>0</v>
      </c>
      <c r="N77" s="632">
        <v>0</v>
      </c>
      <c r="O77" s="632">
        <v>0</v>
      </c>
      <c r="Q77" s="456"/>
    </row>
    <row r="78" spans="1:17">
      <c r="A78" s="385">
        <v>387</v>
      </c>
      <c r="B78" s="379" t="s">
        <v>98</v>
      </c>
      <c r="C78" s="632">
        <f t="shared" si="17"/>
        <v>1</v>
      </c>
      <c r="D78" s="632">
        <v>0</v>
      </c>
      <c r="E78" s="632">
        <v>0</v>
      </c>
      <c r="F78" s="631">
        <v>0</v>
      </c>
      <c r="G78" s="631">
        <v>1</v>
      </c>
      <c r="H78" s="631">
        <v>0</v>
      </c>
      <c r="I78" s="631">
        <v>0</v>
      </c>
      <c r="J78" s="632">
        <v>0</v>
      </c>
      <c r="K78" s="632">
        <v>0</v>
      </c>
      <c r="L78" s="631">
        <v>0</v>
      </c>
      <c r="M78" s="632">
        <v>0</v>
      </c>
      <c r="N78" s="632">
        <v>0</v>
      </c>
      <c r="O78" s="632">
        <v>0</v>
      </c>
      <c r="Q78" s="360" t="s">
        <v>428</v>
      </c>
    </row>
    <row r="79" spans="1:17">
      <c r="A79" s="390"/>
      <c r="B79" s="377" t="s">
        <v>110</v>
      </c>
      <c r="C79" s="637"/>
      <c r="D79" s="637"/>
      <c r="E79" s="637"/>
      <c r="F79" s="637"/>
      <c r="G79" s="637"/>
      <c r="H79" s="637"/>
      <c r="I79" s="637"/>
      <c r="J79" s="637"/>
      <c r="K79" s="637"/>
      <c r="L79" s="637"/>
      <c r="M79" s="637"/>
      <c r="N79" s="637"/>
      <c r="O79" s="637"/>
      <c r="Q79" s="456"/>
    </row>
    <row r="80" spans="1:17">
      <c r="A80" s="390"/>
      <c r="B80" s="377"/>
      <c r="C80" s="637"/>
      <c r="D80" s="632"/>
      <c r="E80" s="632"/>
      <c r="F80" s="632"/>
      <c r="G80" s="632"/>
      <c r="H80" s="632"/>
      <c r="I80" s="632"/>
      <c r="J80" s="632"/>
      <c r="K80" s="632"/>
      <c r="L80" s="632"/>
      <c r="M80" s="632"/>
      <c r="N80" s="632"/>
      <c r="O80" s="632"/>
      <c r="Q80" s="456"/>
    </row>
    <row r="81" spans="1:17">
      <c r="A81" s="385"/>
      <c r="B81" s="377" t="s">
        <v>261</v>
      </c>
      <c r="C81" s="640"/>
      <c r="D81" s="632"/>
      <c r="E81" s="632"/>
      <c r="F81" s="632"/>
      <c r="G81" s="632"/>
      <c r="H81" s="632"/>
      <c r="I81" s="632"/>
      <c r="J81" s="632"/>
      <c r="K81" s="632"/>
      <c r="L81" s="632"/>
      <c r="M81" s="632"/>
      <c r="N81" s="632"/>
      <c r="O81" s="632"/>
      <c r="Q81" s="456"/>
    </row>
    <row r="82" spans="1:17">
      <c r="A82" s="385">
        <v>389</v>
      </c>
      <c r="B82" s="379" t="s">
        <v>244</v>
      </c>
      <c r="C82" s="632">
        <f t="shared" ref="C82:C91" si="19">SUM(D82:O82)</f>
        <v>1</v>
      </c>
      <c r="D82" s="632">
        <f t="shared" ref="D82:D91" si="20">+$D$11</f>
        <v>0</v>
      </c>
      <c r="E82" s="632">
        <f t="shared" ref="E82:E91" si="21">+$E$11</f>
        <v>0.25997700742943058</v>
      </c>
      <c r="F82" s="632">
        <f t="shared" ref="F82:F91" si="22">+$F$11</f>
        <v>1.8430948871455917E-2</v>
      </c>
      <c r="G82" s="632">
        <f t="shared" ref="G82:G91" si="23">+$G$11</f>
        <v>5.1017614333658144E-3</v>
      </c>
      <c r="H82" s="632">
        <f t="shared" ref="H82:H91" si="24">+$H$11</f>
        <v>0</v>
      </c>
      <c r="I82" s="632">
        <f t="shared" ref="I82:I91" si="25">+$I$11</f>
        <v>0</v>
      </c>
      <c r="J82" s="632">
        <f t="shared" ref="J82:J91" si="26">+$J$11</f>
        <v>0.58081104379192594</v>
      </c>
      <c r="K82" s="632">
        <f t="shared" ref="K82:K91" si="27">+$K$11</f>
        <v>0.11182927799808795</v>
      </c>
      <c r="L82" s="632">
        <f t="shared" ref="L82:L91" si="28">+$L$11</f>
        <v>2.3849960475733678E-2</v>
      </c>
      <c r="M82" s="632">
        <f t="shared" ref="M82:M91" si="29">+$M$11</f>
        <v>0</v>
      </c>
      <c r="N82" s="632">
        <f t="shared" ref="N82:N91" si="30">+$N$11</f>
        <v>0</v>
      </c>
      <c r="O82" s="632">
        <f t="shared" ref="O82:O91" si="31">+$O$11</f>
        <v>0</v>
      </c>
      <c r="Q82" s="456" t="s">
        <v>426</v>
      </c>
    </row>
    <row r="83" spans="1:17">
      <c r="A83" s="385">
        <v>390</v>
      </c>
      <c r="B83" s="379" t="s">
        <v>82</v>
      </c>
      <c r="C83" s="632">
        <f t="shared" si="19"/>
        <v>1</v>
      </c>
      <c r="D83" s="632">
        <f t="shared" si="20"/>
        <v>0</v>
      </c>
      <c r="E83" s="632">
        <f t="shared" si="21"/>
        <v>0.25997700742943058</v>
      </c>
      <c r="F83" s="632">
        <f t="shared" si="22"/>
        <v>1.8430948871455917E-2</v>
      </c>
      <c r="G83" s="632">
        <f t="shared" si="23"/>
        <v>5.1017614333658144E-3</v>
      </c>
      <c r="H83" s="632">
        <f t="shared" si="24"/>
        <v>0</v>
      </c>
      <c r="I83" s="632">
        <f t="shared" si="25"/>
        <v>0</v>
      </c>
      <c r="J83" s="632">
        <f t="shared" si="26"/>
        <v>0.58081104379192594</v>
      </c>
      <c r="K83" s="632">
        <f t="shared" si="27"/>
        <v>0.11182927799808795</v>
      </c>
      <c r="L83" s="632">
        <f t="shared" si="28"/>
        <v>2.3849960475733678E-2</v>
      </c>
      <c r="M83" s="632">
        <f t="shared" si="29"/>
        <v>0</v>
      </c>
      <c r="N83" s="632">
        <f t="shared" si="30"/>
        <v>0</v>
      </c>
      <c r="O83" s="632">
        <f t="shared" si="31"/>
        <v>0</v>
      </c>
      <c r="Q83" s="456" t="s">
        <v>426</v>
      </c>
    </row>
    <row r="84" spans="1:17">
      <c r="A84" s="385">
        <v>391</v>
      </c>
      <c r="B84" s="379" t="s">
        <v>262</v>
      </c>
      <c r="C84" s="632">
        <f t="shared" si="19"/>
        <v>1</v>
      </c>
      <c r="D84" s="632">
        <f t="shared" si="20"/>
        <v>0</v>
      </c>
      <c r="E84" s="632">
        <f t="shared" si="21"/>
        <v>0.25997700742943058</v>
      </c>
      <c r="F84" s="632">
        <f t="shared" si="22"/>
        <v>1.8430948871455917E-2</v>
      </c>
      <c r="G84" s="632">
        <f t="shared" si="23"/>
        <v>5.1017614333658144E-3</v>
      </c>
      <c r="H84" s="632">
        <f t="shared" si="24"/>
        <v>0</v>
      </c>
      <c r="I84" s="632">
        <f t="shared" si="25"/>
        <v>0</v>
      </c>
      <c r="J84" s="632">
        <f t="shared" si="26"/>
        <v>0.58081104379192594</v>
      </c>
      <c r="K84" s="632">
        <f t="shared" si="27"/>
        <v>0.11182927799808795</v>
      </c>
      <c r="L84" s="632">
        <f t="shared" si="28"/>
        <v>2.3849960475733678E-2</v>
      </c>
      <c r="M84" s="632">
        <f t="shared" si="29"/>
        <v>0</v>
      </c>
      <c r="N84" s="632">
        <f t="shared" si="30"/>
        <v>0</v>
      </c>
      <c r="O84" s="632">
        <f t="shared" si="31"/>
        <v>0</v>
      </c>
      <c r="Q84" s="456" t="s">
        <v>426</v>
      </c>
    </row>
    <row r="85" spans="1:17">
      <c r="A85" s="385">
        <v>392</v>
      </c>
      <c r="B85" s="379" t="s">
        <v>246</v>
      </c>
      <c r="C85" s="632">
        <f t="shared" si="19"/>
        <v>1</v>
      </c>
      <c r="D85" s="632">
        <f t="shared" si="20"/>
        <v>0</v>
      </c>
      <c r="E85" s="632">
        <f t="shared" si="21"/>
        <v>0.25997700742943058</v>
      </c>
      <c r="F85" s="632">
        <f t="shared" si="22"/>
        <v>1.8430948871455917E-2</v>
      </c>
      <c r="G85" s="632">
        <f t="shared" si="23"/>
        <v>5.1017614333658144E-3</v>
      </c>
      <c r="H85" s="632">
        <f t="shared" si="24"/>
        <v>0</v>
      </c>
      <c r="I85" s="632">
        <f t="shared" si="25"/>
        <v>0</v>
      </c>
      <c r="J85" s="632">
        <f t="shared" si="26"/>
        <v>0.58081104379192594</v>
      </c>
      <c r="K85" s="632">
        <f t="shared" si="27"/>
        <v>0.11182927799808795</v>
      </c>
      <c r="L85" s="632">
        <f t="shared" si="28"/>
        <v>2.3849960475733678E-2</v>
      </c>
      <c r="M85" s="632">
        <f t="shared" si="29"/>
        <v>0</v>
      </c>
      <c r="N85" s="632">
        <f t="shared" si="30"/>
        <v>0</v>
      </c>
      <c r="O85" s="632">
        <f t="shared" si="31"/>
        <v>0</v>
      </c>
      <c r="Q85" s="456" t="s">
        <v>426</v>
      </c>
    </row>
    <row r="86" spans="1:17">
      <c r="A86" s="385">
        <v>393</v>
      </c>
      <c r="B86" s="379" t="s">
        <v>247</v>
      </c>
      <c r="C86" s="632">
        <f t="shared" si="19"/>
        <v>1</v>
      </c>
      <c r="D86" s="632">
        <f t="shared" si="20"/>
        <v>0</v>
      </c>
      <c r="E86" s="632">
        <f t="shared" si="21"/>
        <v>0.25997700742943058</v>
      </c>
      <c r="F86" s="632">
        <f t="shared" si="22"/>
        <v>1.8430948871455917E-2</v>
      </c>
      <c r="G86" s="632">
        <f t="shared" si="23"/>
        <v>5.1017614333658144E-3</v>
      </c>
      <c r="H86" s="632">
        <f t="shared" si="24"/>
        <v>0</v>
      </c>
      <c r="I86" s="632">
        <f t="shared" si="25"/>
        <v>0</v>
      </c>
      <c r="J86" s="632">
        <f t="shared" si="26"/>
        <v>0.58081104379192594</v>
      </c>
      <c r="K86" s="632">
        <f t="shared" si="27"/>
        <v>0.11182927799808795</v>
      </c>
      <c r="L86" s="632">
        <f t="shared" si="28"/>
        <v>2.3849960475733678E-2</v>
      </c>
      <c r="M86" s="632">
        <f t="shared" si="29"/>
        <v>0</v>
      </c>
      <c r="N86" s="632">
        <f t="shared" si="30"/>
        <v>0</v>
      </c>
      <c r="O86" s="632">
        <f t="shared" si="31"/>
        <v>0</v>
      </c>
      <c r="Q86" s="456" t="s">
        <v>426</v>
      </c>
    </row>
    <row r="87" spans="1:17">
      <c r="A87" s="385">
        <v>394</v>
      </c>
      <c r="B87" s="379" t="s">
        <v>248</v>
      </c>
      <c r="C87" s="632">
        <f t="shared" si="19"/>
        <v>1</v>
      </c>
      <c r="D87" s="632">
        <f t="shared" si="20"/>
        <v>0</v>
      </c>
      <c r="E87" s="632">
        <f t="shared" si="21"/>
        <v>0.25997700742943058</v>
      </c>
      <c r="F87" s="632">
        <f t="shared" si="22"/>
        <v>1.8430948871455917E-2</v>
      </c>
      <c r="G87" s="632">
        <f t="shared" si="23"/>
        <v>5.1017614333658144E-3</v>
      </c>
      <c r="H87" s="632">
        <f t="shared" si="24"/>
        <v>0</v>
      </c>
      <c r="I87" s="632">
        <f t="shared" si="25"/>
        <v>0</v>
      </c>
      <c r="J87" s="632">
        <f t="shared" si="26"/>
        <v>0.58081104379192594</v>
      </c>
      <c r="K87" s="632">
        <f t="shared" si="27"/>
        <v>0.11182927799808795</v>
      </c>
      <c r="L87" s="632">
        <f t="shared" si="28"/>
        <v>2.3849960475733678E-2</v>
      </c>
      <c r="M87" s="632">
        <f t="shared" si="29"/>
        <v>0</v>
      </c>
      <c r="N87" s="632">
        <f t="shared" si="30"/>
        <v>0</v>
      </c>
      <c r="O87" s="632">
        <f t="shared" si="31"/>
        <v>0</v>
      </c>
      <c r="Q87" s="456" t="s">
        <v>426</v>
      </c>
    </row>
    <row r="88" spans="1:17">
      <c r="A88" s="385">
        <v>395</v>
      </c>
      <c r="B88" s="379" t="s">
        <v>249</v>
      </c>
      <c r="C88" s="632">
        <f t="shared" si="19"/>
        <v>1</v>
      </c>
      <c r="D88" s="632">
        <f t="shared" si="20"/>
        <v>0</v>
      </c>
      <c r="E88" s="632">
        <f t="shared" si="21"/>
        <v>0.25997700742943058</v>
      </c>
      <c r="F88" s="632">
        <f t="shared" si="22"/>
        <v>1.8430948871455917E-2</v>
      </c>
      <c r="G88" s="632">
        <f t="shared" si="23"/>
        <v>5.1017614333658144E-3</v>
      </c>
      <c r="H88" s="632">
        <f t="shared" si="24"/>
        <v>0</v>
      </c>
      <c r="I88" s="632">
        <f t="shared" si="25"/>
        <v>0</v>
      </c>
      <c r="J88" s="632">
        <f t="shared" si="26"/>
        <v>0.58081104379192594</v>
      </c>
      <c r="K88" s="632">
        <f t="shared" si="27"/>
        <v>0.11182927799808795</v>
      </c>
      <c r="L88" s="632">
        <f t="shared" si="28"/>
        <v>2.3849960475733678E-2</v>
      </c>
      <c r="M88" s="632">
        <f t="shared" si="29"/>
        <v>0</v>
      </c>
      <c r="N88" s="632">
        <f t="shared" si="30"/>
        <v>0</v>
      </c>
      <c r="O88" s="632">
        <f t="shared" si="31"/>
        <v>0</v>
      </c>
      <c r="Q88" s="456" t="s">
        <v>426</v>
      </c>
    </row>
    <row r="89" spans="1:17">
      <c r="A89" s="385">
        <v>396</v>
      </c>
      <c r="B89" s="379" t="s">
        <v>250</v>
      </c>
      <c r="C89" s="632">
        <f t="shared" si="19"/>
        <v>1</v>
      </c>
      <c r="D89" s="632">
        <f t="shared" si="20"/>
        <v>0</v>
      </c>
      <c r="E89" s="632">
        <f t="shared" si="21"/>
        <v>0.25997700742943058</v>
      </c>
      <c r="F89" s="632">
        <f t="shared" si="22"/>
        <v>1.8430948871455917E-2</v>
      </c>
      <c r="G89" s="632">
        <f t="shared" si="23"/>
        <v>5.1017614333658144E-3</v>
      </c>
      <c r="H89" s="632">
        <f t="shared" si="24"/>
        <v>0</v>
      </c>
      <c r="I89" s="632">
        <f t="shared" si="25"/>
        <v>0</v>
      </c>
      <c r="J89" s="632">
        <f t="shared" si="26"/>
        <v>0.58081104379192594</v>
      </c>
      <c r="K89" s="632">
        <f t="shared" si="27"/>
        <v>0.11182927799808795</v>
      </c>
      <c r="L89" s="632">
        <f t="shared" si="28"/>
        <v>2.3849960475733678E-2</v>
      </c>
      <c r="M89" s="632">
        <f t="shared" si="29"/>
        <v>0</v>
      </c>
      <c r="N89" s="632">
        <f t="shared" si="30"/>
        <v>0</v>
      </c>
      <c r="O89" s="632">
        <f t="shared" si="31"/>
        <v>0</v>
      </c>
      <c r="Q89" s="456" t="s">
        <v>426</v>
      </c>
    </row>
    <row r="90" spans="1:17">
      <c r="A90" s="385">
        <v>397</v>
      </c>
      <c r="B90" s="379" t="s">
        <v>251</v>
      </c>
      <c r="C90" s="632">
        <f t="shared" si="19"/>
        <v>1</v>
      </c>
      <c r="D90" s="632">
        <f t="shared" si="20"/>
        <v>0</v>
      </c>
      <c r="E90" s="632">
        <f t="shared" si="21"/>
        <v>0.25997700742943058</v>
      </c>
      <c r="F90" s="632">
        <f t="shared" si="22"/>
        <v>1.8430948871455917E-2</v>
      </c>
      <c r="G90" s="632">
        <f t="shared" si="23"/>
        <v>5.1017614333658144E-3</v>
      </c>
      <c r="H90" s="632">
        <f t="shared" si="24"/>
        <v>0</v>
      </c>
      <c r="I90" s="632">
        <f t="shared" si="25"/>
        <v>0</v>
      </c>
      <c r="J90" s="632">
        <f t="shared" si="26"/>
        <v>0.58081104379192594</v>
      </c>
      <c r="K90" s="632">
        <f t="shared" si="27"/>
        <v>0.11182927799808795</v>
      </c>
      <c r="L90" s="632">
        <f t="shared" si="28"/>
        <v>2.3849960475733678E-2</v>
      </c>
      <c r="M90" s="632">
        <f t="shared" si="29"/>
        <v>0</v>
      </c>
      <c r="N90" s="632">
        <f t="shared" si="30"/>
        <v>0</v>
      </c>
      <c r="O90" s="632">
        <f t="shared" si="31"/>
        <v>0</v>
      </c>
      <c r="Q90" s="456" t="s">
        <v>426</v>
      </c>
    </row>
    <row r="91" spans="1:17">
      <c r="A91" s="385">
        <v>398</v>
      </c>
      <c r="B91" s="379" t="s">
        <v>252</v>
      </c>
      <c r="C91" s="632">
        <f t="shared" si="19"/>
        <v>1</v>
      </c>
      <c r="D91" s="631">
        <f t="shared" si="20"/>
        <v>0</v>
      </c>
      <c r="E91" s="631">
        <f t="shared" si="21"/>
        <v>0.25997700742943058</v>
      </c>
      <c r="F91" s="631">
        <f t="shared" si="22"/>
        <v>1.8430948871455917E-2</v>
      </c>
      <c r="G91" s="631">
        <f t="shared" si="23"/>
        <v>5.1017614333658144E-3</v>
      </c>
      <c r="H91" s="631">
        <f t="shared" si="24"/>
        <v>0</v>
      </c>
      <c r="I91" s="631">
        <f t="shared" si="25"/>
        <v>0</v>
      </c>
      <c r="J91" s="631">
        <f t="shared" si="26"/>
        <v>0.58081104379192594</v>
      </c>
      <c r="K91" s="631">
        <f t="shared" si="27"/>
        <v>0.11182927799808795</v>
      </c>
      <c r="L91" s="631">
        <f t="shared" si="28"/>
        <v>2.3849960475733678E-2</v>
      </c>
      <c r="M91" s="631">
        <f t="shared" si="29"/>
        <v>0</v>
      </c>
      <c r="N91" s="631">
        <f t="shared" si="30"/>
        <v>0</v>
      </c>
      <c r="O91" s="631">
        <f t="shared" si="31"/>
        <v>0</v>
      </c>
      <c r="Q91" s="456" t="s">
        <v>426</v>
      </c>
    </row>
    <row r="92" spans="1:17">
      <c r="A92" s="385"/>
      <c r="B92" s="377" t="s">
        <v>111</v>
      </c>
      <c r="C92" s="637"/>
      <c r="D92" s="637"/>
      <c r="E92" s="637"/>
      <c r="F92" s="637"/>
      <c r="G92" s="637"/>
      <c r="H92" s="637"/>
      <c r="I92" s="637"/>
      <c r="J92" s="637"/>
      <c r="K92" s="637"/>
      <c r="L92" s="637"/>
      <c r="M92" s="637"/>
      <c r="N92" s="637"/>
      <c r="O92" s="637"/>
      <c r="Q92" s="456"/>
    </row>
    <row r="93" spans="1:17">
      <c r="A93" s="381"/>
      <c r="B93" s="381"/>
      <c r="C93" s="638"/>
      <c r="D93" s="632"/>
      <c r="E93" s="632"/>
      <c r="F93" s="632"/>
      <c r="G93" s="632"/>
      <c r="H93" s="632"/>
      <c r="I93" s="632"/>
      <c r="J93" s="632"/>
      <c r="K93" s="632"/>
      <c r="L93" s="632"/>
      <c r="M93" s="632"/>
      <c r="N93" s="632"/>
      <c r="O93" s="632"/>
      <c r="Q93" s="456"/>
    </row>
    <row r="94" spans="1:17">
      <c r="A94" s="390"/>
      <c r="B94" s="377" t="s">
        <v>114</v>
      </c>
      <c r="C94" s="638"/>
      <c r="D94" s="632"/>
      <c r="E94" s="632"/>
      <c r="F94" s="632"/>
      <c r="G94" s="632"/>
      <c r="H94" s="632"/>
      <c r="I94" s="632"/>
      <c r="J94" s="632"/>
      <c r="K94" s="632"/>
      <c r="L94" s="632"/>
      <c r="M94" s="632"/>
      <c r="N94" s="632"/>
      <c r="O94" s="632"/>
      <c r="Q94" s="456"/>
    </row>
    <row r="95" spans="1:17">
      <c r="A95" s="390" t="s">
        <v>115</v>
      </c>
      <c r="B95" s="379" t="s">
        <v>16</v>
      </c>
      <c r="C95" s="632">
        <f>SUM(D95:O95)</f>
        <v>1</v>
      </c>
      <c r="D95" s="632">
        <f>'G-5 Function Rate Base'!H34/'G-5 Function Rate Base'!$D34</f>
        <v>0</v>
      </c>
      <c r="E95" s="632">
        <f>'G-5 Function Rate Base'!I34/'G-5 Function Rate Base'!$D34</f>
        <v>0.25997700742943058</v>
      </c>
      <c r="F95" s="632">
        <f>'G-5 Function Rate Base'!J34/'G-5 Function Rate Base'!$D34</f>
        <v>1.8430948871455917E-2</v>
      </c>
      <c r="G95" s="632">
        <f>'G-5 Function Rate Base'!K34/'G-5 Function Rate Base'!$D34</f>
        <v>5.1017614333658144E-3</v>
      </c>
      <c r="H95" s="632">
        <f>'G-5 Function Rate Base'!L34/'G-5 Function Rate Base'!$D34</f>
        <v>0</v>
      </c>
      <c r="I95" s="632">
        <f>'G-5 Function Rate Base'!M34/'G-5 Function Rate Base'!$D34</f>
        <v>0</v>
      </c>
      <c r="J95" s="632">
        <f>'G-5 Function Rate Base'!N34/'G-5 Function Rate Base'!$D34</f>
        <v>0.58081104379192594</v>
      </c>
      <c r="K95" s="632">
        <f>'G-5 Function Rate Base'!O34/'G-5 Function Rate Base'!$D34</f>
        <v>0.11182927799808795</v>
      </c>
      <c r="L95" s="632">
        <f>'G-5 Function Rate Base'!P34/'G-5 Function Rate Base'!$D34</f>
        <v>2.3849960475733678E-2</v>
      </c>
      <c r="M95" s="632">
        <f>'G-5 Function Rate Base'!Q34/'G-5 Function Rate Base'!$D34</f>
        <v>0</v>
      </c>
      <c r="N95" s="632">
        <f>'G-5 Function Rate Base'!R34/'G-5 Function Rate Base'!$D34</f>
        <v>0</v>
      </c>
      <c r="O95" s="632">
        <f>'G-5 Function Rate Base'!S34/'G-5 Function Rate Base'!$D34</f>
        <v>0</v>
      </c>
      <c r="Q95" s="304" t="s">
        <v>363</v>
      </c>
    </row>
    <row r="96" spans="1:17">
      <c r="A96" s="390" t="s">
        <v>116</v>
      </c>
      <c r="B96" s="379" t="s">
        <v>17</v>
      </c>
      <c r="C96" s="632">
        <f>SUM(D96:O96)</f>
        <v>1</v>
      </c>
      <c r="D96" s="638">
        <f t="shared" ref="D96:O96" si="32">+D11</f>
        <v>0</v>
      </c>
      <c r="E96" s="638">
        <f t="shared" si="32"/>
        <v>0.25997700742943058</v>
      </c>
      <c r="F96" s="638">
        <f t="shared" si="32"/>
        <v>1.8430948871455917E-2</v>
      </c>
      <c r="G96" s="638">
        <f t="shared" si="32"/>
        <v>5.1017614333658144E-3</v>
      </c>
      <c r="H96" s="638">
        <f t="shared" si="32"/>
        <v>0</v>
      </c>
      <c r="I96" s="638">
        <f t="shared" si="32"/>
        <v>0</v>
      </c>
      <c r="J96" s="638">
        <f t="shared" si="32"/>
        <v>0.58081104379192594</v>
      </c>
      <c r="K96" s="638">
        <f t="shared" si="32"/>
        <v>0.11182927799808795</v>
      </c>
      <c r="L96" s="638">
        <f t="shared" si="32"/>
        <v>2.3849960475733678E-2</v>
      </c>
      <c r="M96" s="638">
        <f t="shared" si="32"/>
        <v>0</v>
      </c>
      <c r="N96" s="638">
        <f t="shared" si="32"/>
        <v>0</v>
      </c>
      <c r="O96" s="638">
        <f t="shared" si="32"/>
        <v>0</v>
      </c>
      <c r="Q96" s="456" t="s">
        <v>127</v>
      </c>
    </row>
    <row r="97" spans="1:17">
      <c r="A97" s="385">
        <v>165</v>
      </c>
      <c r="B97" s="381" t="s">
        <v>18</v>
      </c>
      <c r="C97" s="632">
        <f>SUM(D97:O97)</f>
        <v>1</v>
      </c>
      <c r="D97" s="639">
        <f t="shared" ref="D97:O97" si="33">+D12</f>
        <v>0</v>
      </c>
      <c r="E97" s="639">
        <f t="shared" si="33"/>
        <v>0.25997700742943058</v>
      </c>
      <c r="F97" s="639">
        <f t="shared" si="33"/>
        <v>1.8430948871455917E-2</v>
      </c>
      <c r="G97" s="639">
        <f t="shared" si="33"/>
        <v>5.1017614333658144E-3</v>
      </c>
      <c r="H97" s="639">
        <f t="shared" si="33"/>
        <v>0</v>
      </c>
      <c r="I97" s="639">
        <f t="shared" si="33"/>
        <v>0</v>
      </c>
      <c r="J97" s="639">
        <f t="shared" si="33"/>
        <v>0.58081104379192594</v>
      </c>
      <c r="K97" s="639">
        <f t="shared" si="33"/>
        <v>0.11182927799808795</v>
      </c>
      <c r="L97" s="639">
        <f t="shared" si="33"/>
        <v>2.3849960475733678E-2</v>
      </c>
      <c r="M97" s="639">
        <f t="shared" si="33"/>
        <v>0</v>
      </c>
      <c r="N97" s="639">
        <f t="shared" si="33"/>
        <v>0</v>
      </c>
      <c r="O97" s="639">
        <f t="shared" si="33"/>
        <v>0</v>
      </c>
      <c r="Q97" s="456" t="s">
        <v>127</v>
      </c>
    </row>
    <row r="98" spans="1:17">
      <c r="A98" s="390"/>
      <c r="B98" s="387" t="s">
        <v>117</v>
      </c>
      <c r="C98" s="637"/>
      <c r="D98" s="637"/>
      <c r="E98" s="637"/>
      <c r="F98" s="637"/>
      <c r="G98" s="637"/>
      <c r="H98" s="637"/>
      <c r="I98" s="637"/>
      <c r="J98" s="637"/>
      <c r="K98" s="637"/>
      <c r="L98" s="637"/>
      <c r="M98" s="637"/>
      <c r="N98" s="637"/>
      <c r="O98" s="637"/>
      <c r="Q98" s="456"/>
    </row>
    <row r="99" spans="1:17">
      <c r="A99" s="390"/>
      <c r="B99" s="387"/>
      <c r="C99" s="638"/>
      <c r="D99" s="632"/>
      <c r="E99" s="632"/>
      <c r="F99" s="632"/>
      <c r="G99" s="632"/>
      <c r="H99" s="632"/>
      <c r="I99" s="632"/>
      <c r="J99" s="632"/>
      <c r="K99" s="632"/>
      <c r="L99" s="632"/>
      <c r="M99" s="632"/>
      <c r="N99" s="632"/>
      <c r="O99" s="632"/>
      <c r="Q99" s="456"/>
    </row>
    <row r="100" spans="1:17">
      <c r="A100" s="385"/>
      <c r="B100" s="377" t="s">
        <v>118</v>
      </c>
      <c r="C100" s="638"/>
      <c r="D100" s="632"/>
      <c r="E100" s="632"/>
      <c r="F100" s="632"/>
      <c r="G100" s="632"/>
      <c r="H100" s="632"/>
      <c r="I100" s="632"/>
      <c r="J100" s="632"/>
      <c r="K100" s="632"/>
      <c r="L100" s="632"/>
      <c r="M100" s="632"/>
      <c r="N100" s="632"/>
      <c r="O100" s="632"/>
      <c r="Q100" s="456"/>
    </row>
    <row r="101" spans="1:17">
      <c r="A101" s="385">
        <v>252</v>
      </c>
      <c r="B101" s="381" t="s">
        <v>119</v>
      </c>
      <c r="C101" s="632">
        <f>SUM(D101:O101)</f>
        <v>1</v>
      </c>
      <c r="D101" s="632">
        <v>0</v>
      </c>
      <c r="E101" s="632">
        <v>0</v>
      </c>
      <c r="F101" s="632">
        <v>0</v>
      </c>
      <c r="G101" s="632">
        <v>0</v>
      </c>
      <c r="H101" s="632">
        <v>0</v>
      </c>
      <c r="I101" s="632">
        <v>0</v>
      </c>
      <c r="J101" s="632">
        <v>1</v>
      </c>
      <c r="K101" s="632">
        <v>0</v>
      </c>
      <c r="L101" s="632">
        <v>0</v>
      </c>
      <c r="M101" s="632">
        <v>0</v>
      </c>
      <c r="N101" s="632">
        <v>0</v>
      </c>
      <c r="O101" s="632">
        <v>0</v>
      </c>
      <c r="Q101" s="456" t="s">
        <v>120</v>
      </c>
    </row>
    <row r="102" spans="1:17">
      <c r="A102" s="385">
        <v>235</v>
      </c>
      <c r="B102" s="381" t="s">
        <v>20</v>
      </c>
      <c r="C102" s="632">
        <f>SUM(D102:O102)</f>
        <v>1</v>
      </c>
      <c r="D102" s="632">
        <v>0</v>
      </c>
      <c r="E102" s="632">
        <v>0</v>
      </c>
      <c r="F102" s="632">
        <v>0</v>
      </c>
      <c r="G102" s="632">
        <v>0</v>
      </c>
      <c r="H102" s="632">
        <v>0</v>
      </c>
      <c r="I102" s="632">
        <v>0</v>
      </c>
      <c r="J102" s="632">
        <v>1</v>
      </c>
      <c r="K102" s="632">
        <v>0</v>
      </c>
      <c r="L102" s="632">
        <v>0</v>
      </c>
      <c r="M102" s="632">
        <v>0</v>
      </c>
      <c r="N102" s="632">
        <v>0</v>
      </c>
      <c r="O102" s="632">
        <v>0</v>
      </c>
      <c r="Q102" s="456" t="s">
        <v>120</v>
      </c>
    </row>
    <row r="103" spans="1:17">
      <c r="A103" s="390"/>
      <c r="B103" s="377" t="s">
        <v>121</v>
      </c>
      <c r="C103" s="637"/>
      <c r="D103" s="637"/>
      <c r="E103" s="637"/>
      <c r="F103" s="637"/>
      <c r="G103" s="637"/>
      <c r="H103" s="637"/>
      <c r="I103" s="637"/>
      <c r="J103" s="637"/>
      <c r="K103" s="637"/>
      <c r="L103" s="637"/>
      <c r="M103" s="637"/>
      <c r="N103" s="637"/>
      <c r="O103" s="637"/>
      <c r="Q103" s="456"/>
    </row>
    <row r="104" spans="1:17">
      <c r="A104" s="390"/>
      <c r="B104" s="377"/>
      <c r="C104" s="637"/>
      <c r="D104" s="632"/>
      <c r="E104" s="632"/>
      <c r="F104" s="632"/>
      <c r="G104" s="632"/>
      <c r="H104" s="632"/>
      <c r="I104" s="632"/>
      <c r="J104" s="632"/>
      <c r="K104" s="632"/>
      <c r="L104" s="632"/>
      <c r="M104" s="632"/>
      <c r="N104" s="632"/>
      <c r="O104" s="632"/>
      <c r="Q104" s="456"/>
    </row>
    <row r="105" spans="1:17" ht="12.95" customHeight="1">
      <c r="A105" s="390"/>
      <c r="B105" s="377" t="s">
        <v>122</v>
      </c>
      <c r="C105" s="638"/>
      <c r="D105" s="632"/>
      <c r="E105" s="632"/>
      <c r="F105" s="632"/>
      <c r="G105" s="632"/>
      <c r="H105" s="632"/>
      <c r="I105" s="632"/>
      <c r="J105" s="632"/>
      <c r="K105" s="632"/>
      <c r="L105" s="632"/>
      <c r="M105" s="632"/>
      <c r="N105" s="632"/>
      <c r="O105" s="632"/>
      <c r="Q105" s="456"/>
    </row>
    <row r="106" spans="1:17">
      <c r="A106" s="390"/>
      <c r="B106" s="381" t="s">
        <v>123</v>
      </c>
      <c r="C106" s="632">
        <f>SUM(D106:O106)</f>
        <v>1</v>
      </c>
      <c r="D106" s="632">
        <f>'[14]Cost of Service'!F$5</f>
        <v>0</v>
      </c>
      <c r="E106" s="632">
        <f>'[14]Cost of Service'!G$5</f>
        <v>0.1320485880244652</v>
      </c>
      <c r="F106" s="632">
        <f>'[14]Cost of Service'!H$5</f>
        <v>5.4056806487935836E-2</v>
      </c>
      <c r="G106" s="632">
        <f>'[14]Cost of Service'!I$5</f>
        <v>1.7261439320676818E-3</v>
      </c>
      <c r="H106" s="632">
        <f>'[14]Cost of Service'!J$5</f>
        <v>3.1023619495691092E-3</v>
      </c>
      <c r="I106" s="632">
        <f>'[14]Cost of Service'!K$5</f>
        <v>0</v>
      </c>
      <c r="J106" s="632">
        <f>'[14]Cost of Service'!L$5</f>
        <v>0.33856143797830557</v>
      </c>
      <c r="K106" s="632">
        <f>'[14]Cost of Service'!M$5</f>
        <v>0.40802607369733207</v>
      </c>
      <c r="L106" s="632">
        <f>'[14]Cost of Service'!N$5</f>
        <v>6.2478587930324431E-2</v>
      </c>
      <c r="M106" s="632">
        <f>'[14]Cost of Service'!O$5</f>
        <v>0</v>
      </c>
      <c r="N106" s="632">
        <f>'[14]Cost of Service'!P$5</f>
        <v>0</v>
      </c>
      <c r="O106" s="632">
        <f>'[14]Cost of Service'!Q$5</f>
        <v>0</v>
      </c>
      <c r="Q106" s="456" t="s">
        <v>351</v>
      </c>
    </row>
    <row r="107" spans="1:17">
      <c r="A107" s="383">
        <v>182.3</v>
      </c>
      <c r="B107" s="381" t="s">
        <v>125</v>
      </c>
      <c r="C107" s="632">
        <f>SUM(D107:O107)</f>
        <v>1</v>
      </c>
      <c r="D107" s="632">
        <f>'[14]Cost of Service'!F$5</f>
        <v>0</v>
      </c>
      <c r="E107" s="632">
        <f>'[14]Cost of Service'!G$5</f>
        <v>0.1320485880244652</v>
      </c>
      <c r="F107" s="632">
        <f>'[14]Cost of Service'!H$5</f>
        <v>5.4056806487935836E-2</v>
      </c>
      <c r="G107" s="632">
        <f>'[14]Cost of Service'!I$5</f>
        <v>1.7261439320676818E-3</v>
      </c>
      <c r="H107" s="632">
        <f>'[14]Cost of Service'!J$5</f>
        <v>3.1023619495691092E-3</v>
      </c>
      <c r="I107" s="632">
        <f>'[14]Cost of Service'!K$5</f>
        <v>0</v>
      </c>
      <c r="J107" s="632">
        <f>'[14]Cost of Service'!L$5</f>
        <v>0.33856143797830557</v>
      </c>
      <c r="K107" s="632">
        <f>'[14]Cost of Service'!M$5</f>
        <v>0.40802607369733207</v>
      </c>
      <c r="L107" s="632">
        <f>'[14]Cost of Service'!N$5</f>
        <v>6.2478587930324431E-2</v>
      </c>
      <c r="M107" s="632">
        <f>'[14]Cost of Service'!O$5</f>
        <v>0</v>
      </c>
      <c r="N107" s="632">
        <f>'[14]Cost of Service'!P$5</f>
        <v>0</v>
      </c>
      <c r="O107" s="632">
        <f>'[14]Cost of Service'!Q$5</f>
        <v>0</v>
      </c>
      <c r="Q107" s="456" t="s">
        <v>351</v>
      </c>
    </row>
    <row r="108" spans="1:17">
      <c r="A108" s="382">
        <v>254</v>
      </c>
      <c r="B108" s="381" t="s">
        <v>126</v>
      </c>
      <c r="C108" s="632">
        <f>SUM(D108:O108)</f>
        <v>1</v>
      </c>
      <c r="D108" s="632">
        <f>+D11</f>
        <v>0</v>
      </c>
      <c r="E108" s="632">
        <f t="shared" ref="E108:O108" si="34">+E11</f>
        <v>0.25997700742943058</v>
      </c>
      <c r="F108" s="632">
        <f t="shared" si="34"/>
        <v>1.8430948871455917E-2</v>
      </c>
      <c r="G108" s="632">
        <f t="shared" si="34"/>
        <v>5.1017614333658144E-3</v>
      </c>
      <c r="H108" s="632">
        <f t="shared" si="34"/>
        <v>0</v>
      </c>
      <c r="I108" s="632">
        <f t="shared" si="34"/>
        <v>0</v>
      </c>
      <c r="J108" s="632">
        <f t="shared" si="34"/>
        <v>0.58081104379192594</v>
      </c>
      <c r="K108" s="632">
        <f t="shared" si="34"/>
        <v>0.11182927799808795</v>
      </c>
      <c r="L108" s="632">
        <f t="shared" si="34"/>
        <v>2.3849960475733678E-2</v>
      </c>
      <c r="M108" s="632">
        <f t="shared" si="34"/>
        <v>0</v>
      </c>
      <c r="N108" s="632">
        <f t="shared" si="34"/>
        <v>0</v>
      </c>
      <c r="O108" s="632">
        <f t="shared" si="34"/>
        <v>0</v>
      </c>
      <c r="Q108" s="456" t="s">
        <v>127</v>
      </c>
    </row>
    <row r="109" spans="1:17">
      <c r="A109" s="390"/>
      <c r="B109" s="377" t="s">
        <v>21</v>
      </c>
      <c r="C109" s="637"/>
      <c r="D109" s="637"/>
      <c r="E109" s="637"/>
      <c r="F109" s="637"/>
      <c r="G109" s="637"/>
      <c r="H109" s="637"/>
      <c r="I109" s="637"/>
      <c r="J109" s="637"/>
      <c r="K109" s="637"/>
      <c r="L109" s="637"/>
      <c r="M109" s="637"/>
      <c r="N109" s="637"/>
      <c r="O109" s="637"/>
      <c r="Q109" s="456"/>
    </row>
    <row r="110" spans="1:17">
      <c r="A110" s="390"/>
      <c r="B110" s="377"/>
      <c r="C110" s="638"/>
      <c r="D110" s="632"/>
      <c r="E110" s="632"/>
      <c r="F110" s="632"/>
      <c r="G110" s="632"/>
      <c r="H110" s="632"/>
      <c r="I110" s="632"/>
      <c r="J110" s="632"/>
      <c r="K110" s="632"/>
      <c r="L110" s="632"/>
      <c r="M110" s="632"/>
      <c r="N110" s="632"/>
      <c r="O110" s="632"/>
      <c r="Q110" s="456"/>
    </row>
    <row r="111" spans="1:17">
      <c r="A111" s="390"/>
      <c r="B111" s="377" t="s">
        <v>272</v>
      </c>
      <c r="C111" s="638"/>
      <c r="D111" s="632"/>
      <c r="E111" s="632"/>
      <c r="F111" s="632"/>
      <c r="G111" s="632"/>
      <c r="H111" s="632"/>
      <c r="I111" s="632"/>
      <c r="J111" s="632"/>
      <c r="K111" s="632"/>
      <c r="L111" s="632"/>
      <c r="M111" s="632"/>
      <c r="N111" s="632"/>
      <c r="O111" s="632"/>
      <c r="Q111" s="456"/>
    </row>
    <row r="112" spans="1:17">
      <c r="A112" s="385">
        <v>190</v>
      </c>
      <c r="B112" s="381" t="s">
        <v>273</v>
      </c>
      <c r="C112" s="632">
        <f>SUM(D112:O112)</f>
        <v>1</v>
      </c>
      <c r="D112" s="632">
        <f t="shared" ref="D112:O112" si="35">+D11</f>
        <v>0</v>
      </c>
      <c r="E112" s="632">
        <f t="shared" si="35"/>
        <v>0.25997700742943058</v>
      </c>
      <c r="F112" s="632">
        <f t="shared" si="35"/>
        <v>1.8430948871455917E-2</v>
      </c>
      <c r="G112" s="632">
        <f t="shared" si="35"/>
        <v>5.1017614333658144E-3</v>
      </c>
      <c r="H112" s="632">
        <f t="shared" si="35"/>
        <v>0</v>
      </c>
      <c r="I112" s="632">
        <f t="shared" si="35"/>
        <v>0</v>
      </c>
      <c r="J112" s="632">
        <f t="shared" si="35"/>
        <v>0.58081104379192594</v>
      </c>
      <c r="K112" s="632">
        <f t="shared" si="35"/>
        <v>0.11182927799808795</v>
      </c>
      <c r="L112" s="632">
        <f t="shared" si="35"/>
        <v>2.3849960475733678E-2</v>
      </c>
      <c r="M112" s="632">
        <f t="shared" si="35"/>
        <v>0</v>
      </c>
      <c r="N112" s="632">
        <f t="shared" si="35"/>
        <v>0</v>
      </c>
      <c r="O112" s="632">
        <f t="shared" si="35"/>
        <v>0</v>
      </c>
      <c r="Q112" s="456" t="s">
        <v>127</v>
      </c>
    </row>
    <row r="113" spans="1:17">
      <c r="A113" s="385">
        <v>282</v>
      </c>
      <c r="B113" s="381" t="s">
        <v>274</v>
      </c>
      <c r="C113" s="632">
        <f>SUM(D113:O113)</f>
        <v>1</v>
      </c>
      <c r="D113" s="632">
        <f t="shared" ref="D113:O113" si="36">+D12</f>
        <v>0</v>
      </c>
      <c r="E113" s="632">
        <f t="shared" si="36"/>
        <v>0.25997700742943058</v>
      </c>
      <c r="F113" s="632">
        <f t="shared" si="36"/>
        <v>1.8430948871455917E-2</v>
      </c>
      <c r="G113" s="632">
        <f t="shared" si="36"/>
        <v>5.1017614333658144E-3</v>
      </c>
      <c r="H113" s="632">
        <f t="shared" si="36"/>
        <v>0</v>
      </c>
      <c r="I113" s="632">
        <f t="shared" si="36"/>
        <v>0</v>
      </c>
      <c r="J113" s="632">
        <f t="shared" si="36"/>
        <v>0.58081104379192594</v>
      </c>
      <c r="K113" s="632">
        <f t="shared" si="36"/>
        <v>0.11182927799808795</v>
      </c>
      <c r="L113" s="632">
        <f t="shared" si="36"/>
        <v>2.3849960475733678E-2</v>
      </c>
      <c r="M113" s="632">
        <f t="shared" si="36"/>
        <v>0</v>
      </c>
      <c r="N113" s="632">
        <f t="shared" si="36"/>
        <v>0</v>
      </c>
      <c r="O113" s="632">
        <f t="shared" si="36"/>
        <v>0</v>
      </c>
      <c r="Q113" s="456" t="s">
        <v>127</v>
      </c>
    </row>
    <row r="114" spans="1:17">
      <c r="A114" s="385">
        <v>283</v>
      </c>
      <c r="B114" s="381" t="s">
        <v>275</v>
      </c>
      <c r="C114" s="632">
        <f>SUM(D114:O114)</f>
        <v>1</v>
      </c>
      <c r="D114" s="631">
        <f t="shared" ref="D114:O114" si="37">+D113</f>
        <v>0</v>
      </c>
      <c r="E114" s="631">
        <f t="shared" si="37"/>
        <v>0.25997700742943058</v>
      </c>
      <c r="F114" s="631">
        <f t="shared" si="37"/>
        <v>1.8430948871455917E-2</v>
      </c>
      <c r="G114" s="631">
        <f t="shared" si="37"/>
        <v>5.1017614333658144E-3</v>
      </c>
      <c r="H114" s="631">
        <f t="shared" si="37"/>
        <v>0</v>
      </c>
      <c r="I114" s="631">
        <f t="shared" si="37"/>
        <v>0</v>
      </c>
      <c r="J114" s="631">
        <f t="shared" si="37"/>
        <v>0.58081104379192594</v>
      </c>
      <c r="K114" s="631">
        <f t="shared" si="37"/>
        <v>0.11182927799808795</v>
      </c>
      <c r="L114" s="631">
        <f t="shared" si="37"/>
        <v>2.3849960475733678E-2</v>
      </c>
      <c r="M114" s="631">
        <f t="shared" si="37"/>
        <v>0</v>
      </c>
      <c r="N114" s="631">
        <f t="shared" si="37"/>
        <v>0</v>
      </c>
      <c r="O114" s="631">
        <f t="shared" si="37"/>
        <v>0</v>
      </c>
      <c r="Q114" s="456" t="s">
        <v>127</v>
      </c>
    </row>
    <row r="115" spans="1:17">
      <c r="A115" s="390"/>
      <c r="B115" s="377" t="s">
        <v>128</v>
      </c>
      <c r="C115" s="637"/>
      <c r="D115" s="637"/>
      <c r="E115" s="637"/>
      <c r="F115" s="637"/>
      <c r="G115" s="637"/>
      <c r="H115" s="637"/>
      <c r="I115" s="637"/>
      <c r="J115" s="637"/>
      <c r="K115" s="637"/>
      <c r="L115" s="637"/>
      <c r="M115" s="637"/>
      <c r="N115" s="637"/>
      <c r="O115" s="637"/>
      <c r="Q115" s="456"/>
    </row>
    <row r="116" spans="1:17">
      <c r="A116" s="390"/>
      <c r="B116" s="377"/>
      <c r="C116" s="637"/>
      <c r="D116" s="632"/>
      <c r="E116" s="632"/>
      <c r="F116" s="632"/>
      <c r="G116" s="632"/>
      <c r="H116" s="632"/>
      <c r="I116" s="632"/>
      <c r="J116" s="632"/>
      <c r="K116" s="632"/>
      <c r="L116" s="632"/>
      <c r="M116" s="632"/>
      <c r="N116" s="632"/>
      <c r="O116" s="632"/>
      <c r="Q116" s="456"/>
    </row>
    <row r="117" spans="1:17" ht="15.75">
      <c r="B117" s="636" t="s">
        <v>436</v>
      </c>
    </row>
    <row r="119" spans="1:17" ht="12.75">
      <c r="B119" s="465" t="s">
        <v>437</v>
      </c>
      <c r="C119" s="457"/>
      <c r="D119" s="498"/>
      <c r="E119" s="464"/>
      <c r="F119" s="464"/>
      <c r="G119" s="464"/>
      <c r="H119" s="464"/>
      <c r="I119" s="464"/>
      <c r="J119" s="464"/>
      <c r="K119" s="464"/>
      <c r="L119" s="497"/>
      <c r="M119" s="464"/>
      <c r="N119" s="464"/>
      <c r="O119" s="464"/>
    </row>
    <row r="120" spans="1:17">
      <c r="A120" s="385"/>
      <c r="B120" s="377" t="s">
        <v>131</v>
      </c>
      <c r="C120" s="457"/>
    </row>
    <row r="121" spans="1:17">
      <c r="A121" s="385"/>
      <c r="B121" s="379" t="s">
        <v>132</v>
      </c>
      <c r="C121" s="632">
        <f>SUM(D121:O121)</f>
        <v>1</v>
      </c>
      <c r="D121" s="628">
        <v>0</v>
      </c>
      <c r="E121" s="628">
        <v>0</v>
      </c>
      <c r="F121" s="628">
        <v>0</v>
      </c>
      <c r="G121" s="628">
        <v>0</v>
      </c>
      <c r="H121" s="628">
        <v>1</v>
      </c>
      <c r="I121" s="628">
        <v>0</v>
      </c>
      <c r="J121" s="628">
        <v>0</v>
      </c>
      <c r="K121" s="628">
        <v>0</v>
      </c>
      <c r="L121" s="628">
        <v>0</v>
      </c>
      <c r="M121" s="628">
        <v>0</v>
      </c>
      <c r="N121" s="628">
        <v>0</v>
      </c>
      <c r="O121" s="628">
        <v>0</v>
      </c>
      <c r="Q121" s="360" t="s">
        <v>68</v>
      </c>
    </row>
    <row r="122" spans="1:17">
      <c r="A122" s="385">
        <v>805</v>
      </c>
      <c r="B122" s="379" t="s">
        <v>276</v>
      </c>
      <c r="C122" s="632">
        <f>SUM(D122:O122)</f>
        <v>1</v>
      </c>
      <c r="D122" s="634">
        <v>0</v>
      </c>
      <c r="E122" s="634">
        <v>0</v>
      </c>
      <c r="F122" s="634">
        <v>0</v>
      </c>
      <c r="G122" s="634">
        <v>1</v>
      </c>
      <c r="H122" s="634">
        <v>0</v>
      </c>
      <c r="I122" s="634">
        <v>0</v>
      </c>
      <c r="J122" s="634">
        <v>0</v>
      </c>
      <c r="K122" s="634">
        <v>0</v>
      </c>
      <c r="L122" s="634">
        <v>0</v>
      </c>
      <c r="M122" s="634">
        <v>0</v>
      </c>
      <c r="N122" s="634">
        <v>0</v>
      </c>
      <c r="O122" s="634">
        <v>0</v>
      </c>
      <c r="Q122" s="360" t="s">
        <v>68</v>
      </c>
    </row>
    <row r="123" spans="1:17">
      <c r="A123" s="385">
        <v>807</v>
      </c>
      <c r="B123" s="379" t="s">
        <v>134</v>
      </c>
      <c r="C123" s="632">
        <f>SUM(D123:O123)</f>
        <v>1</v>
      </c>
      <c r="D123" s="628">
        <v>0</v>
      </c>
      <c r="E123" s="628">
        <v>0</v>
      </c>
      <c r="F123" s="628">
        <v>0</v>
      </c>
      <c r="G123" s="628">
        <v>0</v>
      </c>
      <c r="H123" s="628">
        <v>1</v>
      </c>
      <c r="I123" s="628">
        <v>0</v>
      </c>
      <c r="J123" s="628">
        <v>0</v>
      </c>
      <c r="K123" s="628">
        <v>0</v>
      </c>
      <c r="L123" s="628">
        <v>0</v>
      </c>
      <c r="M123" s="628">
        <v>0</v>
      </c>
      <c r="N123" s="628">
        <v>0</v>
      </c>
      <c r="O123" s="628">
        <v>0</v>
      </c>
      <c r="Q123" s="360" t="s">
        <v>133</v>
      </c>
    </row>
    <row r="124" spans="1:17">
      <c r="A124" s="385"/>
      <c r="B124" s="377" t="s">
        <v>135</v>
      </c>
      <c r="C124" s="629"/>
      <c r="D124" s="630"/>
      <c r="E124" s="630"/>
      <c r="F124" s="630"/>
      <c r="G124" s="630"/>
      <c r="H124" s="630"/>
      <c r="I124" s="630"/>
      <c r="J124" s="630"/>
      <c r="K124" s="630"/>
      <c r="L124" s="630"/>
      <c r="M124" s="630"/>
      <c r="N124" s="630"/>
      <c r="O124" s="630"/>
    </row>
    <row r="125" spans="1:17">
      <c r="A125" s="385"/>
      <c r="B125" s="377"/>
      <c r="C125" s="629"/>
      <c r="D125" s="628"/>
      <c r="E125" s="628"/>
      <c r="F125" s="628"/>
      <c r="G125" s="628"/>
      <c r="H125" s="628"/>
      <c r="I125" s="628"/>
      <c r="J125" s="628"/>
      <c r="K125" s="628"/>
      <c r="L125" s="628"/>
      <c r="M125" s="628"/>
      <c r="N125" s="628"/>
      <c r="O125" s="628"/>
    </row>
    <row r="126" spans="1:17">
      <c r="A126" s="390"/>
      <c r="B126" s="377" t="s">
        <v>277</v>
      </c>
      <c r="C126" s="629"/>
      <c r="D126" s="628"/>
      <c r="E126" s="628"/>
      <c r="F126" s="628"/>
      <c r="G126" s="628"/>
      <c r="H126" s="628"/>
      <c r="I126" s="628"/>
      <c r="J126" s="628"/>
      <c r="K126" s="628"/>
      <c r="L126" s="628"/>
      <c r="M126" s="628"/>
      <c r="N126" s="628"/>
      <c r="O126" s="628"/>
    </row>
    <row r="127" spans="1:17">
      <c r="A127" s="385">
        <v>856</v>
      </c>
      <c r="B127" s="379" t="s">
        <v>278</v>
      </c>
      <c r="C127" s="632">
        <f>SUM(D127:O127)</f>
        <v>1</v>
      </c>
      <c r="D127" s="628">
        <v>0</v>
      </c>
      <c r="E127" s="628">
        <v>1</v>
      </c>
      <c r="F127" s="628">
        <v>0</v>
      </c>
      <c r="G127" s="628">
        <v>0</v>
      </c>
      <c r="H127" s="628">
        <v>0</v>
      </c>
      <c r="I127" s="628">
        <v>0</v>
      </c>
      <c r="J127" s="628">
        <v>0</v>
      </c>
      <c r="K127" s="628">
        <v>0</v>
      </c>
      <c r="L127" s="628">
        <v>0</v>
      </c>
      <c r="M127" s="628">
        <v>0</v>
      </c>
      <c r="N127" s="628">
        <v>0</v>
      </c>
      <c r="O127" s="628">
        <v>0</v>
      </c>
      <c r="Q127" s="360" t="s">
        <v>427</v>
      </c>
    </row>
    <row r="128" spans="1:17">
      <c r="A128" s="385">
        <v>857</v>
      </c>
      <c r="B128" s="379" t="s">
        <v>279</v>
      </c>
      <c r="C128" s="632">
        <f>SUM(D128:O128)</f>
        <v>1</v>
      </c>
      <c r="D128" s="628">
        <v>0</v>
      </c>
      <c r="E128" s="628">
        <v>1</v>
      </c>
      <c r="F128" s="628">
        <v>0</v>
      </c>
      <c r="G128" s="628">
        <v>0</v>
      </c>
      <c r="H128" s="628">
        <v>0</v>
      </c>
      <c r="I128" s="628">
        <v>0</v>
      </c>
      <c r="J128" s="628">
        <v>0</v>
      </c>
      <c r="K128" s="628">
        <v>0</v>
      </c>
      <c r="L128" s="628">
        <v>0</v>
      </c>
      <c r="M128" s="628">
        <v>0</v>
      </c>
      <c r="N128" s="628">
        <v>0</v>
      </c>
      <c r="O128" s="628">
        <v>0</v>
      </c>
      <c r="Q128" s="360" t="s">
        <v>427</v>
      </c>
    </row>
    <row r="129" spans="1:17">
      <c r="A129" s="385">
        <v>864</v>
      </c>
      <c r="B129" s="379" t="s">
        <v>280</v>
      </c>
      <c r="C129" s="632">
        <f>SUM(D129:O129)</f>
        <v>1</v>
      </c>
      <c r="D129" s="628">
        <v>0</v>
      </c>
      <c r="E129" s="628">
        <v>1</v>
      </c>
      <c r="F129" s="628">
        <v>0</v>
      </c>
      <c r="G129" s="628">
        <v>0</v>
      </c>
      <c r="H129" s="628">
        <v>0</v>
      </c>
      <c r="I129" s="628">
        <v>0</v>
      </c>
      <c r="J129" s="628">
        <v>0</v>
      </c>
      <c r="K129" s="628">
        <v>0</v>
      </c>
      <c r="L129" s="628">
        <v>0</v>
      </c>
      <c r="M129" s="628">
        <v>0</v>
      </c>
      <c r="N129" s="628">
        <v>0</v>
      </c>
      <c r="O129" s="628">
        <v>0</v>
      </c>
      <c r="Q129" s="360" t="s">
        <v>427</v>
      </c>
    </row>
    <row r="130" spans="1:17">
      <c r="A130" s="385">
        <v>870</v>
      </c>
      <c r="B130" s="379" t="s">
        <v>281</v>
      </c>
      <c r="C130" s="631">
        <f>SUM(D130:O130)</f>
        <v>1</v>
      </c>
      <c r="D130" s="628">
        <v>0</v>
      </c>
      <c r="E130" s="628">
        <v>1</v>
      </c>
      <c r="F130" s="634">
        <v>0</v>
      </c>
      <c r="G130" s="634">
        <v>0</v>
      </c>
      <c r="H130" s="634">
        <v>0</v>
      </c>
      <c r="I130" s="634">
        <v>0</v>
      </c>
      <c r="J130" s="634">
        <v>0</v>
      </c>
      <c r="K130" s="634">
        <v>0</v>
      </c>
      <c r="L130" s="634">
        <v>0</v>
      </c>
      <c r="M130" s="634">
        <v>0</v>
      </c>
      <c r="N130" s="634">
        <v>0</v>
      </c>
      <c r="O130" s="634">
        <v>0</v>
      </c>
      <c r="Q130" s="360" t="s">
        <v>427</v>
      </c>
    </row>
    <row r="131" spans="1:17">
      <c r="A131" s="385"/>
      <c r="B131" s="377" t="s">
        <v>137</v>
      </c>
      <c r="C131" s="629"/>
      <c r="D131" s="630"/>
      <c r="E131" s="630"/>
      <c r="F131" s="630"/>
      <c r="G131" s="630"/>
      <c r="H131" s="630"/>
      <c r="I131" s="630"/>
      <c r="J131" s="630"/>
      <c r="K131" s="630"/>
      <c r="L131" s="630"/>
      <c r="M131" s="630"/>
      <c r="N131" s="630"/>
      <c r="O131" s="630"/>
    </row>
    <row r="132" spans="1:17">
      <c r="A132" s="385"/>
      <c r="B132" s="377"/>
      <c r="C132" s="629"/>
      <c r="D132" s="628"/>
      <c r="E132" s="628"/>
      <c r="F132" s="628"/>
      <c r="G132" s="628"/>
      <c r="H132" s="628"/>
      <c r="I132" s="628"/>
      <c r="J132" s="628"/>
      <c r="K132" s="628"/>
      <c r="L132" s="628"/>
      <c r="M132" s="628"/>
      <c r="N132" s="628"/>
      <c r="O132" s="628"/>
    </row>
    <row r="133" spans="1:17">
      <c r="A133" s="463"/>
      <c r="B133" s="377" t="s">
        <v>138</v>
      </c>
      <c r="C133" s="633"/>
      <c r="D133" s="628"/>
      <c r="E133" s="628"/>
      <c r="F133" s="628"/>
      <c r="G133" s="628"/>
      <c r="H133" s="628"/>
      <c r="I133" s="628"/>
      <c r="J133" s="628"/>
      <c r="K133" s="628"/>
      <c r="L133" s="628"/>
      <c r="M133" s="628"/>
      <c r="N133" s="628"/>
      <c r="O133" s="628"/>
    </row>
    <row r="134" spans="1:17">
      <c r="A134" s="385">
        <v>871</v>
      </c>
      <c r="B134" s="379" t="s">
        <v>139</v>
      </c>
      <c r="C134" s="632">
        <v>1</v>
      </c>
      <c r="D134" s="628">
        <v>0</v>
      </c>
      <c r="E134" s="628">
        <v>0</v>
      </c>
      <c r="F134" s="628">
        <v>0</v>
      </c>
      <c r="G134" s="632">
        <v>1</v>
      </c>
      <c r="H134" s="628">
        <v>0</v>
      </c>
      <c r="I134" s="628">
        <v>0</v>
      </c>
      <c r="J134" s="628">
        <v>0</v>
      </c>
      <c r="K134" s="628">
        <v>0</v>
      </c>
      <c r="L134" s="628">
        <v>0</v>
      </c>
      <c r="M134" s="628">
        <v>0</v>
      </c>
      <c r="N134" s="628">
        <v>0</v>
      </c>
      <c r="O134" s="628">
        <v>0</v>
      </c>
      <c r="Q134" s="360" t="s">
        <v>228</v>
      </c>
    </row>
    <row r="135" spans="1:17">
      <c r="A135" s="385">
        <v>874</v>
      </c>
      <c r="B135" s="379" t="s">
        <v>140</v>
      </c>
      <c r="C135" s="632">
        <v>0.99999999999999978</v>
      </c>
      <c r="D135" s="628">
        <f>('G-5 Function Rate Base'!H22+'G-5 Function Rate Base'!H25)/('G-5 Function Rate Base'!$D22+'G-5 Function Rate Base'!$D25)</f>
        <v>0</v>
      </c>
      <c r="E135" s="628">
        <f>('G-5 Function Rate Base'!I22+'G-5 Function Rate Base'!I25)/('G-5 Function Rate Base'!$D22+'G-5 Function Rate Base'!$D25)</f>
        <v>0.27848331278248106</v>
      </c>
      <c r="F135" s="628">
        <f>('G-5 Function Rate Base'!J22+'G-5 Function Rate Base'!J25)/('G-5 Function Rate Base'!$D22+'G-5 Function Rate Base'!$D25)</f>
        <v>0</v>
      </c>
      <c r="G135" s="628">
        <f>('G-5 Function Rate Base'!K22+'G-5 Function Rate Base'!K25)/('G-5 Function Rate Base'!$D22+'G-5 Function Rate Base'!$D25)</f>
        <v>0</v>
      </c>
      <c r="H135" s="628">
        <f>('G-5 Function Rate Base'!L22+'G-5 Function Rate Base'!L25)/('G-5 Function Rate Base'!$D22+'G-5 Function Rate Base'!$D25)</f>
        <v>0</v>
      </c>
      <c r="I135" s="628">
        <f>('G-5 Function Rate Base'!M22+'G-5 Function Rate Base'!M25)/('G-5 Function Rate Base'!$D22+'G-5 Function Rate Base'!$D25)</f>
        <v>0</v>
      </c>
      <c r="J135" s="628">
        <f>('G-5 Function Rate Base'!N22+'G-5 Function Rate Base'!N25)/('G-5 Function Rate Base'!$D22+'G-5 Function Rate Base'!$D25)</f>
        <v>0.72151668721751905</v>
      </c>
      <c r="K135" s="628">
        <f>('G-5 Function Rate Base'!O22+'G-5 Function Rate Base'!O25)/('G-5 Function Rate Base'!$D22+'G-5 Function Rate Base'!$D25)</f>
        <v>0</v>
      </c>
      <c r="L135" s="628">
        <f>('G-5 Function Rate Base'!P22+'G-5 Function Rate Base'!P25)/('G-5 Function Rate Base'!$D22+'G-5 Function Rate Base'!$D25)</f>
        <v>0</v>
      </c>
      <c r="M135" s="628">
        <f>('G-5 Function Rate Base'!Q22+'G-5 Function Rate Base'!Q25)/('G-5 Function Rate Base'!$D22+'G-5 Function Rate Base'!$D25)</f>
        <v>0</v>
      </c>
      <c r="N135" s="628">
        <f>('G-5 Function Rate Base'!R22+'G-5 Function Rate Base'!R25)/('G-5 Function Rate Base'!$D22+'G-5 Function Rate Base'!$D25)</f>
        <v>0</v>
      </c>
      <c r="O135" s="628">
        <f>('G-5 Function Rate Base'!S22+'G-5 Function Rate Base'!S25)/('G-5 Function Rate Base'!$D22+'G-5 Function Rate Base'!$D25)</f>
        <v>0</v>
      </c>
      <c r="Q135" s="360" t="s">
        <v>438</v>
      </c>
    </row>
    <row r="136" spans="1:17">
      <c r="A136" s="385">
        <v>875</v>
      </c>
      <c r="B136" s="379" t="s">
        <v>142</v>
      </c>
      <c r="C136" s="632">
        <v>1</v>
      </c>
      <c r="D136" s="628">
        <v>0</v>
      </c>
      <c r="E136" s="628">
        <v>0</v>
      </c>
      <c r="F136" s="632">
        <v>1</v>
      </c>
      <c r="G136" s="632">
        <v>0</v>
      </c>
      <c r="H136" s="628">
        <v>0</v>
      </c>
      <c r="I136" s="628">
        <v>0</v>
      </c>
      <c r="J136" s="628">
        <v>0</v>
      </c>
      <c r="K136" s="628">
        <v>0</v>
      </c>
      <c r="L136" s="628">
        <v>0</v>
      </c>
      <c r="M136" s="632">
        <v>0</v>
      </c>
      <c r="N136" s="632">
        <v>0</v>
      </c>
      <c r="O136" s="632">
        <v>0</v>
      </c>
      <c r="Q136" s="360" t="s">
        <v>431</v>
      </c>
    </row>
    <row r="137" spans="1:17">
      <c r="A137" s="385">
        <v>876</v>
      </c>
      <c r="B137" s="379" t="s">
        <v>144</v>
      </c>
      <c r="C137" s="632">
        <v>1</v>
      </c>
      <c r="D137" s="628">
        <v>0</v>
      </c>
      <c r="E137" s="632">
        <v>0</v>
      </c>
      <c r="F137" s="632">
        <v>1</v>
      </c>
      <c r="G137" s="632">
        <v>0</v>
      </c>
      <c r="H137" s="628">
        <v>0</v>
      </c>
      <c r="I137" s="628">
        <v>0</v>
      </c>
      <c r="J137" s="632">
        <v>0</v>
      </c>
      <c r="K137" s="632">
        <v>0</v>
      </c>
      <c r="L137" s="632">
        <v>0</v>
      </c>
      <c r="M137" s="632">
        <v>0</v>
      </c>
      <c r="N137" s="632">
        <v>0</v>
      </c>
      <c r="O137" s="632">
        <v>0</v>
      </c>
      <c r="Q137" s="360" t="s">
        <v>431</v>
      </c>
    </row>
    <row r="138" spans="1:17">
      <c r="A138" s="385">
        <v>877</v>
      </c>
      <c r="B138" s="379" t="s">
        <v>145</v>
      </c>
      <c r="C138" s="632">
        <v>1</v>
      </c>
      <c r="D138" s="628">
        <v>0</v>
      </c>
      <c r="E138" s="632">
        <v>0</v>
      </c>
      <c r="F138" s="632">
        <v>1</v>
      </c>
      <c r="G138" s="632">
        <v>0</v>
      </c>
      <c r="H138" s="628">
        <v>0</v>
      </c>
      <c r="I138" s="628">
        <v>0</v>
      </c>
      <c r="J138" s="632">
        <v>0</v>
      </c>
      <c r="K138" s="632">
        <v>0</v>
      </c>
      <c r="L138" s="632">
        <v>0</v>
      </c>
      <c r="M138" s="632">
        <v>0</v>
      </c>
      <c r="N138" s="632">
        <v>0</v>
      </c>
      <c r="O138" s="632">
        <v>0</v>
      </c>
      <c r="Q138" s="360" t="s">
        <v>431</v>
      </c>
    </row>
    <row r="139" spans="1:17">
      <c r="A139" s="385">
        <v>878</v>
      </c>
      <c r="B139" s="379" t="s">
        <v>146</v>
      </c>
      <c r="C139" s="632">
        <v>1</v>
      </c>
      <c r="D139" s="628">
        <v>0</v>
      </c>
      <c r="E139" s="632">
        <v>0</v>
      </c>
      <c r="F139" s="632">
        <v>0</v>
      </c>
      <c r="G139" s="632">
        <v>0</v>
      </c>
      <c r="H139" s="628">
        <v>0</v>
      </c>
      <c r="I139" s="628">
        <v>0</v>
      </c>
      <c r="J139" s="632">
        <v>0</v>
      </c>
      <c r="K139" s="632">
        <v>0.86841932164375268</v>
      </c>
      <c r="L139" s="632">
        <v>0.13158067835624737</v>
      </c>
      <c r="M139" s="632">
        <v>0</v>
      </c>
      <c r="N139" s="632">
        <v>0</v>
      </c>
      <c r="O139" s="632">
        <v>0</v>
      </c>
      <c r="Q139" s="360" t="s">
        <v>439</v>
      </c>
    </row>
    <row r="140" spans="1:17">
      <c r="A140" s="385">
        <v>879</v>
      </c>
      <c r="B140" s="379" t="s">
        <v>148</v>
      </c>
      <c r="C140" s="632">
        <v>1</v>
      </c>
      <c r="D140" s="628">
        <v>0</v>
      </c>
      <c r="E140" s="632">
        <v>0</v>
      </c>
      <c r="F140" s="632">
        <v>0</v>
      </c>
      <c r="G140" s="632">
        <v>0</v>
      </c>
      <c r="H140" s="628">
        <v>0</v>
      </c>
      <c r="I140" s="628">
        <v>0</v>
      </c>
      <c r="J140" s="632">
        <v>0</v>
      </c>
      <c r="K140" s="632">
        <v>0.86841932164375268</v>
      </c>
      <c r="L140" s="632">
        <v>0.13158067835624737</v>
      </c>
      <c r="M140" s="632">
        <v>0</v>
      </c>
      <c r="N140" s="632">
        <v>0</v>
      </c>
      <c r="O140" s="632">
        <v>0</v>
      </c>
      <c r="Q140" s="360" t="s">
        <v>439</v>
      </c>
    </row>
    <row r="141" spans="1:17" ht="12" customHeight="1">
      <c r="A141" s="385">
        <v>880</v>
      </c>
      <c r="B141" s="379" t="s">
        <v>149</v>
      </c>
      <c r="C141" s="632">
        <v>0.99999999999999978</v>
      </c>
      <c r="D141" s="628">
        <f>'G-5 Function Rate Base'!H32/'G-5 Function Rate Base'!$D32</f>
        <v>0</v>
      </c>
      <c r="E141" s="628">
        <f>'G-5 Function Rate Base'!I32/'G-5 Function Rate Base'!$D32</f>
        <v>0.23249912718342394</v>
      </c>
      <c r="F141" s="628">
        <f>'G-5 Function Rate Base'!J32/'G-5 Function Rate Base'!$D32</f>
        <v>1.9115310588584379E-2</v>
      </c>
      <c r="G141" s="628">
        <f>'G-5 Function Rate Base'!K32/'G-5 Function Rate Base'!$D32</f>
        <v>5.2911955335452803E-3</v>
      </c>
      <c r="H141" s="628">
        <f>'G-5 Function Rate Base'!L32/'G-5 Function Rate Base'!$D32</f>
        <v>0</v>
      </c>
      <c r="I141" s="628">
        <f>'G-5 Function Rate Base'!M32/'G-5 Function Rate Base'!$D32</f>
        <v>0</v>
      </c>
      <c r="J141" s="628">
        <f>'G-5 Function Rate Base'!N32/'G-5 Function Rate Base'!$D32</f>
        <v>0.60237720655591709</v>
      </c>
      <c r="K141" s="628">
        <f>'G-5 Function Rate Base'!O32/'G-5 Function Rate Base'!$D32</f>
        <v>0.11598162399230491</v>
      </c>
      <c r="L141" s="628">
        <f>'G-5 Function Rate Base'!P32/'G-5 Function Rate Base'!$D32</f>
        <v>2.4735536146224361E-2</v>
      </c>
      <c r="M141" s="628">
        <f>'G-5 Function Rate Base'!Q32/'G-5 Function Rate Base'!$D32</f>
        <v>0</v>
      </c>
      <c r="N141" s="628">
        <f>'G-5 Function Rate Base'!R32/'G-5 Function Rate Base'!$D32</f>
        <v>0</v>
      </c>
      <c r="O141" s="628">
        <f>'G-5 Function Rate Base'!S32/'G-5 Function Rate Base'!$D32</f>
        <v>0</v>
      </c>
      <c r="Q141" s="360" t="s">
        <v>440</v>
      </c>
    </row>
    <row r="142" spans="1:17">
      <c r="A142" s="385">
        <v>881</v>
      </c>
      <c r="B142" s="379" t="s">
        <v>151</v>
      </c>
      <c r="C142" s="632">
        <v>1</v>
      </c>
      <c r="D142" s="628">
        <v>0</v>
      </c>
      <c r="E142" s="632">
        <f>+'G-5 Function Rate Base'!I106/SUM('G-5 Function Rate Base'!$I$106:$J$106)</f>
        <v>0.92988097196937758</v>
      </c>
      <c r="F142" s="632">
        <f>+'G-5 Function Rate Base'!J106/SUM('G-5 Function Rate Base'!$I$106:$J$106)</f>
        <v>7.0119028030622504E-2</v>
      </c>
      <c r="G142" s="632">
        <v>0</v>
      </c>
      <c r="H142" s="628">
        <v>0</v>
      </c>
      <c r="I142" s="628">
        <v>0</v>
      </c>
      <c r="J142" s="632">
        <v>0</v>
      </c>
      <c r="K142" s="632">
        <v>0</v>
      </c>
      <c r="L142" s="632">
        <v>0</v>
      </c>
      <c r="M142" s="632">
        <v>0</v>
      </c>
      <c r="N142" s="632">
        <v>0</v>
      </c>
      <c r="O142" s="632">
        <v>0</v>
      </c>
      <c r="Q142" s="360" t="s">
        <v>441</v>
      </c>
    </row>
    <row r="143" spans="1:17">
      <c r="A143" s="385">
        <v>885</v>
      </c>
      <c r="B143" s="379" t="s">
        <v>152</v>
      </c>
      <c r="C143" s="632">
        <v>0.99999999999999978</v>
      </c>
      <c r="D143" s="628">
        <f>'[14]Cost of Service'!F6</f>
        <v>0</v>
      </c>
      <c r="E143" s="628">
        <f>'[14]Cost of Service'!G6</f>
        <v>0.13245952541597369</v>
      </c>
      <c r="F143" s="628">
        <f>'[14]Cost of Service'!H6</f>
        <v>5.4225032164436936E-2</v>
      </c>
      <c r="G143" s="628">
        <f>'[14]Cost of Service'!I6</f>
        <v>1.7315157205542099E-3</v>
      </c>
      <c r="H143" s="628">
        <f>'[14]Cost of Service'!J6</f>
        <v>0</v>
      </c>
      <c r="I143" s="628">
        <f>'[14]Cost of Service'!K6</f>
        <v>0</v>
      </c>
      <c r="J143" s="628">
        <f>'[14]Cost of Service'!L6</f>
        <v>0.33961504677692744</v>
      </c>
      <c r="K143" s="628">
        <f>'[14]Cost of Service'!M6</f>
        <v>0.4092958575920419</v>
      </c>
      <c r="L143" s="628">
        <f>'[14]Cost of Service'!N6</f>
        <v>6.267302233006572E-2</v>
      </c>
      <c r="M143" s="628">
        <f>'[14]Cost of Service'!O6</f>
        <v>0</v>
      </c>
      <c r="N143" s="628">
        <f>'[14]Cost of Service'!P6</f>
        <v>0</v>
      </c>
      <c r="O143" s="628">
        <f>'[14]Cost of Service'!Q6</f>
        <v>0</v>
      </c>
      <c r="Q143" s="360" t="s">
        <v>440</v>
      </c>
    </row>
    <row r="144" spans="1:17">
      <c r="A144" s="385">
        <v>887</v>
      </c>
      <c r="B144" s="379" t="s">
        <v>154</v>
      </c>
      <c r="C144" s="632">
        <v>1</v>
      </c>
      <c r="D144" s="632">
        <f t="shared" ref="D144:O144" si="38">D26</f>
        <v>0</v>
      </c>
      <c r="E144" s="632">
        <f t="shared" si="38"/>
        <v>0.48486249821048266</v>
      </c>
      <c r="F144" s="632">
        <f t="shared" si="38"/>
        <v>0</v>
      </c>
      <c r="G144" s="632">
        <f t="shared" si="38"/>
        <v>0</v>
      </c>
      <c r="H144" s="632">
        <f t="shared" si="38"/>
        <v>0</v>
      </c>
      <c r="I144" s="632">
        <f t="shared" si="38"/>
        <v>0</v>
      </c>
      <c r="J144" s="632">
        <f t="shared" si="38"/>
        <v>0.51513750178951734</v>
      </c>
      <c r="K144" s="632">
        <f t="shared" si="38"/>
        <v>0</v>
      </c>
      <c r="L144" s="632">
        <f t="shared" si="38"/>
        <v>0</v>
      </c>
      <c r="M144" s="632">
        <f t="shared" si="38"/>
        <v>0</v>
      </c>
      <c r="N144" s="632">
        <f t="shared" si="38"/>
        <v>0</v>
      </c>
      <c r="O144" s="632">
        <f t="shared" si="38"/>
        <v>0</v>
      </c>
      <c r="Q144" s="360" t="s">
        <v>442</v>
      </c>
    </row>
    <row r="145" spans="1:17">
      <c r="A145" s="385">
        <v>889</v>
      </c>
      <c r="B145" s="379" t="s">
        <v>156</v>
      </c>
      <c r="C145" s="632">
        <v>1</v>
      </c>
      <c r="D145" s="628">
        <v>0</v>
      </c>
      <c r="E145" s="632">
        <v>0</v>
      </c>
      <c r="F145" s="632">
        <v>1</v>
      </c>
      <c r="G145" s="632">
        <v>0</v>
      </c>
      <c r="H145" s="628">
        <v>0</v>
      </c>
      <c r="I145" s="628">
        <v>0</v>
      </c>
      <c r="J145" s="632">
        <v>0</v>
      </c>
      <c r="K145" s="632">
        <v>0</v>
      </c>
      <c r="L145" s="632">
        <v>0</v>
      </c>
      <c r="M145" s="632">
        <v>0</v>
      </c>
      <c r="N145" s="632">
        <v>0</v>
      </c>
      <c r="O145" s="632">
        <v>0</v>
      </c>
      <c r="Q145" s="360" t="s">
        <v>441</v>
      </c>
    </row>
    <row r="146" spans="1:17">
      <c r="A146" s="385">
        <v>892</v>
      </c>
      <c r="B146" s="379" t="s">
        <v>157</v>
      </c>
      <c r="C146" s="632">
        <v>1</v>
      </c>
      <c r="D146" s="628">
        <v>0</v>
      </c>
      <c r="E146" s="632">
        <v>0</v>
      </c>
      <c r="F146" s="632">
        <v>0</v>
      </c>
      <c r="G146" s="632">
        <v>0</v>
      </c>
      <c r="H146" s="628">
        <v>0</v>
      </c>
      <c r="I146" s="628">
        <v>0</v>
      </c>
      <c r="J146" s="632">
        <v>1</v>
      </c>
      <c r="K146" s="632">
        <v>0</v>
      </c>
      <c r="L146" s="632">
        <v>0</v>
      </c>
      <c r="M146" s="632">
        <v>0</v>
      </c>
      <c r="N146" s="632">
        <v>0</v>
      </c>
      <c r="O146" s="632">
        <v>0</v>
      </c>
      <c r="Q146" s="360" t="s">
        <v>431</v>
      </c>
    </row>
    <row r="147" spans="1:17">
      <c r="A147" s="385">
        <v>893</v>
      </c>
      <c r="B147" s="379" t="s">
        <v>158</v>
      </c>
      <c r="C147" s="632">
        <v>1</v>
      </c>
      <c r="D147" s="628">
        <v>0</v>
      </c>
      <c r="E147" s="632">
        <v>0</v>
      </c>
      <c r="F147" s="632">
        <v>0</v>
      </c>
      <c r="G147" s="632">
        <v>0</v>
      </c>
      <c r="H147" s="628">
        <v>0</v>
      </c>
      <c r="I147" s="628">
        <v>0</v>
      </c>
      <c r="J147" s="632">
        <v>0</v>
      </c>
      <c r="K147" s="632">
        <v>0.86841932164375268</v>
      </c>
      <c r="L147" s="632">
        <v>0.13158067835624737</v>
      </c>
      <c r="M147" s="628">
        <v>0</v>
      </c>
      <c r="N147" s="628">
        <v>0</v>
      </c>
      <c r="O147" s="628">
        <v>0</v>
      </c>
      <c r="Q147" s="360" t="s">
        <v>431</v>
      </c>
    </row>
    <row r="148" spans="1:17">
      <c r="A148" s="385">
        <v>894</v>
      </c>
      <c r="B148" s="379" t="s">
        <v>159</v>
      </c>
      <c r="C148" s="632">
        <v>1</v>
      </c>
      <c r="D148" s="628">
        <v>0</v>
      </c>
      <c r="E148" s="632">
        <v>0</v>
      </c>
      <c r="F148" s="632">
        <v>0</v>
      </c>
      <c r="G148" s="632">
        <v>1</v>
      </c>
      <c r="H148" s="628">
        <v>0</v>
      </c>
      <c r="I148" s="628">
        <v>0</v>
      </c>
      <c r="J148" s="632">
        <v>0</v>
      </c>
      <c r="K148" s="632">
        <v>0</v>
      </c>
      <c r="L148" s="632">
        <v>0</v>
      </c>
      <c r="M148" s="632">
        <v>0</v>
      </c>
      <c r="N148" s="632">
        <v>0</v>
      </c>
      <c r="O148" s="632">
        <v>0</v>
      </c>
      <c r="Q148" s="360" t="s">
        <v>431</v>
      </c>
    </row>
    <row r="149" spans="1:17">
      <c r="A149" s="385"/>
      <c r="B149" s="377" t="s">
        <v>282</v>
      </c>
      <c r="C149" s="629"/>
      <c r="D149" s="630"/>
      <c r="E149" s="630"/>
      <c r="F149" s="630"/>
      <c r="G149" s="630"/>
      <c r="H149" s="630"/>
      <c r="I149" s="630"/>
      <c r="J149" s="630"/>
      <c r="K149" s="630"/>
      <c r="L149" s="630"/>
      <c r="M149" s="630"/>
      <c r="N149" s="630"/>
      <c r="O149" s="630"/>
    </row>
    <row r="150" spans="1:17">
      <c r="A150" s="452"/>
      <c r="B150" s="451"/>
      <c r="C150" s="629"/>
      <c r="D150" s="628"/>
      <c r="E150" s="628"/>
      <c r="F150" s="628"/>
      <c r="G150" s="628"/>
      <c r="H150" s="628"/>
      <c r="I150" s="628"/>
      <c r="J150" s="628"/>
      <c r="K150" s="628"/>
      <c r="L150" s="628"/>
      <c r="M150" s="628"/>
      <c r="N150" s="628"/>
      <c r="O150" s="628"/>
    </row>
    <row r="151" spans="1:17" ht="10.5" customHeight="1">
      <c r="A151" s="385"/>
      <c r="B151" s="377" t="s">
        <v>161</v>
      </c>
      <c r="C151" s="633"/>
      <c r="D151" s="628"/>
      <c r="E151" s="628"/>
      <c r="F151" s="628"/>
      <c r="G151" s="628"/>
      <c r="H151" s="628"/>
      <c r="I151" s="628"/>
      <c r="J151" s="628"/>
      <c r="K151" s="628"/>
      <c r="L151" s="628"/>
      <c r="M151" s="628"/>
      <c r="N151" s="628"/>
      <c r="O151" s="628"/>
    </row>
    <row r="152" spans="1:17">
      <c r="A152" s="385">
        <v>901</v>
      </c>
      <c r="B152" s="379" t="s">
        <v>162</v>
      </c>
      <c r="C152" s="632">
        <f t="shared" ref="C152:C160" si="39">SUM(D152:O152)</f>
        <v>0.99999999999999989</v>
      </c>
      <c r="D152" s="628">
        <v>0</v>
      </c>
      <c r="E152" s="628">
        <v>0</v>
      </c>
      <c r="F152" s="628">
        <v>0</v>
      </c>
      <c r="G152" s="628">
        <v>0</v>
      </c>
      <c r="H152" s="628">
        <v>0</v>
      </c>
      <c r="I152" s="628">
        <v>0</v>
      </c>
      <c r="J152" s="628">
        <f>+'G-5 Function Rate Base'!N106/SUM('G-5 Function Rate Base'!$N$106:$S$106)</f>
        <v>0.76789858578102888</v>
      </c>
      <c r="K152" s="628">
        <f>+'G-5 Function Rate Base'!O106/SUM('G-5 Function Rate Base'!$N$106:$S$106)</f>
        <v>0.2015074290114045</v>
      </c>
      <c r="L152" s="628">
        <f>+'G-5 Function Rate Base'!P106/SUM('G-5 Function Rate Base'!$N$106:$S$106)</f>
        <v>3.0593985207566531E-2</v>
      </c>
      <c r="M152" s="628">
        <f>+'G-5 Function Rate Base'!Q106/SUM('G-5 Function Rate Base'!$N$106:$S$106)</f>
        <v>0</v>
      </c>
      <c r="N152" s="628">
        <f>+'G-5 Function Rate Base'!R106/SUM('G-5 Function Rate Base'!$N$106:$S$106)</f>
        <v>0</v>
      </c>
      <c r="O152" s="628">
        <f>+'G-5 Function Rate Base'!S106/SUM('G-5 Function Rate Base'!$N$106:$S$106)</f>
        <v>0</v>
      </c>
      <c r="Q152" s="360" t="s">
        <v>69</v>
      </c>
    </row>
    <row r="153" spans="1:17">
      <c r="A153" s="385">
        <v>902</v>
      </c>
      <c r="B153" s="379" t="s">
        <v>163</v>
      </c>
      <c r="C153" s="632">
        <f t="shared" si="39"/>
        <v>1</v>
      </c>
      <c r="D153" s="628">
        <v>0</v>
      </c>
      <c r="E153" s="628">
        <v>0</v>
      </c>
      <c r="F153" s="628">
        <v>0</v>
      </c>
      <c r="G153" s="628">
        <v>0</v>
      </c>
      <c r="H153" s="628">
        <v>0</v>
      </c>
      <c r="I153" s="628">
        <v>0</v>
      </c>
      <c r="J153" s="628">
        <v>0</v>
      </c>
      <c r="K153" s="628">
        <v>0</v>
      </c>
      <c r="L153" s="628">
        <v>0</v>
      </c>
      <c r="M153" s="632">
        <v>1</v>
      </c>
      <c r="N153" s="628">
        <f>+'G-5 Function Rate Base'!R107/SUM('G-5 Function Rate Base'!$N$106:$S$106)</f>
        <v>0</v>
      </c>
      <c r="O153" s="628">
        <f>+'G-5 Function Rate Base'!S107/SUM('G-5 Function Rate Base'!$N$106:$S$106)</f>
        <v>0</v>
      </c>
      <c r="Q153" s="360" t="s">
        <v>443</v>
      </c>
    </row>
    <row r="154" spans="1:17">
      <c r="A154" s="385">
        <v>903</v>
      </c>
      <c r="B154" s="379" t="s">
        <v>165</v>
      </c>
      <c r="C154" s="632">
        <f t="shared" si="39"/>
        <v>1</v>
      </c>
      <c r="D154" s="628">
        <v>0</v>
      </c>
      <c r="E154" s="628">
        <v>0</v>
      </c>
      <c r="F154" s="628">
        <v>0</v>
      </c>
      <c r="G154" s="628">
        <v>0</v>
      </c>
      <c r="H154" s="628">
        <v>0</v>
      </c>
      <c r="I154" s="628">
        <v>0</v>
      </c>
      <c r="J154" s="628">
        <v>0</v>
      </c>
      <c r="K154" s="628">
        <v>0</v>
      </c>
      <c r="L154" s="628">
        <v>0</v>
      </c>
      <c r="M154" s="628">
        <v>0</v>
      </c>
      <c r="N154" s="628">
        <v>1</v>
      </c>
      <c r="O154" s="628">
        <f>+'G-5 Function Rate Base'!S108/SUM('G-5 Function Rate Base'!$N$106:$S$106)</f>
        <v>0</v>
      </c>
      <c r="Q154" s="360" t="s">
        <v>444</v>
      </c>
    </row>
    <row r="155" spans="1:17">
      <c r="A155" s="385">
        <v>904</v>
      </c>
      <c r="B155" s="379" t="s">
        <v>167</v>
      </c>
      <c r="C155" s="632">
        <f t="shared" si="39"/>
        <v>1</v>
      </c>
      <c r="D155" s="628">
        <v>0</v>
      </c>
      <c r="E155" s="628">
        <v>0</v>
      </c>
      <c r="F155" s="628">
        <v>0</v>
      </c>
      <c r="G155" s="628">
        <v>0</v>
      </c>
      <c r="H155" s="628">
        <v>0</v>
      </c>
      <c r="I155" s="628">
        <v>0</v>
      </c>
      <c r="J155" s="628">
        <v>0</v>
      </c>
      <c r="K155" s="628">
        <v>0</v>
      </c>
      <c r="L155" s="628">
        <v>0</v>
      </c>
      <c r="M155" s="628">
        <v>0</v>
      </c>
      <c r="N155" s="628">
        <v>0</v>
      </c>
      <c r="O155" s="628">
        <v>1</v>
      </c>
      <c r="Q155" s="360" t="s">
        <v>445</v>
      </c>
    </row>
    <row r="156" spans="1:17">
      <c r="A156" s="385">
        <v>905</v>
      </c>
      <c r="B156" s="379" t="s">
        <v>169</v>
      </c>
      <c r="C156" s="632">
        <f t="shared" si="39"/>
        <v>1</v>
      </c>
      <c r="D156" s="628">
        <v>0</v>
      </c>
      <c r="E156" s="628">
        <v>0</v>
      </c>
      <c r="F156" s="628">
        <v>0</v>
      </c>
      <c r="G156" s="628">
        <v>0</v>
      </c>
      <c r="H156" s="628">
        <v>0</v>
      </c>
      <c r="I156" s="628">
        <v>0</v>
      </c>
      <c r="J156" s="628">
        <v>0</v>
      </c>
      <c r="K156" s="628">
        <v>0</v>
      </c>
      <c r="L156" s="628">
        <v>0</v>
      </c>
      <c r="M156" s="628">
        <v>0</v>
      </c>
      <c r="N156" s="628">
        <v>0</v>
      </c>
      <c r="O156" s="628">
        <v>1</v>
      </c>
      <c r="Q156" s="360" t="s">
        <v>445</v>
      </c>
    </row>
    <row r="157" spans="1:17">
      <c r="A157" s="385">
        <v>907</v>
      </c>
      <c r="B157" s="379" t="s">
        <v>171</v>
      </c>
      <c r="C157" s="632">
        <f t="shared" si="39"/>
        <v>1</v>
      </c>
      <c r="D157" s="628">
        <v>0</v>
      </c>
      <c r="E157" s="628">
        <v>0</v>
      </c>
      <c r="F157" s="628">
        <v>0</v>
      </c>
      <c r="G157" s="628">
        <v>0</v>
      </c>
      <c r="H157" s="628">
        <v>0</v>
      </c>
      <c r="I157" s="628">
        <v>0</v>
      </c>
      <c r="J157" s="628">
        <v>0</v>
      </c>
      <c r="K157" s="628">
        <v>0</v>
      </c>
      <c r="L157" s="628">
        <v>0</v>
      </c>
      <c r="M157" s="628">
        <v>0</v>
      </c>
      <c r="N157" s="628">
        <v>0</v>
      </c>
      <c r="O157" s="628">
        <v>1</v>
      </c>
      <c r="Q157" s="360" t="s">
        <v>445</v>
      </c>
    </row>
    <row r="158" spans="1:17">
      <c r="A158" s="385">
        <v>908</v>
      </c>
      <c r="B158" s="379" t="s">
        <v>172</v>
      </c>
      <c r="C158" s="632">
        <f t="shared" si="39"/>
        <v>1</v>
      </c>
      <c r="D158" s="628">
        <v>0</v>
      </c>
      <c r="E158" s="628">
        <v>0</v>
      </c>
      <c r="F158" s="628">
        <v>0</v>
      </c>
      <c r="G158" s="628">
        <v>0</v>
      </c>
      <c r="H158" s="628">
        <v>0</v>
      </c>
      <c r="I158" s="628">
        <v>0</v>
      </c>
      <c r="J158" s="628">
        <v>0</v>
      </c>
      <c r="K158" s="628">
        <v>0</v>
      </c>
      <c r="L158" s="628">
        <v>0</v>
      </c>
      <c r="M158" s="628">
        <v>0</v>
      </c>
      <c r="N158" s="628">
        <v>0</v>
      </c>
      <c r="O158" s="628">
        <v>1</v>
      </c>
      <c r="Q158" s="360" t="s">
        <v>445</v>
      </c>
    </row>
    <row r="159" spans="1:17">
      <c r="A159" s="385">
        <v>909</v>
      </c>
      <c r="B159" s="379" t="s">
        <v>173</v>
      </c>
      <c r="C159" s="632">
        <f t="shared" si="39"/>
        <v>1</v>
      </c>
      <c r="D159" s="628">
        <v>0</v>
      </c>
      <c r="E159" s="628">
        <v>0</v>
      </c>
      <c r="F159" s="628">
        <v>0</v>
      </c>
      <c r="G159" s="628">
        <v>0</v>
      </c>
      <c r="H159" s="628">
        <v>0</v>
      </c>
      <c r="I159" s="628">
        <v>0</v>
      </c>
      <c r="J159" s="628">
        <v>0</v>
      </c>
      <c r="K159" s="628">
        <v>0</v>
      </c>
      <c r="L159" s="628">
        <v>0</v>
      </c>
      <c r="M159" s="628">
        <v>0</v>
      </c>
      <c r="N159" s="628">
        <v>0</v>
      </c>
      <c r="O159" s="628">
        <v>1</v>
      </c>
      <c r="Q159" s="360" t="s">
        <v>445</v>
      </c>
    </row>
    <row r="160" spans="1:17">
      <c r="A160" s="385">
        <v>910</v>
      </c>
      <c r="B160" s="379" t="s">
        <v>174</v>
      </c>
      <c r="C160" s="632">
        <f t="shared" si="39"/>
        <v>1</v>
      </c>
      <c r="D160" s="628">
        <v>0</v>
      </c>
      <c r="E160" s="628">
        <v>0</v>
      </c>
      <c r="F160" s="628">
        <v>0</v>
      </c>
      <c r="G160" s="628">
        <v>0</v>
      </c>
      <c r="H160" s="628">
        <v>0</v>
      </c>
      <c r="I160" s="628">
        <v>0</v>
      </c>
      <c r="J160" s="628">
        <v>0</v>
      </c>
      <c r="K160" s="628">
        <v>0</v>
      </c>
      <c r="L160" s="628">
        <v>0</v>
      </c>
      <c r="M160" s="628">
        <v>0</v>
      </c>
      <c r="N160" s="628">
        <v>0</v>
      </c>
      <c r="O160" s="628">
        <v>1</v>
      </c>
      <c r="Q160" s="360" t="s">
        <v>445</v>
      </c>
    </row>
    <row r="161" spans="1:17">
      <c r="A161" s="385"/>
      <c r="B161" s="377" t="s">
        <v>135</v>
      </c>
      <c r="C161" s="635"/>
      <c r="D161" s="635"/>
      <c r="E161" s="635"/>
      <c r="F161" s="635"/>
      <c r="G161" s="635"/>
      <c r="H161" s="635"/>
      <c r="I161" s="635"/>
      <c r="J161" s="635"/>
      <c r="K161" s="635"/>
      <c r="L161" s="635"/>
      <c r="M161" s="630"/>
      <c r="N161" s="630"/>
      <c r="O161" s="630"/>
    </row>
    <row r="162" spans="1:17">
      <c r="A162" s="385"/>
      <c r="B162" s="377"/>
      <c r="C162" s="629"/>
      <c r="D162" s="628"/>
      <c r="E162" s="628"/>
      <c r="F162" s="628"/>
      <c r="G162" s="628"/>
      <c r="H162" s="628"/>
      <c r="I162" s="628"/>
      <c r="J162" s="628"/>
      <c r="K162" s="628"/>
      <c r="L162" s="628"/>
      <c r="M162" s="628"/>
      <c r="N162" s="628"/>
      <c r="O162" s="628"/>
    </row>
    <row r="163" spans="1:17">
      <c r="A163" s="385"/>
      <c r="B163" s="377" t="s">
        <v>176</v>
      </c>
      <c r="C163" s="633"/>
      <c r="D163" s="628"/>
      <c r="E163" s="628"/>
      <c r="F163" s="628"/>
      <c r="G163" s="628"/>
      <c r="H163" s="628"/>
      <c r="I163" s="628"/>
      <c r="J163" s="628"/>
      <c r="K163" s="628"/>
      <c r="L163" s="628"/>
      <c r="M163" s="628"/>
      <c r="N163" s="628"/>
      <c r="O163" s="628"/>
    </row>
    <row r="164" spans="1:17">
      <c r="A164" s="385">
        <v>920</v>
      </c>
      <c r="B164" s="379" t="s">
        <v>177</v>
      </c>
      <c r="C164" s="632">
        <f t="shared" ref="C164:C175" si="40">SUM(D164:O164)</f>
        <v>1</v>
      </c>
      <c r="D164" s="632">
        <f>'[14]Cost of Service'!F$2</f>
        <v>0</v>
      </c>
      <c r="E164" s="632">
        <f>'[14]Cost of Service'!G$2</f>
        <v>0.13204858802446523</v>
      </c>
      <c r="F164" s="632">
        <f>'[14]Cost of Service'!H$2</f>
        <v>5.4056806487935843E-2</v>
      </c>
      <c r="G164" s="632">
        <f>'[14]Cost of Service'!I$2</f>
        <v>1.7261439320676822E-3</v>
      </c>
      <c r="H164" s="632">
        <f>'[14]Cost of Service'!J$2</f>
        <v>3.1023619495691101E-3</v>
      </c>
      <c r="I164" s="632">
        <f>'[14]Cost of Service'!K$2</f>
        <v>0</v>
      </c>
      <c r="J164" s="632">
        <f>'[14]Cost of Service'!L$2</f>
        <v>0.33856143797830568</v>
      </c>
      <c r="K164" s="632">
        <f>'[14]Cost of Service'!M$2</f>
        <v>0.40802607369733213</v>
      </c>
      <c r="L164" s="632">
        <f>'[14]Cost of Service'!N$2</f>
        <v>6.2478587930324445E-2</v>
      </c>
      <c r="M164" s="632">
        <f>'[14]Cost of Service'!O$2</f>
        <v>0</v>
      </c>
      <c r="N164" s="632">
        <f>'[14]Cost of Service'!P$2</f>
        <v>0</v>
      </c>
      <c r="O164" s="632">
        <f>'[14]Cost of Service'!Q$2</f>
        <v>0</v>
      </c>
      <c r="Q164" s="305" t="s">
        <v>124</v>
      </c>
    </row>
    <row r="165" spans="1:17">
      <c r="A165" s="385">
        <v>921</v>
      </c>
      <c r="B165" s="379" t="s">
        <v>178</v>
      </c>
      <c r="C165" s="632">
        <f t="shared" si="40"/>
        <v>1</v>
      </c>
      <c r="D165" s="632">
        <f>'G-5 Function Rate Base'!H34/'G-5 Function Rate Base'!$D34</f>
        <v>0</v>
      </c>
      <c r="E165" s="632">
        <f>'G-5 Function Rate Base'!I34/'G-5 Function Rate Base'!$D34</f>
        <v>0.25997700742943058</v>
      </c>
      <c r="F165" s="632">
        <f>'G-5 Function Rate Base'!J34/'G-5 Function Rate Base'!$D34</f>
        <v>1.8430948871455917E-2</v>
      </c>
      <c r="G165" s="632">
        <f>'G-5 Function Rate Base'!K34/'G-5 Function Rate Base'!$D34</f>
        <v>5.1017614333658144E-3</v>
      </c>
      <c r="H165" s="632">
        <f>'G-5 Function Rate Base'!L34/'G-5 Function Rate Base'!$D34</f>
        <v>0</v>
      </c>
      <c r="I165" s="632">
        <f>'G-5 Function Rate Base'!M34/'G-5 Function Rate Base'!$D34</f>
        <v>0</v>
      </c>
      <c r="J165" s="632">
        <f>'G-5 Function Rate Base'!N34/'G-5 Function Rate Base'!$D34</f>
        <v>0.58081104379192594</v>
      </c>
      <c r="K165" s="632">
        <f>'G-5 Function Rate Base'!O34/'G-5 Function Rate Base'!$D34</f>
        <v>0.11182927799808795</v>
      </c>
      <c r="L165" s="632">
        <f>'G-5 Function Rate Base'!P34/'G-5 Function Rate Base'!$D34</f>
        <v>2.3849960475733678E-2</v>
      </c>
      <c r="M165" s="632">
        <f>'G-5 Function Rate Base'!Q34/'G-5 Function Rate Base'!$D34</f>
        <v>0</v>
      </c>
      <c r="N165" s="632">
        <f>'G-5 Function Rate Base'!R34/'G-5 Function Rate Base'!$D34</f>
        <v>0</v>
      </c>
      <c r="O165" s="632">
        <f>'G-5 Function Rate Base'!S34/'G-5 Function Rate Base'!$D34</f>
        <v>0</v>
      </c>
      <c r="Q165" s="304" t="s">
        <v>76</v>
      </c>
    </row>
    <row r="166" spans="1:17">
      <c r="A166" s="385">
        <v>922</v>
      </c>
      <c r="B166" s="379" t="s">
        <v>179</v>
      </c>
      <c r="C166" s="632">
        <f t="shared" si="40"/>
        <v>1</v>
      </c>
      <c r="D166" s="632">
        <f t="shared" ref="D166:O169" si="41">D$165</f>
        <v>0</v>
      </c>
      <c r="E166" s="632">
        <f t="shared" si="41"/>
        <v>0.25997700742943058</v>
      </c>
      <c r="F166" s="632">
        <f t="shared" si="41"/>
        <v>1.8430948871455917E-2</v>
      </c>
      <c r="G166" s="632">
        <f t="shared" si="41"/>
        <v>5.1017614333658144E-3</v>
      </c>
      <c r="H166" s="632">
        <f t="shared" si="41"/>
        <v>0</v>
      </c>
      <c r="I166" s="632">
        <f t="shared" si="41"/>
        <v>0</v>
      </c>
      <c r="J166" s="632">
        <f t="shared" si="41"/>
        <v>0.58081104379192594</v>
      </c>
      <c r="K166" s="632">
        <f t="shared" si="41"/>
        <v>0.11182927799808795</v>
      </c>
      <c r="L166" s="632">
        <f t="shared" si="41"/>
        <v>2.3849960475733678E-2</v>
      </c>
      <c r="M166" s="632">
        <f t="shared" si="41"/>
        <v>0</v>
      </c>
      <c r="N166" s="632">
        <f t="shared" si="41"/>
        <v>0</v>
      </c>
      <c r="O166" s="632">
        <f t="shared" si="41"/>
        <v>0</v>
      </c>
      <c r="Q166" s="304" t="s">
        <v>76</v>
      </c>
    </row>
    <row r="167" spans="1:17">
      <c r="A167" s="385">
        <v>923</v>
      </c>
      <c r="B167" s="379" t="s">
        <v>446</v>
      </c>
      <c r="C167" s="632">
        <f t="shared" si="40"/>
        <v>1</v>
      </c>
      <c r="D167" s="632">
        <f t="shared" si="41"/>
        <v>0</v>
      </c>
      <c r="E167" s="632">
        <f t="shared" si="41"/>
        <v>0.25997700742943058</v>
      </c>
      <c r="F167" s="632">
        <f t="shared" si="41"/>
        <v>1.8430948871455917E-2</v>
      </c>
      <c r="G167" s="632">
        <f t="shared" si="41"/>
        <v>5.1017614333658144E-3</v>
      </c>
      <c r="H167" s="632">
        <f t="shared" si="41"/>
        <v>0</v>
      </c>
      <c r="I167" s="632">
        <f t="shared" si="41"/>
        <v>0</v>
      </c>
      <c r="J167" s="632">
        <f t="shared" si="41"/>
        <v>0.58081104379192594</v>
      </c>
      <c r="K167" s="632">
        <f t="shared" si="41"/>
        <v>0.11182927799808795</v>
      </c>
      <c r="L167" s="632">
        <f t="shared" si="41"/>
        <v>2.3849960475733678E-2</v>
      </c>
      <c r="M167" s="632">
        <f t="shared" si="41"/>
        <v>0</v>
      </c>
      <c r="N167" s="632">
        <f t="shared" si="41"/>
        <v>0</v>
      </c>
      <c r="O167" s="632">
        <f t="shared" si="41"/>
        <v>0</v>
      </c>
      <c r="Q167" s="304" t="s">
        <v>76</v>
      </c>
    </row>
    <row r="168" spans="1:17">
      <c r="A168" s="385">
        <v>924</v>
      </c>
      <c r="B168" s="379" t="s">
        <v>181</v>
      </c>
      <c r="C168" s="632">
        <f t="shared" si="40"/>
        <v>1</v>
      </c>
      <c r="D168" s="632">
        <f t="shared" si="41"/>
        <v>0</v>
      </c>
      <c r="E168" s="632">
        <f t="shared" si="41"/>
        <v>0.25997700742943058</v>
      </c>
      <c r="F168" s="632">
        <f t="shared" si="41"/>
        <v>1.8430948871455917E-2</v>
      </c>
      <c r="G168" s="632">
        <f t="shared" si="41"/>
        <v>5.1017614333658144E-3</v>
      </c>
      <c r="H168" s="632">
        <f t="shared" si="41"/>
        <v>0</v>
      </c>
      <c r="I168" s="632">
        <f t="shared" si="41"/>
        <v>0</v>
      </c>
      <c r="J168" s="632">
        <f t="shared" si="41"/>
        <v>0.58081104379192594</v>
      </c>
      <c r="K168" s="632">
        <f t="shared" si="41"/>
        <v>0.11182927799808795</v>
      </c>
      <c r="L168" s="632">
        <f t="shared" si="41"/>
        <v>2.3849960475733678E-2</v>
      </c>
      <c r="M168" s="632">
        <f t="shared" si="41"/>
        <v>0</v>
      </c>
      <c r="N168" s="632">
        <f t="shared" si="41"/>
        <v>0</v>
      </c>
      <c r="O168" s="632">
        <f t="shared" si="41"/>
        <v>0</v>
      </c>
      <c r="Q168" s="304" t="s">
        <v>76</v>
      </c>
    </row>
    <row r="169" spans="1:17">
      <c r="A169" s="385">
        <v>925</v>
      </c>
      <c r="B169" s="379" t="s">
        <v>182</v>
      </c>
      <c r="C169" s="632">
        <f t="shared" si="40"/>
        <v>1</v>
      </c>
      <c r="D169" s="632">
        <f t="shared" si="41"/>
        <v>0</v>
      </c>
      <c r="E169" s="632">
        <f t="shared" si="41"/>
        <v>0.25997700742943058</v>
      </c>
      <c r="F169" s="632">
        <f t="shared" si="41"/>
        <v>1.8430948871455917E-2</v>
      </c>
      <c r="G169" s="632">
        <f t="shared" si="41"/>
        <v>5.1017614333658144E-3</v>
      </c>
      <c r="H169" s="632">
        <f t="shared" si="41"/>
        <v>0</v>
      </c>
      <c r="I169" s="632">
        <f t="shared" si="41"/>
        <v>0</v>
      </c>
      <c r="J169" s="632">
        <f t="shared" si="41"/>
        <v>0.58081104379192594</v>
      </c>
      <c r="K169" s="632">
        <f t="shared" si="41"/>
        <v>0.11182927799808795</v>
      </c>
      <c r="L169" s="632">
        <f t="shared" si="41"/>
        <v>2.3849960475733678E-2</v>
      </c>
      <c r="M169" s="632">
        <f t="shared" si="41"/>
        <v>0</v>
      </c>
      <c r="N169" s="632">
        <f t="shared" si="41"/>
        <v>0</v>
      </c>
      <c r="O169" s="632">
        <f t="shared" si="41"/>
        <v>0</v>
      </c>
      <c r="Q169" s="304" t="s">
        <v>76</v>
      </c>
    </row>
    <row r="170" spans="1:17">
      <c r="A170" s="385">
        <v>926</v>
      </c>
      <c r="B170" s="379" t="s">
        <v>183</v>
      </c>
      <c r="C170" s="632">
        <f t="shared" si="40"/>
        <v>1</v>
      </c>
      <c r="D170" s="632">
        <f t="shared" ref="D170:O170" si="42">D$164</f>
        <v>0</v>
      </c>
      <c r="E170" s="632">
        <f t="shared" si="42"/>
        <v>0.13204858802446523</v>
      </c>
      <c r="F170" s="632">
        <f t="shared" si="42"/>
        <v>5.4056806487935843E-2</v>
      </c>
      <c r="G170" s="632">
        <f t="shared" si="42"/>
        <v>1.7261439320676822E-3</v>
      </c>
      <c r="H170" s="632">
        <f t="shared" si="42"/>
        <v>3.1023619495691101E-3</v>
      </c>
      <c r="I170" s="632">
        <f t="shared" si="42"/>
        <v>0</v>
      </c>
      <c r="J170" s="632">
        <f t="shared" si="42"/>
        <v>0.33856143797830568</v>
      </c>
      <c r="K170" s="632">
        <f t="shared" si="42"/>
        <v>0.40802607369733213</v>
      </c>
      <c r="L170" s="632">
        <f t="shared" si="42"/>
        <v>6.2478587930324445E-2</v>
      </c>
      <c r="M170" s="632">
        <f t="shared" si="42"/>
        <v>0</v>
      </c>
      <c r="N170" s="632">
        <f t="shared" si="42"/>
        <v>0</v>
      </c>
      <c r="O170" s="632">
        <f t="shared" si="42"/>
        <v>0</v>
      </c>
      <c r="Q170" s="305" t="s">
        <v>124</v>
      </c>
    </row>
    <row r="171" spans="1:17">
      <c r="A171" s="449">
        <v>930.1</v>
      </c>
      <c r="B171" s="379" t="s">
        <v>184</v>
      </c>
      <c r="C171" s="632">
        <f t="shared" si="40"/>
        <v>1</v>
      </c>
      <c r="D171" s="632">
        <f t="shared" ref="D171:O175" si="43">D$165</f>
        <v>0</v>
      </c>
      <c r="E171" s="632">
        <f t="shared" si="43"/>
        <v>0.25997700742943058</v>
      </c>
      <c r="F171" s="632">
        <f t="shared" si="43"/>
        <v>1.8430948871455917E-2</v>
      </c>
      <c r="G171" s="632">
        <f t="shared" si="43"/>
        <v>5.1017614333658144E-3</v>
      </c>
      <c r="H171" s="632">
        <f t="shared" si="43"/>
        <v>0</v>
      </c>
      <c r="I171" s="632">
        <f t="shared" si="43"/>
        <v>0</v>
      </c>
      <c r="J171" s="632">
        <f t="shared" si="43"/>
        <v>0.58081104379192594</v>
      </c>
      <c r="K171" s="632">
        <f t="shared" si="43"/>
        <v>0.11182927799808795</v>
      </c>
      <c r="L171" s="632">
        <f t="shared" si="43"/>
        <v>2.3849960475733678E-2</v>
      </c>
      <c r="M171" s="632">
        <f t="shared" si="43"/>
        <v>0</v>
      </c>
      <c r="N171" s="632">
        <f t="shared" si="43"/>
        <v>0</v>
      </c>
      <c r="O171" s="632">
        <f t="shared" si="43"/>
        <v>0</v>
      </c>
      <c r="Q171" s="304" t="s">
        <v>76</v>
      </c>
    </row>
    <row r="172" spans="1:17">
      <c r="A172" s="449">
        <v>930.2</v>
      </c>
      <c r="B172" s="379" t="s">
        <v>185</v>
      </c>
      <c r="C172" s="632">
        <f t="shared" si="40"/>
        <v>1</v>
      </c>
      <c r="D172" s="632">
        <f t="shared" si="43"/>
        <v>0</v>
      </c>
      <c r="E172" s="632">
        <f t="shared" si="43"/>
        <v>0.25997700742943058</v>
      </c>
      <c r="F172" s="632">
        <f t="shared" si="43"/>
        <v>1.8430948871455917E-2</v>
      </c>
      <c r="G172" s="632">
        <f t="shared" si="43"/>
        <v>5.1017614333658144E-3</v>
      </c>
      <c r="H172" s="632">
        <f t="shared" si="43"/>
        <v>0</v>
      </c>
      <c r="I172" s="632">
        <f t="shared" si="43"/>
        <v>0</v>
      </c>
      <c r="J172" s="632">
        <f t="shared" si="43"/>
        <v>0.58081104379192594</v>
      </c>
      <c r="K172" s="632">
        <f t="shared" si="43"/>
        <v>0.11182927799808795</v>
      </c>
      <c r="L172" s="632">
        <f t="shared" si="43"/>
        <v>2.3849960475733678E-2</v>
      </c>
      <c r="M172" s="632">
        <f t="shared" si="43"/>
        <v>0</v>
      </c>
      <c r="N172" s="632">
        <f t="shared" si="43"/>
        <v>0</v>
      </c>
      <c r="O172" s="632">
        <f t="shared" si="43"/>
        <v>0</v>
      </c>
      <c r="Q172" s="304" t="s">
        <v>76</v>
      </c>
    </row>
    <row r="173" spans="1:17">
      <c r="A173" s="385">
        <v>931</v>
      </c>
      <c r="B173" s="379" t="s">
        <v>151</v>
      </c>
      <c r="C173" s="632">
        <f t="shared" si="40"/>
        <v>1</v>
      </c>
      <c r="D173" s="632">
        <f t="shared" si="43"/>
        <v>0</v>
      </c>
      <c r="E173" s="632">
        <f t="shared" si="43"/>
        <v>0.25997700742943058</v>
      </c>
      <c r="F173" s="632">
        <f t="shared" si="43"/>
        <v>1.8430948871455917E-2</v>
      </c>
      <c r="G173" s="632">
        <f t="shared" si="43"/>
        <v>5.1017614333658144E-3</v>
      </c>
      <c r="H173" s="632">
        <f t="shared" si="43"/>
        <v>0</v>
      </c>
      <c r="I173" s="632">
        <f t="shared" si="43"/>
        <v>0</v>
      </c>
      <c r="J173" s="632">
        <f t="shared" si="43"/>
        <v>0.58081104379192594</v>
      </c>
      <c r="K173" s="632">
        <f t="shared" si="43"/>
        <v>0.11182927799808795</v>
      </c>
      <c r="L173" s="632">
        <f t="shared" si="43"/>
        <v>2.3849960475733678E-2</v>
      </c>
      <c r="M173" s="632">
        <f t="shared" si="43"/>
        <v>0</v>
      </c>
      <c r="N173" s="632">
        <f t="shared" si="43"/>
        <v>0</v>
      </c>
      <c r="O173" s="632">
        <f t="shared" si="43"/>
        <v>0</v>
      </c>
      <c r="Q173" s="304" t="s">
        <v>76</v>
      </c>
    </row>
    <row r="174" spans="1:17">
      <c r="A174" s="385">
        <v>932</v>
      </c>
      <c r="B174" s="379" t="s">
        <v>186</v>
      </c>
      <c r="C174" s="632">
        <f t="shared" si="40"/>
        <v>1</v>
      </c>
      <c r="D174" s="632">
        <f t="shared" si="43"/>
        <v>0</v>
      </c>
      <c r="E174" s="632">
        <f t="shared" si="43"/>
        <v>0.25997700742943058</v>
      </c>
      <c r="F174" s="632">
        <f t="shared" si="43"/>
        <v>1.8430948871455917E-2</v>
      </c>
      <c r="G174" s="632">
        <f t="shared" si="43"/>
        <v>5.1017614333658144E-3</v>
      </c>
      <c r="H174" s="632">
        <f t="shared" si="43"/>
        <v>0</v>
      </c>
      <c r="I174" s="632">
        <f t="shared" si="43"/>
        <v>0</v>
      </c>
      <c r="J174" s="632">
        <f t="shared" si="43"/>
        <v>0.58081104379192594</v>
      </c>
      <c r="K174" s="632">
        <f t="shared" si="43"/>
        <v>0.11182927799808795</v>
      </c>
      <c r="L174" s="632">
        <f t="shared" si="43"/>
        <v>2.3849960475733678E-2</v>
      </c>
      <c r="M174" s="632">
        <f t="shared" si="43"/>
        <v>0</v>
      </c>
      <c r="N174" s="632">
        <f t="shared" si="43"/>
        <v>0</v>
      </c>
      <c r="O174" s="632">
        <f t="shared" si="43"/>
        <v>0</v>
      </c>
      <c r="Q174" s="304" t="s">
        <v>76</v>
      </c>
    </row>
    <row r="175" spans="1:17">
      <c r="A175" s="390">
        <v>928</v>
      </c>
      <c r="B175" s="379" t="s">
        <v>447</v>
      </c>
      <c r="C175" s="631">
        <f t="shared" si="40"/>
        <v>1</v>
      </c>
      <c r="D175" s="631">
        <f t="shared" si="43"/>
        <v>0</v>
      </c>
      <c r="E175" s="631">
        <f t="shared" si="43"/>
        <v>0.25997700742943058</v>
      </c>
      <c r="F175" s="631">
        <f t="shared" si="43"/>
        <v>1.8430948871455917E-2</v>
      </c>
      <c r="G175" s="631">
        <f t="shared" si="43"/>
        <v>5.1017614333658144E-3</v>
      </c>
      <c r="H175" s="631">
        <f t="shared" si="43"/>
        <v>0</v>
      </c>
      <c r="I175" s="631">
        <f t="shared" si="43"/>
        <v>0</v>
      </c>
      <c r="J175" s="631">
        <f t="shared" si="43"/>
        <v>0.58081104379192594</v>
      </c>
      <c r="K175" s="631">
        <f t="shared" si="43"/>
        <v>0.11182927799808795</v>
      </c>
      <c r="L175" s="631">
        <f t="shared" si="43"/>
        <v>2.3849960475733678E-2</v>
      </c>
      <c r="M175" s="631">
        <f t="shared" si="43"/>
        <v>0</v>
      </c>
      <c r="N175" s="631">
        <f t="shared" si="43"/>
        <v>0</v>
      </c>
      <c r="O175" s="631">
        <f t="shared" si="43"/>
        <v>0</v>
      </c>
      <c r="Q175" s="304" t="s">
        <v>76</v>
      </c>
    </row>
    <row r="176" spans="1:17">
      <c r="A176" s="385"/>
      <c r="B176" s="377" t="s">
        <v>135</v>
      </c>
      <c r="C176" s="629"/>
      <c r="D176" s="630"/>
      <c r="E176" s="630"/>
      <c r="F176" s="630"/>
      <c r="G176" s="630"/>
      <c r="H176" s="630"/>
      <c r="I176" s="630"/>
      <c r="J176" s="630"/>
      <c r="K176" s="630"/>
      <c r="L176" s="630"/>
      <c r="M176" s="630"/>
      <c r="N176" s="630"/>
      <c r="O176" s="630"/>
    </row>
    <row r="177" spans="1:17">
      <c r="A177" s="385"/>
      <c r="B177" s="377"/>
      <c r="C177" s="629"/>
      <c r="D177" s="628"/>
      <c r="E177" s="628"/>
      <c r="F177" s="628"/>
      <c r="G177" s="628"/>
      <c r="H177" s="628"/>
      <c r="I177" s="628"/>
      <c r="J177" s="628"/>
      <c r="K177" s="628"/>
      <c r="L177" s="628"/>
      <c r="M177" s="628"/>
      <c r="N177" s="628"/>
      <c r="O177" s="628"/>
    </row>
    <row r="178" spans="1:17">
      <c r="A178" s="385"/>
      <c r="B178" s="406" t="s">
        <v>190</v>
      </c>
      <c r="C178" s="629"/>
      <c r="D178" s="628"/>
      <c r="E178" s="628"/>
      <c r="F178" s="628"/>
      <c r="G178" s="628"/>
      <c r="H178" s="628"/>
      <c r="I178" s="628"/>
      <c r="J178" s="628"/>
      <c r="K178" s="628"/>
      <c r="L178" s="628"/>
      <c r="M178" s="628"/>
      <c r="N178" s="628"/>
      <c r="O178" s="628"/>
    </row>
    <row r="179" spans="1:17">
      <c r="A179" s="385"/>
      <c r="B179" s="377" t="s">
        <v>191</v>
      </c>
      <c r="C179" s="633"/>
      <c r="D179" s="628"/>
      <c r="E179" s="628"/>
      <c r="F179" s="628"/>
      <c r="G179" s="628"/>
      <c r="H179" s="628"/>
      <c r="I179" s="628"/>
      <c r="J179" s="628"/>
      <c r="K179" s="628"/>
      <c r="L179" s="628"/>
      <c r="M179" s="628"/>
      <c r="N179" s="628"/>
      <c r="O179" s="628"/>
    </row>
    <row r="180" spans="1:17">
      <c r="A180" s="385">
        <v>302</v>
      </c>
      <c r="B180" s="379" t="s">
        <v>192</v>
      </c>
      <c r="C180" s="632">
        <f>SUM(D180:O180)</f>
        <v>1</v>
      </c>
      <c r="D180" s="632">
        <f t="shared" ref="D180:O180" si="44">+D11</f>
        <v>0</v>
      </c>
      <c r="E180" s="632">
        <f t="shared" si="44"/>
        <v>0.25997700742943058</v>
      </c>
      <c r="F180" s="632">
        <f t="shared" si="44"/>
        <v>1.8430948871455917E-2</v>
      </c>
      <c r="G180" s="632">
        <f t="shared" si="44"/>
        <v>5.1017614333658144E-3</v>
      </c>
      <c r="H180" s="632">
        <f t="shared" si="44"/>
        <v>0</v>
      </c>
      <c r="I180" s="632">
        <f t="shared" si="44"/>
        <v>0</v>
      </c>
      <c r="J180" s="632">
        <f t="shared" si="44"/>
        <v>0.58081104379192594</v>
      </c>
      <c r="K180" s="632">
        <f t="shared" si="44"/>
        <v>0.11182927799808795</v>
      </c>
      <c r="L180" s="632">
        <f t="shared" si="44"/>
        <v>2.3849960475733678E-2</v>
      </c>
      <c r="M180" s="632">
        <f t="shared" si="44"/>
        <v>0</v>
      </c>
      <c r="N180" s="632">
        <f t="shared" si="44"/>
        <v>0</v>
      </c>
      <c r="O180" s="632">
        <f t="shared" si="44"/>
        <v>0</v>
      </c>
      <c r="Q180" s="360" t="s">
        <v>127</v>
      </c>
    </row>
    <row r="181" spans="1:17">
      <c r="A181" s="385">
        <v>303</v>
      </c>
      <c r="B181" s="379" t="s">
        <v>193</v>
      </c>
      <c r="C181" s="632">
        <f>SUM(D181:O181)</f>
        <v>1</v>
      </c>
      <c r="D181" s="632">
        <f t="shared" ref="D181:O181" si="45">+D12</f>
        <v>0</v>
      </c>
      <c r="E181" s="632">
        <f t="shared" si="45"/>
        <v>0.25997700742943058</v>
      </c>
      <c r="F181" s="632">
        <f t="shared" si="45"/>
        <v>1.8430948871455917E-2</v>
      </c>
      <c r="G181" s="632">
        <f t="shared" si="45"/>
        <v>5.1017614333658144E-3</v>
      </c>
      <c r="H181" s="632">
        <f t="shared" si="45"/>
        <v>0</v>
      </c>
      <c r="I181" s="632">
        <f t="shared" si="45"/>
        <v>0</v>
      </c>
      <c r="J181" s="632">
        <f t="shared" si="45"/>
        <v>0.58081104379192594</v>
      </c>
      <c r="K181" s="632">
        <f t="shared" si="45"/>
        <v>0.11182927799808795</v>
      </c>
      <c r="L181" s="632">
        <f t="shared" si="45"/>
        <v>2.3849960475733678E-2</v>
      </c>
      <c r="M181" s="632">
        <f t="shared" si="45"/>
        <v>0</v>
      </c>
      <c r="N181" s="632">
        <f t="shared" si="45"/>
        <v>0</v>
      </c>
      <c r="O181" s="632">
        <f t="shared" si="45"/>
        <v>0</v>
      </c>
      <c r="Q181" s="360" t="s">
        <v>127</v>
      </c>
    </row>
    <row r="182" spans="1:17">
      <c r="A182" s="390"/>
      <c r="B182" s="379" t="s">
        <v>194</v>
      </c>
      <c r="C182" s="631">
        <f>SUM(D182:O182)</f>
        <v>1</v>
      </c>
      <c r="D182" s="631">
        <f t="shared" ref="D182:O182" si="46">+D180</f>
        <v>0</v>
      </c>
      <c r="E182" s="631">
        <f t="shared" si="46"/>
        <v>0.25997700742943058</v>
      </c>
      <c r="F182" s="631">
        <f t="shared" si="46"/>
        <v>1.8430948871455917E-2</v>
      </c>
      <c r="G182" s="631">
        <f t="shared" si="46"/>
        <v>5.1017614333658144E-3</v>
      </c>
      <c r="H182" s="631">
        <f t="shared" si="46"/>
        <v>0</v>
      </c>
      <c r="I182" s="631">
        <f t="shared" si="46"/>
        <v>0</v>
      </c>
      <c r="J182" s="631">
        <f t="shared" si="46"/>
        <v>0.58081104379192594</v>
      </c>
      <c r="K182" s="631">
        <f t="shared" si="46"/>
        <v>0.11182927799808795</v>
      </c>
      <c r="L182" s="631">
        <f t="shared" si="46"/>
        <v>2.3849960475733678E-2</v>
      </c>
      <c r="M182" s="631">
        <f t="shared" si="46"/>
        <v>0</v>
      </c>
      <c r="N182" s="631">
        <f t="shared" si="46"/>
        <v>0</v>
      </c>
      <c r="O182" s="631">
        <f t="shared" si="46"/>
        <v>0</v>
      </c>
      <c r="Q182" s="360" t="s">
        <v>127</v>
      </c>
    </row>
    <row r="183" spans="1:17">
      <c r="A183" s="385"/>
      <c r="B183" s="377" t="s">
        <v>195</v>
      </c>
      <c r="C183" s="632"/>
      <c r="D183" s="630"/>
      <c r="E183" s="630"/>
      <c r="F183" s="630"/>
      <c r="G183" s="630"/>
      <c r="H183" s="630"/>
      <c r="I183" s="630"/>
      <c r="J183" s="630"/>
      <c r="K183" s="630"/>
      <c r="L183" s="630"/>
      <c r="M183" s="630"/>
      <c r="N183" s="630"/>
      <c r="O183" s="630"/>
    </row>
    <row r="184" spans="1:17">
      <c r="A184" s="385"/>
      <c r="B184" s="377"/>
      <c r="C184" s="629"/>
      <c r="D184" s="628"/>
      <c r="E184" s="628"/>
      <c r="F184" s="628"/>
      <c r="G184" s="628"/>
      <c r="H184" s="628"/>
      <c r="I184" s="628"/>
      <c r="J184" s="628"/>
      <c r="K184" s="628"/>
      <c r="L184" s="628"/>
      <c r="M184" s="628"/>
      <c r="N184" s="628"/>
      <c r="O184" s="628"/>
    </row>
    <row r="185" spans="1:17">
      <c r="A185" s="385"/>
      <c r="B185" s="377" t="s">
        <v>286</v>
      </c>
      <c r="C185" s="629"/>
      <c r="D185" s="628"/>
      <c r="E185" s="628"/>
      <c r="F185" s="628"/>
      <c r="G185" s="628"/>
      <c r="H185" s="628"/>
      <c r="I185" s="628"/>
      <c r="J185" s="628"/>
      <c r="K185" s="628"/>
      <c r="L185" s="628"/>
      <c r="M185" s="628"/>
      <c r="N185" s="628"/>
      <c r="O185" s="628"/>
    </row>
    <row r="186" spans="1:17">
      <c r="A186" s="385">
        <v>365</v>
      </c>
      <c r="B186" s="379" t="s">
        <v>81</v>
      </c>
      <c r="C186" s="632">
        <f>SUM(D186:O186)</f>
        <v>1</v>
      </c>
      <c r="D186" s="632">
        <v>0</v>
      </c>
      <c r="E186" s="628">
        <v>1</v>
      </c>
      <c r="F186" s="628">
        <v>0</v>
      </c>
      <c r="G186" s="628">
        <v>0</v>
      </c>
      <c r="H186" s="628">
        <v>0</v>
      </c>
      <c r="I186" s="628">
        <v>0</v>
      </c>
      <c r="J186" s="628">
        <v>0</v>
      </c>
      <c r="K186" s="628">
        <v>0</v>
      </c>
      <c r="L186" s="628">
        <v>0</v>
      </c>
      <c r="M186" s="628">
        <v>0</v>
      </c>
      <c r="N186" s="628">
        <v>0</v>
      </c>
      <c r="O186" s="628">
        <v>0</v>
      </c>
      <c r="Q186" s="456" t="s">
        <v>427</v>
      </c>
    </row>
    <row r="187" spans="1:17">
      <c r="A187" s="390">
        <v>366</v>
      </c>
      <c r="B187" s="379" t="s">
        <v>82</v>
      </c>
      <c r="C187" s="632">
        <f>SUM(D187:O187)</f>
        <v>1</v>
      </c>
      <c r="D187" s="632">
        <v>0</v>
      </c>
      <c r="E187" s="628">
        <v>1</v>
      </c>
      <c r="F187" s="628">
        <v>0</v>
      </c>
      <c r="G187" s="628">
        <v>0</v>
      </c>
      <c r="H187" s="628">
        <v>0</v>
      </c>
      <c r="I187" s="628">
        <v>0</v>
      </c>
      <c r="J187" s="628">
        <v>0</v>
      </c>
      <c r="K187" s="628">
        <v>0</v>
      </c>
      <c r="L187" s="628">
        <v>0</v>
      </c>
      <c r="M187" s="628">
        <v>0</v>
      </c>
      <c r="N187" s="628">
        <v>0</v>
      </c>
      <c r="O187" s="628">
        <v>0</v>
      </c>
      <c r="Q187" s="456" t="s">
        <v>427</v>
      </c>
    </row>
    <row r="188" spans="1:17">
      <c r="A188" s="385">
        <v>367</v>
      </c>
      <c r="B188" s="379" t="s">
        <v>287</v>
      </c>
      <c r="C188" s="632">
        <f>SUM(D188:O188)</f>
        <v>1</v>
      </c>
      <c r="D188" s="632">
        <v>0</v>
      </c>
      <c r="E188" s="628">
        <v>1</v>
      </c>
      <c r="F188" s="628">
        <v>0</v>
      </c>
      <c r="G188" s="628">
        <v>0</v>
      </c>
      <c r="H188" s="628">
        <v>0</v>
      </c>
      <c r="I188" s="628">
        <v>0</v>
      </c>
      <c r="J188" s="628">
        <v>0</v>
      </c>
      <c r="K188" s="628">
        <v>0</v>
      </c>
      <c r="L188" s="628">
        <v>0</v>
      </c>
      <c r="M188" s="628">
        <v>0</v>
      </c>
      <c r="N188" s="628">
        <v>0</v>
      </c>
      <c r="O188" s="628">
        <v>0</v>
      </c>
      <c r="Q188" s="456" t="s">
        <v>427</v>
      </c>
    </row>
    <row r="189" spans="1:17">
      <c r="A189" s="385">
        <v>369</v>
      </c>
      <c r="B189" s="379" t="s">
        <v>242</v>
      </c>
      <c r="C189" s="632">
        <f>SUM(D189:O189)</f>
        <v>1</v>
      </c>
      <c r="D189" s="632">
        <v>0</v>
      </c>
      <c r="E189" s="628">
        <v>1</v>
      </c>
      <c r="F189" s="628">
        <v>0</v>
      </c>
      <c r="G189" s="628">
        <v>0</v>
      </c>
      <c r="H189" s="628">
        <v>0</v>
      </c>
      <c r="I189" s="628">
        <v>0</v>
      </c>
      <c r="J189" s="628">
        <v>0</v>
      </c>
      <c r="K189" s="628">
        <v>0</v>
      </c>
      <c r="L189" s="628">
        <v>0</v>
      </c>
      <c r="M189" s="628">
        <v>0</v>
      </c>
      <c r="N189" s="628">
        <v>0</v>
      </c>
      <c r="O189" s="628">
        <v>0</v>
      </c>
      <c r="Q189" s="456" t="s">
        <v>427</v>
      </c>
    </row>
    <row r="190" spans="1:17">
      <c r="A190" s="385">
        <v>371</v>
      </c>
      <c r="B190" s="379" t="s">
        <v>98</v>
      </c>
      <c r="C190" s="632">
        <f>SUM(D190:O190)</f>
        <v>1</v>
      </c>
      <c r="D190" s="632">
        <v>0</v>
      </c>
      <c r="E190" s="628">
        <v>1</v>
      </c>
      <c r="F190" s="634">
        <v>0</v>
      </c>
      <c r="G190" s="634">
        <v>0</v>
      </c>
      <c r="H190" s="634">
        <v>0</v>
      </c>
      <c r="I190" s="634">
        <v>0</v>
      </c>
      <c r="J190" s="634">
        <v>0</v>
      </c>
      <c r="K190" s="634">
        <v>0</v>
      </c>
      <c r="L190" s="634">
        <v>0</v>
      </c>
      <c r="M190" s="634">
        <v>0</v>
      </c>
      <c r="N190" s="634">
        <v>0</v>
      </c>
      <c r="O190" s="634">
        <v>0</v>
      </c>
      <c r="Q190" s="456" t="s">
        <v>427</v>
      </c>
    </row>
    <row r="191" spans="1:17">
      <c r="A191" s="385"/>
      <c r="B191" s="377" t="s">
        <v>196</v>
      </c>
      <c r="C191" s="629"/>
      <c r="D191" s="630"/>
      <c r="E191" s="630"/>
      <c r="F191" s="630"/>
      <c r="G191" s="630"/>
      <c r="H191" s="630"/>
      <c r="I191" s="630"/>
      <c r="J191" s="630"/>
      <c r="K191" s="630"/>
      <c r="L191" s="630"/>
      <c r="M191" s="630"/>
      <c r="N191" s="630"/>
      <c r="O191" s="630"/>
    </row>
    <row r="192" spans="1:17">
      <c r="A192" s="385"/>
      <c r="B192" s="377"/>
      <c r="C192" s="629"/>
      <c r="D192" s="628"/>
      <c r="E192" s="628"/>
      <c r="F192" s="628"/>
      <c r="G192" s="628"/>
      <c r="H192" s="628"/>
      <c r="I192" s="628"/>
      <c r="J192" s="628"/>
      <c r="K192" s="628"/>
      <c r="L192" s="628"/>
      <c r="M192" s="628"/>
      <c r="N192" s="628"/>
      <c r="O192" s="628"/>
    </row>
    <row r="193" spans="1:17">
      <c r="A193" s="385"/>
      <c r="B193" s="377" t="s">
        <v>197</v>
      </c>
      <c r="C193" s="629"/>
      <c r="D193" s="628"/>
      <c r="E193" s="628"/>
      <c r="F193" s="628"/>
      <c r="G193" s="628"/>
      <c r="H193" s="628"/>
      <c r="I193" s="628"/>
      <c r="J193" s="628"/>
      <c r="K193" s="628"/>
      <c r="L193" s="628"/>
      <c r="M193" s="628"/>
      <c r="N193" s="628"/>
      <c r="O193" s="628"/>
    </row>
    <row r="194" spans="1:17">
      <c r="A194" s="385">
        <v>374</v>
      </c>
      <c r="B194" s="379" t="s">
        <v>81</v>
      </c>
      <c r="C194" s="632">
        <f t="shared" ref="C194:C205" si="47">SUM(D194:O194)</f>
        <v>1</v>
      </c>
      <c r="D194" s="628">
        <v>0</v>
      </c>
      <c r="E194" s="628">
        <v>0</v>
      </c>
      <c r="F194" s="628">
        <v>0</v>
      </c>
      <c r="G194" s="632">
        <v>1</v>
      </c>
      <c r="H194" s="632">
        <v>0</v>
      </c>
      <c r="I194" s="632">
        <v>0</v>
      </c>
      <c r="J194" s="632">
        <v>0</v>
      </c>
      <c r="K194" s="632">
        <v>0</v>
      </c>
      <c r="L194" s="632">
        <v>0</v>
      </c>
      <c r="M194" s="632">
        <v>0</v>
      </c>
      <c r="N194" s="632">
        <v>0</v>
      </c>
      <c r="O194" s="632">
        <v>0</v>
      </c>
      <c r="Q194" s="360" t="s">
        <v>428</v>
      </c>
    </row>
    <row r="195" spans="1:17">
      <c r="A195" s="390">
        <v>375</v>
      </c>
      <c r="B195" s="379" t="s">
        <v>82</v>
      </c>
      <c r="C195" s="632">
        <f t="shared" si="47"/>
        <v>1</v>
      </c>
      <c r="D195" s="628">
        <v>0</v>
      </c>
      <c r="E195" s="628">
        <v>0</v>
      </c>
      <c r="F195" s="628">
        <v>0</v>
      </c>
      <c r="G195" s="632">
        <v>1</v>
      </c>
      <c r="H195" s="632">
        <v>0</v>
      </c>
      <c r="I195" s="632">
        <v>0</v>
      </c>
      <c r="J195" s="632">
        <v>0</v>
      </c>
      <c r="K195" s="632">
        <v>0</v>
      </c>
      <c r="L195" s="632">
        <v>0</v>
      </c>
      <c r="M195" s="632">
        <v>0</v>
      </c>
      <c r="N195" s="632">
        <v>0</v>
      </c>
      <c r="O195" s="632">
        <v>0</v>
      </c>
      <c r="Q195" s="360" t="s">
        <v>428</v>
      </c>
    </row>
    <row r="196" spans="1:17">
      <c r="A196" s="385">
        <v>376</v>
      </c>
      <c r="B196" s="379" t="s">
        <v>83</v>
      </c>
      <c r="C196" s="632">
        <f t="shared" si="47"/>
        <v>1</v>
      </c>
      <c r="D196" s="628">
        <v>0</v>
      </c>
      <c r="E196" s="632">
        <f>1-J196</f>
        <v>0.48486249821048266</v>
      </c>
      <c r="F196" s="632">
        <v>0</v>
      </c>
      <c r="G196" s="632">
        <v>0</v>
      </c>
      <c r="H196" s="632">
        <v>0</v>
      </c>
      <c r="I196" s="632">
        <v>0</v>
      </c>
      <c r="J196" s="632">
        <f>[16]Summary!$J$9</f>
        <v>0.51513750178951734</v>
      </c>
      <c r="K196" s="632">
        <v>0</v>
      </c>
      <c r="L196" s="632">
        <v>0</v>
      </c>
      <c r="M196" s="632">
        <v>0</v>
      </c>
      <c r="N196" s="632">
        <v>0</v>
      </c>
      <c r="O196" s="632">
        <v>0</v>
      </c>
      <c r="Q196" s="360" t="s">
        <v>442</v>
      </c>
    </row>
    <row r="197" spans="1:17">
      <c r="A197" s="385">
        <v>378</v>
      </c>
      <c r="B197" s="379" t="s">
        <v>198</v>
      </c>
      <c r="C197" s="632">
        <f t="shared" si="47"/>
        <v>1</v>
      </c>
      <c r="D197" s="628">
        <v>0</v>
      </c>
      <c r="E197" s="628">
        <v>0</v>
      </c>
      <c r="F197" s="632">
        <v>1</v>
      </c>
      <c r="G197" s="632">
        <v>0</v>
      </c>
      <c r="H197" s="632">
        <v>0</v>
      </c>
      <c r="I197" s="632">
        <v>0</v>
      </c>
      <c r="J197" s="632">
        <v>0</v>
      </c>
      <c r="K197" s="632">
        <v>0</v>
      </c>
      <c r="L197" s="632">
        <v>0</v>
      </c>
      <c r="M197" s="632">
        <v>0</v>
      </c>
      <c r="N197" s="632">
        <v>0</v>
      </c>
      <c r="O197" s="632">
        <v>0</v>
      </c>
      <c r="Q197" s="360" t="s">
        <v>448</v>
      </c>
    </row>
    <row r="198" spans="1:17">
      <c r="A198" s="385">
        <v>379</v>
      </c>
      <c r="B198" s="379" t="s">
        <v>199</v>
      </c>
      <c r="C198" s="632">
        <f t="shared" si="47"/>
        <v>1</v>
      </c>
      <c r="D198" s="628">
        <v>0</v>
      </c>
      <c r="E198" s="628">
        <v>0</v>
      </c>
      <c r="F198" s="632">
        <v>1</v>
      </c>
      <c r="G198" s="632">
        <v>0</v>
      </c>
      <c r="H198" s="632">
        <v>0</v>
      </c>
      <c r="I198" s="632">
        <v>0</v>
      </c>
      <c r="J198" s="632">
        <v>0</v>
      </c>
      <c r="K198" s="632">
        <v>0</v>
      </c>
      <c r="L198" s="632">
        <v>0</v>
      </c>
      <c r="M198" s="632">
        <v>0</v>
      </c>
      <c r="N198" s="632">
        <v>0</v>
      </c>
      <c r="O198" s="632">
        <v>0</v>
      </c>
      <c r="Q198" s="360" t="s">
        <v>448</v>
      </c>
    </row>
    <row r="199" spans="1:17">
      <c r="A199" s="385">
        <v>380</v>
      </c>
      <c r="B199" s="379" t="s">
        <v>86</v>
      </c>
      <c r="C199" s="632">
        <f t="shared" si="47"/>
        <v>1</v>
      </c>
      <c r="D199" s="628">
        <v>0</v>
      </c>
      <c r="E199" s="628">
        <v>0</v>
      </c>
      <c r="F199" s="628">
        <v>0</v>
      </c>
      <c r="G199" s="632">
        <v>0</v>
      </c>
      <c r="H199" s="632">
        <v>0</v>
      </c>
      <c r="I199" s="632">
        <v>0</v>
      </c>
      <c r="J199" s="632">
        <v>1</v>
      </c>
      <c r="K199" s="632">
        <v>0</v>
      </c>
      <c r="L199" s="632">
        <v>0</v>
      </c>
      <c r="M199" s="632">
        <v>0</v>
      </c>
      <c r="N199" s="632">
        <v>0</v>
      </c>
      <c r="O199" s="632">
        <v>0</v>
      </c>
      <c r="Q199" s="360" t="s">
        <v>449</v>
      </c>
    </row>
    <row r="200" spans="1:17">
      <c r="A200" s="385">
        <v>381</v>
      </c>
      <c r="B200" s="379" t="s">
        <v>88</v>
      </c>
      <c r="C200" s="632">
        <f t="shared" si="47"/>
        <v>1</v>
      </c>
      <c r="D200" s="628">
        <v>0</v>
      </c>
      <c r="E200" s="628">
        <v>0</v>
      </c>
      <c r="F200" s="628">
        <v>0</v>
      </c>
      <c r="G200" s="632">
        <v>0</v>
      </c>
      <c r="H200" s="632">
        <v>0</v>
      </c>
      <c r="I200" s="632">
        <v>0</v>
      </c>
      <c r="J200" s="632">
        <v>0</v>
      </c>
      <c r="K200" s="632">
        <v>1</v>
      </c>
      <c r="L200" s="632">
        <v>0</v>
      </c>
      <c r="M200" s="632">
        <v>0</v>
      </c>
      <c r="N200" s="632">
        <v>0</v>
      </c>
      <c r="O200" s="632">
        <v>0</v>
      </c>
      <c r="Q200" s="360" t="s">
        <v>450</v>
      </c>
    </row>
    <row r="201" spans="1:17">
      <c r="A201" s="385">
        <v>382</v>
      </c>
      <c r="B201" s="379" t="s">
        <v>90</v>
      </c>
      <c r="C201" s="632">
        <f t="shared" si="47"/>
        <v>1</v>
      </c>
      <c r="D201" s="628">
        <v>0</v>
      </c>
      <c r="E201" s="628">
        <v>0</v>
      </c>
      <c r="F201" s="628">
        <v>0</v>
      </c>
      <c r="G201" s="632">
        <v>0</v>
      </c>
      <c r="H201" s="632">
        <v>0</v>
      </c>
      <c r="I201" s="632">
        <v>0</v>
      </c>
      <c r="J201" s="632">
        <v>0</v>
      </c>
      <c r="K201" s="632">
        <v>1</v>
      </c>
      <c r="L201" s="632">
        <v>0</v>
      </c>
      <c r="M201" s="632">
        <v>0</v>
      </c>
      <c r="N201" s="632">
        <v>0</v>
      </c>
      <c r="O201" s="632">
        <v>0</v>
      </c>
      <c r="Q201" s="360" t="s">
        <v>450</v>
      </c>
    </row>
    <row r="202" spans="1:17">
      <c r="A202" s="385">
        <v>383</v>
      </c>
      <c r="B202" s="379" t="s">
        <v>92</v>
      </c>
      <c r="C202" s="632">
        <f t="shared" si="47"/>
        <v>1</v>
      </c>
      <c r="D202" s="628">
        <v>0</v>
      </c>
      <c r="E202" s="628">
        <v>0</v>
      </c>
      <c r="F202" s="628">
        <v>0</v>
      </c>
      <c r="G202" s="632">
        <v>0</v>
      </c>
      <c r="H202" s="632">
        <v>0</v>
      </c>
      <c r="I202" s="632">
        <v>0</v>
      </c>
      <c r="J202" s="632">
        <v>0</v>
      </c>
      <c r="K202" s="632">
        <v>0</v>
      </c>
      <c r="L202" s="632">
        <v>1</v>
      </c>
      <c r="M202" s="632">
        <v>0</v>
      </c>
      <c r="N202" s="632">
        <v>0</v>
      </c>
      <c r="O202" s="632">
        <v>0</v>
      </c>
      <c r="Q202" s="360" t="s">
        <v>451</v>
      </c>
    </row>
    <row r="203" spans="1:17">
      <c r="A203" s="385">
        <v>384</v>
      </c>
      <c r="B203" s="379" t="s">
        <v>94</v>
      </c>
      <c r="C203" s="632">
        <f t="shared" si="47"/>
        <v>1</v>
      </c>
      <c r="D203" s="628">
        <v>0</v>
      </c>
      <c r="E203" s="628">
        <v>0</v>
      </c>
      <c r="F203" s="628">
        <v>0</v>
      </c>
      <c r="G203" s="632">
        <v>0</v>
      </c>
      <c r="H203" s="632">
        <v>0</v>
      </c>
      <c r="I203" s="632">
        <v>0</v>
      </c>
      <c r="J203" s="632">
        <v>0</v>
      </c>
      <c r="K203" s="632">
        <v>0</v>
      </c>
      <c r="L203" s="632">
        <v>1</v>
      </c>
      <c r="M203" s="632">
        <v>0</v>
      </c>
      <c r="N203" s="632">
        <v>0</v>
      </c>
      <c r="O203" s="632">
        <v>0</v>
      </c>
      <c r="Q203" s="360" t="s">
        <v>451</v>
      </c>
    </row>
    <row r="204" spans="1:17">
      <c r="A204" s="385">
        <v>385</v>
      </c>
      <c r="B204" s="379" t="s">
        <v>200</v>
      </c>
      <c r="C204" s="632">
        <f t="shared" si="47"/>
        <v>1</v>
      </c>
      <c r="D204" s="628">
        <v>0</v>
      </c>
      <c r="E204" s="628">
        <v>0</v>
      </c>
      <c r="F204" s="628">
        <v>0</v>
      </c>
      <c r="G204" s="632">
        <v>0</v>
      </c>
      <c r="H204" s="632">
        <v>0</v>
      </c>
      <c r="I204" s="632">
        <v>0</v>
      </c>
      <c r="J204" s="632">
        <v>0</v>
      </c>
      <c r="K204" s="632">
        <v>0</v>
      </c>
      <c r="L204" s="632">
        <v>1</v>
      </c>
      <c r="M204" s="632">
        <v>0</v>
      </c>
      <c r="N204" s="632">
        <v>0</v>
      </c>
      <c r="O204" s="632">
        <v>0</v>
      </c>
      <c r="Q204" s="360" t="s">
        <v>451</v>
      </c>
    </row>
    <row r="205" spans="1:17">
      <c r="A205" s="385">
        <v>387</v>
      </c>
      <c r="B205" s="379" t="s">
        <v>98</v>
      </c>
      <c r="C205" s="631">
        <f t="shared" si="47"/>
        <v>1</v>
      </c>
      <c r="D205" s="634">
        <v>0</v>
      </c>
      <c r="E205" s="634">
        <v>0</v>
      </c>
      <c r="F205" s="634">
        <v>0</v>
      </c>
      <c r="G205" s="631">
        <v>1</v>
      </c>
      <c r="H205" s="631">
        <v>0</v>
      </c>
      <c r="I205" s="631">
        <v>0</v>
      </c>
      <c r="J205" s="631">
        <v>0</v>
      </c>
      <c r="K205" s="631">
        <v>0</v>
      </c>
      <c r="L205" s="631">
        <v>0</v>
      </c>
      <c r="M205" s="631">
        <v>0</v>
      </c>
      <c r="N205" s="631">
        <v>0</v>
      </c>
      <c r="O205" s="631">
        <v>0</v>
      </c>
      <c r="Q205" s="360" t="s">
        <v>428</v>
      </c>
    </row>
    <row r="206" spans="1:17">
      <c r="A206" s="385"/>
      <c r="B206" s="377" t="s">
        <v>201</v>
      </c>
      <c r="C206" s="629"/>
      <c r="D206" s="630"/>
      <c r="E206" s="630"/>
      <c r="F206" s="630"/>
      <c r="G206" s="630"/>
      <c r="H206" s="630"/>
      <c r="I206" s="630"/>
      <c r="J206" s="630"/>
      <c r="K206" s="630"/>
      <c r="L206" s="630"/>
      <c r="M206" s="630"/>
      <c r="N206" s="630"/>
      <c r="O206" s="630"/>
    </row>
    <row r="207" spans="1:17">
      <c r="A207" s="385"/>
      <c r="B207" s="377"/>
      <c r="C207" s="629"/>
      <c r="D207" s="628"/>
      <c r="E207" s="628"/>
      <c r="F207" s="628"/>
      <c r="G207" s="628"/>
      <c r="H207" s="628"/>
      <c r="I207" s="628"/>
      <c r="J207" s="628"/>
      <c r="K207" s="628"/>
      <c r="L207" s="628"/>
      <c r="M207" s="628"/>
      <c r="N207" s="628"/>
      <c r="O207" s="628"/>
    </row>
    <row r="208" spans="1:17">
      <c r="A208" s="385"/>
      <c r="B208" s="377"/>
      <c r="C208" s="629"/>
      <c r="D208" s="628"/>
      <c r="E208" s="628"/>
      <c r="F208" s="628"/>
      <c r="G208" s="628"/>
      <c r="H208" s="628"/>
      <c r="I208" s="628"/>
      <c r="J208" s="628"/>
      <c r="K208" s="628"/>
      <c r="L208" s="628"/>
      <c r="M208" s="628"/>
      <c r="N208" s="628"/>
      <c r="O208" s="628"/>
    </row>
    <row r="209" spans="1:17">
      <c r="A209" s="385"/>
      <c r="B209" s="377" t="s">
        <v>289</v>
      </c>
      <c r="C209" s="629"/>
      <c r="D209" s="628"/>
      <c r="E209" s="628"/>
      <c r="F209" s="628"/>
      <c r="G209" s="628"/>
      <c r="H209" s="628"/>
      <c r="I209" s="628"/>
      <c r="J209" s="628"/>
      <c r="K209" s="628"/>
      <c r="L209" s="628"/>
      <c r="M209" s="628"/>
      <c r="N209" s="628"/>
      <c r="O209" s="628"/>
    </row>
    <row r="210" spans="1:17">
      <c r="A210" s="385">
        <v>389</v>
      </c>
      <c r="B210" s="379" t="s">
        <v>290</v>
      </c>
      <c r="C210" s="632">
        <f t="shared" ref="C210:C218" si="48">SUM(D210:O210)</f>
        <v>1</v>
      </c>
      <c r="D210" s="632">
        <f t="shared" ref="D210:O210" si="49">+D11</f>
        <v>0</v>
      </c>
      <c r="E210" s="632">
        <f t="shared" si="49"/>
        <v>0.25997700742943058</v>
      </c>
      <c r="F210" s="632">
        <f t="shared" si="49"/>
        <v>1.8430948871455917E-2</v>
      </c>
      <c r="G210" s="632">
        <f t="shared" si="49"/>
        <v>5.1017614333658144E-3</v>
      </c>
      <c r="H210" s="632">
        <f t="shared" si="49"/>
        <v>0</v>
      </c>
      <c r="I210" s="632">
        <f t="shared" si="49"/>
        <v>0</v>
      </c>
      <c r="J210" s="632">
        <f t="shared" si="49"/>
        <v>0.58081104379192594</v>
      </c>
      <c r="K210" s="632">
        <f t="shared" si="49"/>
        <v>0.11182927799808795</v>
      </c>
      <c r="L210" s="632">
        <f t="shared" si="49"/>
        <v>2.3849960475733678E-2</v>
      </c>
      <c r="M210" s="632">
        <f t="shared" si="49"/>
        <v>0</v>
      </c>
      <c r="N210" s="632">
        <f t="shared" si="49"/>
        <v>0</v>
      </c>
      <c r="O210" s="632">
        <f t="shared" si="49"/>
        <v>0</v>
      </c>
      <c r="Q210" s="360" t="s">
        <v>127</v>
      </c>
    </row>
    <row r="211" spans="1:17">
      <c r="A211" s="390">
        <v>390</v>
      </c>
      <c r="B211" s="379" t="s">
        <v>82</v>
      </c>
      <c r="C211" s="632">
        <f t="shared" si="48"/>
        <v>1</v>
      </c>
      <c r="D211" s="632">
        <f t="shared" ref="D211:O218" si="50">+D210</f>
        <v>0</v>
      </c>
      <c r="E211" s="632">
        <f t="shared" si="50"/>
        <v>0.25997700742943058</v>
      </c>
      <c r="F211" s="632">
        <f t="shared" si="50"/>
        <v>1.8430948871455917E-2</v>
      </c>
      <c r="G211" s="632">
        <f t="shared" si="50"/>
        <v>5.1017614333658144E-3</v>
      </c>
      <c r="H211" s="632">
        <f t="shared" si="50"/>
        <v>0</v>
      </c>
      <c r="I211" s="632">
        <f t="shared" si="50"/>
        <v>0</v>
      </c>
      <c r="J211" s="632">
        <f t="shared" si="50"/>
        <v>0.58081104379192594</v>
      </c>
      <c r="K211" s="632">
        <f t="shared" si="50"/>
        <v>0.11182927799808795</v>
      </c>
      <c r="L211" s="632">
        <f t="shared" si="50"/>
        <v>2.3849960475733678E-2</v>
      </c>
      <c r="M211" s="632">
        <f t="shared" si="50"/>
        <v>0</v>
      </c>
      <c r="N211" s="632">
        <f t="shared" si="50"/>
        <v>0</v>
      </c>
      <c r="O211" s="632">
        <f t="shared" si="50"/>
        <v>0</v>
      </c>
      <c r="Q211" s="360" t="s">
        <v>127</v>
      </c>
    </row>
    <row r="212" spans="1:17">
      <c r="A212" s="385">
        <v>391</v>
      </c>
      <c r="B212" s="379" t="s">
        <v>245</v>
      </c>
      <c r="C212" s="632">
        <f t="shared" si="48"/>
        <v>1</v>
      </c>
      <c r="D212" s="632">
        <f t="shared" si="50"/>
        <v>0</v>
      </c>
      <c r="E212" s="632">
        <f t="shared" si="50"/>
        <v>0.25997700742943058</v>
      </c>
      <c r="F212" s="632">
        <f t="shared" si="50"/>
        <v>1.8430948871455917E-2</v>
      </c>
      <c r="G212" s="632">
        <f t="shared" si="50"/>
        <v>5.1017614333658144E-3</v>
      </c>
      <c r="H212" s="632">
        <f t="shared" si="50"/>
        <v>0</v>
      </c>
      <c r="I212" s="632">
        <f t="shared" si="50"/>
        <v>0</v>
      </c>
      <c r="J212" s="632">
        <f t="shared" si="50"/>
        <v>0.58081104379192594</v>
      </c>
      <c r="K212" s="632">
        <f t="shared" si="50"/>
        <v>0.11182927799808795</v>
      </c>
      <c r="L212" s="632">
        <f t="shared" si="50"/>
        <v>2.3849960475733678E-2</v>
      </c>
      <c r="M212" s="632">
        <f t="shared" si="50"/>
        <v>0</v>
      </c>
      <c r="N212" s="632">
        <f t="shared" si="50"/>
        <v>0</v>
      </c>
      <c r="O212" s="632">
        <f t="shared" si="50"/>
        <v>0</v>
      </c>
      <c r="Q212" s="360" t="s">
        <v>127</v>
      </c>
    </row>
    <row r="213" spans="1:17">
      <c r="A213" s="385">
        <v>393</v>
      </c>
      <c r="B213" s="379" t="s">
        <v>247</v>
      </c>
      <c r="C213" s="632">
        <f t="shared" si="48"/>
        <v>1</v>
      </c>
      <c r="D213" s="632">
        <f t="shared" si="50"/>
        <v>0</v>
      </c>
      <c r="E213" s="632">
        <f t="shared" si="50"/>
        <v>0.25997700742943058</v>
      </c>
      <c r="F213" s="632">
        <f t="shared" si="50"/>
        <v>1.8430948871455917E-2</v>
      </c>
      <c r="G213" s="632">
        <f t="shared" si="50"/>
        <v>5.1017614333658144E-3</v>
      </c>
      <c r="H213" s="632">
        <f t="shared" si="50"/>
        <v>0</v>
      </c>
      <c r="I213" s="632">
        <f t="shared" si="50"/>
        <v>0</v>
      </c>
      <c r="J213" s="632">
        <f t="shared" si="50"/>
        <v>0.58081104379192594</v>
      </c>
      <c r="K213" s="632">
        <f t="shared" si="50"/>
        <v>0.11182927799808795</v>
      </c>
      <c r="L213" s="632">
        <f t="shared" si="50"/>
        <v>2.3849960475733678E-2</v>
      </c>
      <c r="M213" s="632">
        <f t="shared" si="50"/>
        <v>0</v>
      </c>
      <c r="N213" s="632">
        <f t="shared" si="50"/>
        <v>0</v>
      </c>
      <c r="O213" s="632">
        <f t="shared" si="50"/>
        <v>0</v>
      </c>
      <c r="Q213" s="360" t="s">
        <v>127</v>
      </c>
    </row>
    <row r="214" spans="1:17">
      <c r="A214" s="385">
        <v>394</v>
      </c>
      <c r="B214" s="379" t="s">
        <v>248</v>
      </c>
      <c r="C214" s="632">
        <f t="shared" si="48"/>
        <v>1</v>
      </c>
      <c r="D214" s="632">
        <f t="shared" si="50"/>
        <v>0</v>
      </c>
      <c r="E214" s="632">
        <f t="shared" si="50"/>
        <v>0.25997700742943058</v>
      </c>
      <c r="F214" s="632">
        <f t="shared" si="50"/>
        <v>1.8430948871455917E-2</v>
      </c>
      <c r="G214" s="632">
        <f t="shared" si="50"/>
        <v>5.1017614333658144E-3</v>
      </c>
      <c r="H214" s="632">
        <f t="shared" si="50"/>
        <v>0</v>
      </c>
      <c r="I214" s="632">
        <f t="shared" si="50"/>
        <v>0</v>
      </c>
      <c r="J214" s="632">
        <f t="shared" si="50"/>
        <v>0.58081104379192594</v>
      </c>
      <c r="K214" s="632">
        <f t="shared" si="50"/>
        <v>0.11182927799808795</v>
      </c>
      <c r="L214" s="632">
        <f t="shared" si="50"/>
        <v>2.3849960475733678E-2</v>
      </c>
      <c r="M214" s="632">
        <f t="shared" si="50"/>
        <v>0</v>
      </c>
      <c r="N214" s="632">
        <f t="shared" si="50"/>
        <v>0</v>
      </c>
      <c r="O214" s="632">
        <f t="shared" si="50"/>
        <v>0</v>
      </c>
      <c r="Q214" s="360" t="s">
        <v>127</v>
      </c>
    </row>
    <row r="215" spans="1:17">
      <c r="A215" s="385">
        <v>395</v>
      </c>
      <c r="B215" s="379" t="s">
        <v>249</v>
      </c>
      <c r="C215" s="632">
        <f t="shared" si="48"/>
        <v>1</v>
      </c>
      <c r="D215" s="632">
        <f t="shared" si="50"/>
        <v>0</v>
      </c>
      <c r="E215" s="632">
        <f t="shared" si="50"/>
        <v>0.25997700742943058</v>
      </c>
      <c r="F215" s="632">
        <f t="shared" si="50"/>
        <v>1.8430948871455917E-2</v>
      </c>
      <c r="G215" s="632">
        <f t="shared" si="50"/>
        <v>5.1017614333658144E-3</v>
      </c>
      <c r="H215" s="632">
        <f t="shared" si="50"/>
        <v>0</v>
      </c>
      <c r="I215" s="632">
        <f t="shared" si="50"/>
        <v>0</v>
      </c>
      <c r="J215" s="632">
        <f t="shared" si="50"/>
        <v>0.58081104379192594</v>
      </c>
      <c r="K215" s="632">
        <f t="shared" si="50"/>
        <v>0.11182927799808795</v>
      </c>
      <c r="L215" s="632">
        <f t="shared" si="50"/>
        <v>2.3849960475733678E-2</v>
      </c>
      <c r="M215" s="632">
        <f t="shared" si="50"/>
        <v>0</v>
      </c>
      <c r="N215" s="632">
        <f t="shared" si="50"/>
        <v>0</v>
      </c>
      <c r="O215" s="632">
        <f t="shared" si="50"/>
        <v>0</v>
      </c>
      <c r="Q215" s="360" t="s">
        <v>127</v>
      </c>
    </row>
    <row r="216" spans="1:17">
      <c r="A216" s="385">
        <v>396</v>
      </c>
      <c r="B216" s="379" t="s">
        <v>250</v>
      </c>
      <c r="C216" s="632">
        <f t="shared" si="48"/>
        <v>1</v>
      </c>
      <c r="D216" s="632">
        <f t="shared" si="50"/>
        <v>0</v>
      </c>
      <c r="E216" s="632">
        <f t="shared" si="50"/>
        <v>0.25997700742943058</v>
      </c>
      <c r="F216" s="632">
        <f t="shared" si="50"/>
        <v>1.8430948871455917E-2</v>
      </c>
      <c r="G216" s="632">
        <f t="shared" si="50"/>
        <v>5.1017614333658144E-3</v>
      </c>
      <c r="H216" s="632">
        <f t="shared" si="50"/>
        <v>0</v>
      </c>
      <c r="I216" s="632">
        <f t="shared" si="50"/>
        <v>0</v>
      </c>
      <c r="J216" s="632">
        <f t="shared" si="50"/>
        <v>0.58081104379192594</v>
      </c>
      <c r="K216" s="632">
        <f t="shared" si="50"/>
        <v>0.11182927799808795</v>
      </c>
      <c r="L216" s="632">
        <f t="shared" si="50"/>
        <v>2.3849960475733678E-2</v>
      </c>
      <c r="M216" s="632">
        <f t="shared" si="50"/>
        <v>0</v>
      </c>
      <c r="N216" s="632">
        <f t="shared" si="50"/>
        <v>0</v>
      </c>
      <c r="O216" s="632">
        <f t="shared" si="50"/>
        <v>0</v>
      </c>
      <c r="Q216" s="360" t="s">
        <v>127</v>
      </c>
    </row>
    <row r="217" spans="1:17">
      <c r="A217" s="385">
        <v>397</v>
      </c>
      <c r="B217" s="379" t="s">
        <v>251</v>
      </c>
      <c r="C217" s="632">
        <f t="shared" si="48"/>
        <v>1</v>
      </c>
      <c r="D217" s="632">
        <f t="shared" si="50"/>
        <v>0</v>
      </c>
      <c r="E217" s="632">
        <f t="shared" si="50"/>
        <v>0.25997700742943058</v>
      </c>
      <c r="F217" s="632">
        <f t="shared" si="50"/>
        <v>1.8430948871455917E-2</v>
      </c>
      <c r="G217" s="632">
        <f t="shared" si="50"/>
        <v>5.1017614333658144E-3</v>
      </c>
      <c r="H217" s="632">
        <f t="shared" si="50"/>
        <v>0</v>
      </c>
      <c r="I217" s="632">
        <f t="shared" si="50"/>
        <v>0</v>
      </c>
      <c r="J217" s="632">
        <f t="shared" si="50"/>
        <v>0.58081104379192594</v>
      </c>
      <c r="K217" s="632">
        <f t="shared" si="50"/>
        <v>0.11182927799808795</v>
      </c>
      <c r="L217" s="632">
        <f t="shared" si="50"/>
        <v>2.3849960475733678E-2</v>
      </c>
      <c r="M217" s="632">
        <f t="shared" si="50"/>
        <v>0</v>
      </c>
      <c r="N217" s="632">
        <f t="shared" si="50"/>
        <v>0</v>
      </c>
      <c r="O217" s="632">
        <f t="shared" si="50"/>
        <v>0</v>
      </c>
      <c r="Q217" s="360" t="s">
        <v>127</v>
      </c>
    </row>
    <row r="218" spans="1:17">
      <c r="A218" s="385">
        <v>398</v>
      </c>
      <c r="B218" s="379" t="s">
        <v>252</v>
      </c>
      <c r="C218" s="631">
        <f t="shared" si="48"/>
        <v>1</v>
      </c>
      <c r="D218" s="632">
        <f t="shared" si="50"/>
        <v>0</v>
      </c>
      <c r="E218" s="632">
        <f t="shared" si="50"/>
        <v>0.25997700742943058</v>
      </c>
      <c r="F218" s="632">
        <f t="shared" si="50"/>
        <v>1.8430948871455917E-2</v>
      </c>
      <c r="G218" s="632">
        <f t="shared" si="50"/>
        <v>5.1017614333658144E-3</v>
      </c>
      <c r="H218" s="632">
        <f t="shared" si="50"/>
        <v>0</v>
      </c>
      <c r="I218" s="632">
        <f t="shared" si="50"/>
        <v>0</v>
      </c>
      <c r="J218" s="632">
        <f t="shared" si="50"/>
        <v>0.58081104379192594</v>
      </c>
      <c r="K218" s="632">
        <f t="shared" si="50"/>
        <v>0.11182927799808795</v>
      </c>
      <c r="L218" s="632">
        <f t="shared" si="50"/>
        <v>2.3849960475733678E-2</v>
      </c>
      <c r="M218" s="632">
        <f t="shared" si="50"/>
        <v>0</v>
      </c>
      <c r="N218" s="632">
        <f t="shared" si="50"/>
        <v>0</v>
      </c>
      <c r="O218" s="632">
        <f t="shared" si="50"/>
        <v>0</v>
      </c>
      <c r="Q218" s="360" t="s">
        <v>127</v>
      </c>
    </row>
    <row r="219" spans="1:17">
      <c r="A219" s="385"/>
      <c r="B219" s="377" t="s">
        <v>202</v>
      </c>
      <c r="C219" s="629"/>
      <c r="D219" s="630"/>
      <c r="E219" s="630"/>
      <c r="F219" s="630"/>
      <c r="G219" s="630"/>
      <c r="H219" s="630"/>
      <c r="I219" s="630"/>
      <c r="J219" s="630"/>
      <c r="K219" s="630"/>
      <c r="L219" s="630"/>
      <c r="M219" s="630"/>
      <c r="N219" s="630"/>
      <c r="O219" s="630"/>
    </row>
    <row r="220" spans="1:17">
      <c r="A220" s="385"/>
      <c r="B220" s="377"/>
      <c r="C220" s="629"/>
      <c r="D220" s="628"/>
      <c r="E220" s="628"/>
      <c r="F220" s="628"/>
      <c r="G220" s="628"/>
      <c r="H220" s="628"/>
      <c r="I220" s="628"/>
      <c r="J220" s="628"/>
      <c r="K220" s="628"/>
      <c r="L220" s="628"/>
      <c r="M220" s="628"/>
      <c r="N220" s="628"/>
      <c r="O220" s="628"/>
    </row>
    <row r="221" spans="1:17">
      <c r="A221" s="385"/>
      <c r="B221" s="387" t="s">
        <v>38</v>
      </c>
      <c r="C221" s="633"/>
      <c r="D221" s="628"/>
      <c r="E221" s="628"/>
      <c r="F221" s="628"/>
      <c r="G221" s="628"/>
      <c r="H221" s="628"/>
      <c r="I221" s="628"/>
      <c r="J221" s="628"/>
      <c r="K221" s="628"/>
      <c r="L221" s="628"/>
      <c r="M221" s="628"/>
      <c r="N221" s="628"/>
      <c r="O221" s="628"/>
    </row>
    <row r="222" spans="1:17">
      <c r="A222" s="390">
        <v>431</v>
      </c>
      <c r="B222" s="379" t="s">
        <v>452</v>
      </c>
      <c r="C222" s="631">
        <f>SUM(D222:O222)</f>
        <v>1</v>
      </c>
      <c r="D222" s="631">
        <v>0</v>
      </c>
      <c r="E222" s="631">
        <v>0</v>
      </c>
      <c r="F222" s="631">
        <v>0</v>
      </c>
      <c r="G222" s="631">
        <v>0</v>
      </c>
      <c r="H222" s="631">
        <v>0</v>
      </c>
      <c r="I222" s="631">
        <v>0</v>
      </c>
      <c r="J222" s="631">
        <v>0</v>
      </c>
      <c r="K222" s="631">
        <v>0</v>
      </c>
      <c r="L222" s="631">
        <v>0</v>
      </c>
      <c r="M222" s="631">
        <v>0</v>
      </c>
      <c r="N222" s="631">
        <v>0</v>
      </c>
      <c r="O222" s="631">
        <v>1</v>
      </c>
      <c r="Q222" s="360" t="s">
        <v>127</v>
      </c>
    </row>
    <row r="223" spans="1:17">
      <c r="A223" s="385"/>
      <c r="B223" s="377" t="s">
        <v>210</v>
      </c>
      <c r="C223" s="629"/>
      <c r="D223" s="630"/>
      <c r="E223" s="630"/>
      <c r="F223" s="630"/>
      <c r="G223" s="630"/>
      <c r="H223" s="630"/>
      <c r="I223" s="630"/>
      <c r="J223" s="630"/>
      <c r="K223" s="630"/>
      <c r="L223" s="630"/>
      <c r="M223" s="630"/>
      <c r="N223" s="630"/>
      <c r="O223" s="630"/>
    </row>
    <row r="224" spans="1:17">
      <c r="A224" s="385"/>
      <c r="B224" s="387"/>
      <c r="C224" s="629"/>
      <c r="D224" s="628"/>
      <c r="E224" s="628"/>
      <c r="F224" s="628"/>
      <c r="G224" s="628"/>
      <c r="H224" s="628"/>
      <c r="I224" s="628"/>
      <c r="J224" s="628"/>
      <c r="K224" s="628"/>
      <c r="L224" s="628"/>
      <c r="M224" s="628"/>
      <c r="N224" s="628"/>
      <c r="O224" s="628"/>
    </row>
    <row r="225" spans="1:18">
      <c r="A225" s="385"/>
      <c r="B225" s="377" t="s">
        <v>212</v>
      </c>
      <c r="C225" s="629"/>
      <c r="D225" s="628"/>
      <c r="E225" s="628"/>
      <c r="F225" s="628"/>
      <c r="G225" s="628"/>
      <c r="H225" s="628"/>
      <c r="I225" s="628"/>
      <c r="J225" s="628"/>
      <c r="K225" s="628"/>
      <c r="L225" s="628"/>
      <c r="M225" s="628"/>
      <c r="N225" s="628"/>
      <c r="O225" s="628"/>
    </row>
    <row r="226" spans="1:18">
      <c r="A226" s="385">
        <v>408</v>
      </c>
      <c r="B226" s="379" t="s">
        <v>213</v>
      </c>
      <c r="C226" s="632">
        <f>SUM(D226:O226)</f>
        <v>1</v>
      </c>
      <c r="D226" s="632">
        <f t="shared" ref="D226:O226" si="51">+D11</f>
        <v>0</v>
      </c>
      <c r="E226" s="632">
        <f t="shared" si="51"/>
        <v>0.25997700742943058</v>
      </c>
      <c r="F226" s="632">
        <f t="shared" si="51"/>
        <v>1.8430948871455917E-2</v>
      </c>
      <c r="G226" s="632">
        <f t="shared" si="51"/>
        <v>5.1017614333658144E-3</v>
      </c>
      <c r="H226" s="632">
        <f t="shared" si="51"/>
        <v>0</v>
      </c>
      <c r="I226" s="632">
        <f t="shared" si="51"/>
        <v>0</v>
      </c>
      <c r="J226" s="632">
        <f t="shared" si="51"/>
        <v>0.58081104379192594</v>
      </c>
      <c r="K226" s="632">
        <f t="shared" si="51"/>
        <v>0.11182927799808795</v>
      </c>
      <c r="L226" s="632">
        <f t="shared" si="51"/>
        <v>2.3849960475733678E-2</v>
      </c>
      <c r="M226" s="632">
        <f t="shared" si="51"/>
        <v>0</v>
      </c>
      <c r="N226" s="632">
        <f t="shared" si="51"/>
        <v>0</v>
      </c>
      <c r="O226" s="632">
        <f t="shared" si="51"/>
        <v>0</v>
      </c>
      <c r="Q226" s="360" t="s">
        <v>127</v>
      </c>
    </row>
    <row r="227" spans="1:18">
      <c r="A227" s="385">
        <v>408</v>
      </c>
      <c r="B227" s="381" t="s">
        <v>214</v>
      </c>
      <c r="C227" s="631">
        <f>SUM(D227:O227)</f>
        <v>1</v>
      </c>
      <c r="D227" s="631">
        <f t="shared" ref="D227:O227" si="52">+D226</f>
        <v>0</v>
      </c>
      <c r="E227" s="631">
        <f t="shared" si="52"/>
        <v>0.25997700742943058</v>
      </c>
      <c r="F227" s="631">
        <f t="shared" si="52"/>
        <v>1.8430948871455917E-2</v>
      </c>
      <c r="G227" s="631">
        <f t="shared" si="52"/>
        <v>5.1017614333658144E-3</v>
      </c>
      <c r="H227" s="631">
        <f t="shared" si="52"/>
        <v>0</v>
      </c>
      <c r="I227" s="631">
        <f t="shared" si="52"/>
        <v>0</v>
      </c>
      <c r="J227" s="631">
        <f t="shared" si="52"/>
        <v>0.58081104379192594</v>
      </c>
      <c r="K227" s="631">
        <f t="shared" si="52"/>
        <v>0.11182927799808795</v>
      </c>
      <c r="L227" s="631">
        <f t="shared" si="52"/>
        <v>2.3849960475733678E-2</v>
      </c>
      <c r="M227" s="631">
        <f t="shared" si="52"/>
        <v>0</v>
      </c>
      <c r="N227" s="631">
        <f t="shared" si="52"/>
        <v>0</v>
      </c>
      <c r="O227" s="631">
        <f t="shared" si="52"/>
        <v>0</v>
      </c>
      <c r="Q227" s="360" t="s">
        <v>127</v>
      </c>
    </row>
    <row r="228" spans="1:18">
      <c r="A228" s="385"/>
      <c r="B228" s="377" t="s">
        <v>215</v>
      </c>
      <c r="C228" s="629"/>
      <c r="D228" s="630"/>
      <c r="E228" s="630"/>
      <c r="F228" s="630"/>
      <c r="G228" s="630"/>
      <c r="H228" s="630"/>
      <c r="I228" s="630"/>
      <c r="J228" s="630"/>
      <c r="K228" s="630"/>
      <c r="L228" s="630"/>
      <c r="M228" s="630"/>
      <c r="N228" s="630"/>
      <c r="O228" s="630"/>
    </row>
    <row r="229" spans="1:18">
      <c r="A229" s="385"/>
      <c r="B229" s="387"/>
      <c r="C229" s="629"/>
      <c r="D229" s="628"/>
      <c r="E229" s="628"/>
      <c r="F229" s="628"/>
      <c r="G229" s="628"/>
      <c r="H229" s="628"/>
      <c r="I229" s="628"/>
      <c r="J229" s="628"/>
      <c r="K229" s="628"/>
      <c r="L229" s="628"/>
      <c r="M229" s="628"/>
      <c r="N229" s="628"/>
      <c r="O229" s="628"/>
    </row>
    <row r="230" spans="1:18">
      <c r="A230" s="385"/>
      <c r="B230" s="387" t="s">
        <v>216</v>
      </c>
      <c r="C230" s="629"/>
      <c r="D230" s="628"/>
      <c r="E230" s="628"/>
      <c r="F230" s="628"/>
      <c r="G230" s="628"/>
      <c r="H230" s="628"/>
      <c r="I230" s="628"/>
      <c r="J230" s="628"/>
      <c r="K230" s="628"/>
      <c r="L230" s="628"/>
      <c r="M230" s="628"/>
      <c r="N230" s="628"/>
      <c r="O230" s="628"/>
    </row>
    <row r="231" spans="1:18">
      <c r="A231" s="385">
        <v>409</v>
      </c>
      <c r="B231" s="381" t="s">
        <v>217</v>
      </c>
      <c r="C231" s="632">
        <f>SUM(D231:O231)</f>
        <v>1</v>
      </c>
      <c r="D231" s="632">
        <f t="shared" ref="D231:O231" si="53">+D11</f>
        <v>0</v>
      </c>
      <c r="E231" s="632">
        <f t="shared" si="53"/>
        <v>0.25997700742943058</v>
      </c>
      <c r="F231" s="632">
        <f t="shared" si="53"/>
        <v>1.8430948871455917E-2</v>
      </c>
      <c r="G231" s="632">
        <f t="shared" si="53"/>
        <v>5.1017614333658144E-3</v>
      </c>
      <c r="H231" s="632">
        <f t="shared" si="53"/>
        <v>0</v>
      </c>
      <c r="I231" s="632">
        <f t="shared" si="53"/>
        <v>0</v>
      </c>
      <c r="J231" s="632">
        <f t="shared" si="53"/>
        <v>0.58081104379192594</v>
      </c>
      <c r="K231" s="632">
        <f t="shared" si="53"/>
        <v>0.11182927799808795</v>
      </c>
      <c r="L231" s="632">
        <f t="shared" si="53"/>
        <v>2.3849960475733678E-2</v>
      </c>
      <c r="M231" s="632">
        <f t="shared" si="53"/>
        <v>0</v>
      </c>
      <c r="N231" s="632">
        <f t="shared" si="53"/>
        <v>0</v>
      </c>
      <c r="O231" s="632">
        <f t="shared" si="53"/>
        <v>0</v>
      </c>
      <c r="Q231" s="360" t="s">
        <v>127</v>
      </c>
    </row>
    <row r="232" spans="1:18">
      <c r="A232" s="390">
        <v>410.1</v>
      </c>
      <c r="B232" s="379" t="s">
        <v>218</v>
      </c>
      <c r="C232" s="632">
        <f>SUM(D232:O232)</f>
        <v>1</v>
      </c>
      <c r="D232" s="632">
        <f t="shared" ref="D232:O232" si="54">+D231</f>
        <v>0</v>
      </c>
      <c r="E232" s="632">
        <f t="shared" si="54"/>
        <v>0.25997700742943058</v>
      </c>
      <c r="F232" s="632">
        <f t="shared" si="54"/>
        <v>1.8430948871455917E-2</v>
      </c>
      <c r="G232" s="632">
        <f t="shared" si="54"/>
        <v>5.1017614333658144E-3</v>
      </c>
      <c r="H232" s="632">
        <f t="shared" si="54"/>
        <v>0</v>
      </c>
      <c r="I232" s="632">
        <f t="shared" si="54"/>
        <v>0</v>
      </c>
      <c r="J232" s="632">
        <f t="shared" si="54"/>
        <v>0.58081104379192594</v>
      </c>
      <c r="K232" s="632">
        <f t="shared" si="54"/>
        <v>0.11182927799808795</v>
      </c>
      <c r="L232" s="632">
        <f t="shared" si="54"/>
        <v>2.3849960475733678E-2</v>
      </c>
      <c r="M232" s="632">
        <f t="shared" si="54"/>
        <v>0</v>
      </c>
      <c r="N232" s="632">
        <f t="shared" si="54"/>
        <v>0</v>
      </c>
      <c r="O232" s="632">
        <f t="shared" si="54"/>
        <v>0</v>
      </c>
      <c r="Q232" s="360" t="s">
        <v>127</v>
      </c>
    </row>
    <row r="233" spans="1:18">
      <c r="A233" s="385">
        <v>411</v>
      </c>
      <c r="B233" s="379" t="s">
        <v>219</v>
      </c>
      <c r="C233" s="632">
        <f>SUM(D233:O233)</f>
        <v>1</v>
      </c>
      <c r="D233" s="631">
        <f t="shared" ref="D233:O233" si="55">+D231</f>
        <v>0</v>
      </c>
      <c r="E233" s="631">
        <f t="shared" si="55"/>
        <v>0.25997700742943058</v>
      </c>
      <c r="F233" s="631">
        <f t="shared" si="55"/>
        <v>1.8430948871455917E-2</v>
      </c>
      <c r="G233" s="631">
        <f t="shared" si="55"/>
        <v>5.1017614333658144E-3</v>
      </c>
      <c r="H233" s="631">
        <f t="shared" si="55"/>
        <v>0</v>
      </c>
      <c r="I233" s="631">
        <f t="shared" si="55"/>
        <v>0</v>
      </c>
      <c r="J233" s="631">
        <f t="shared" si="55"/>
        <v>0.58081104379192594</v>
      </c>
      <c r="K233" s="631">
        <f t="shared" si="55"/>
        <v>0.11182927799808795</v>
      </c>
      <c r="L233" s="631">
        <f t="shared" si="55"/>
        <v>2.3849960475733678E-2</v>
      </c>
      <c r="M233" s="631">
        <f t="shared" si="55"/>
        <v>0</v>
      </c>
      <c r="N233" s="631">
        <f t="shared" si="55"/>
        <v>0</v>
      </c>
      <c r="O233" s="631">
        <f t="shared" si="55"/>
        <v>0</v>
      </c>
      <c r="Q233" s="360" t="s">
        <v>127</v>
      </c>
    </row>
    <row r="234" spans="1:18">
      <c r="A234" s="385"/>
      <c r="B234" s="377" t="s">
        <v>220</v>
      </c>
      <c r="C234" s="630"/>
      <c r="D234" s="630"/>
      <c r="E234" s="630"/>
      <c r="F234" s="630"/>
      <c r="G234" s="630"/>
      <c r="H234" s="630"/>
      <c r="I234" s="630"/>
      <c r="J234" s="630"/>
      <c r="K234" s="630"/>
      <c r="L234" s="630"/>
      <c r="M234" s="630"/>
      <c r="N234" s="630"/>
      <c r="O234" s="630"/>
    </row>
    <row r="235" spans="1:18">
      <c r="A235" s="385"/>
      <c r="B235" s="377"/>
      <c r="C235" s="629"/>
      <c r="D235" s="628"/>
      <c r="E235" s="628"/>
      <c r="F235" s="628"/>
      <c r="G235" s="628"/>
      <c r="H235" s="628"/>
      <c r="I235" s="628"/>
      <c r="J235" s="628"/>
      <c r="K235" s="628"/>
      <c r="L235" s="628"/>
      <c r="M235" s="628"/>
      <c r="N235" s="628"/>
      <c r="O235" s="628"/>
    </row>
    <row r="236" spans="1:18">
      <c r="C236" s="629"/>
      <c r="D236" s="628"/>
      <c r="E236" s="628"/>
      <c r="F236" s="628"/>
      <c r="G236" s="628"/>
      <c r="H236" s="628"/>
      <c r="I236" s="628"/>
      <c r="J236" s="628"/>
      <c r="K236" s="628"/>
      <c r="L236" s="628"/>
      <c r="M236" s="628"/>
      <c r="N236" s="628"/>
      <c r="O236" s="628"/>
      <c r="P236" s="628"/>
      <c r="Q236" s="628"/>
      <c r="R236" s="628"/>
    </row>
    <row r="237" spans="1:18">
      <c r="C237" s="629"/>
      <c r="D237" s="628"/>
      <c r="E237" s="628"/>
      <c r="F237" s="628"/>
      <c r="G237" s="628"/>
      <c r="H237" s="628"/>
      <c r="I237" s="628"/>
      <c r="J237" s="628"/>
      <c r="K237" s="628"/>
      <c r="L237" s="628"/>
      <c r="M237" s="628"/>
      <c r="N237" s="628"/>
      <c r="O237" s="628"/>
      <c r="P237" s="628"/>
      <c r="Q237" s="628"/>
      <c r="R237" s="628"/>
    </row>
    <row r="238" spans="1:18">
      <c r="C238" s="629"/>
      <c r="D238" s="628"/>
      <c r="E238" s="628"/>
      <c r="F238" s="628"/>
      <c r="G238" s="628"/>
      <c r="H238" s="628"/>
      <c r="I238" s="628"/>
      <c r="J238" s="628"/>
      <c r="K238" s="628"/>
      <c r="L238" s="628"/>
      <c r="M238" s="628"/>
      <c r="N238" s="628"/>
      <c r="O238" s="628"/>
      <c r="P238" s="628"/>
      <c r="Q238" s="628"/>
      <c r="R238" s="628"/>
    </row>
    <row r="239" spans="1:18">
      <c r="C239" s="629"/>
      <c r="D239" s="628"/>
      <c r="E239" s="628"/>
      <c r="F239" s="628"/>
      <c r="G239" s="628"/>
      <c r="H239" s="628"/>
      <c r="I239" s="628"/>
      <c r="J239" s="628"/>
      <c r="K239" s="628"/>
      <c r="L239" s="628"/>
      <c r="M239" s="628"/>
      <c r="N239" s="628"/>
      <c r="O239" s="628"/>
      <c r="P239" s="628"/>
      <c r="Q239" s="628"/>
      <c r="R239" s="628"/>
    </row>
    <row r="240" spans="1:18">
      <c r="C240" s="629"/>
      <c r="D240" s="628"/>
      <c r="E240" s="628"/>
      <c r="F240" s="628"/>
      <c r="G240" s="628"/>
      <c r="H240" s="628"/>
      <c r="I240" s="628"/>
      <c r="J240" s="628"/>
      <c r="K240" s="628"/>
      <c r="L240" s="628"/>
      <c r="M240" s="628"/>
      <c r="N240" s="628"/>
      <c r="O240" s="628"/>
      <c r="P240" s="628"/>
      <c r="Q240" s="628"/>
      <c r="R240" s="628"/>
    </row>
    <row r="241" spans="3:18">
      <c r="C241" s="629"/>
      <c r="D241" s="628"/>
      <c r="E241" s="628"/>
      <c r="F241" s="628"/>
      <c r="G241" s="628"/>
      <c r="H241" s="628"/>
      <c r="I241" s="628"/>
      <c r="J241" s="628"/>
      <c r="K241" s="628"/>
      <c r="L241" s="628"/>
      <c r="M241" s="628"/>
      <c r="N241" s="628"/>
      <c r="O241" s="628"/>
      <c r="P241" s="628"/>
      <c r="Q241" s="628"/>
      <c r="R241" s="628"/>
    </row>
    <row r="242" spans="3:18">
      <c r="C242" s="629"/>
      <c r="D242" s="628"/>
      <c r="E242" s="628"/>
      <c r="F242" s="628"/>
      <c r="G242" s="628"/>
      <c r="H242" s="628"/>
      <c r="I242" s="628"/>
      <c r="J242" s="628"/>
      <c r="K242" s="628"/>
      <c r="L242" s="628"/>
      <c r="M242" s="628"/>
      <c r="N242" s="628"/>
      <c r="O242" s="628"/>
      <c r="P242" s="628"/>
      <c r="Q242" s="628"/>
      <c r="R242" s="628"/>
    </row>
    <row r="243" spans="3:18">
      <c r="C243" s="629"/>
      <c r="D243" s="628"/>
      <c r="E243" s="628"/>
      <c r="F243" s="628"/>
      <c r="G243" s="628"/>
      <c r="H243" s="628"/>
      <c r="I243" s="628"/>
      <c r="J243" s="628"/>
      <c r="K243" s="628"/>
      <c r="L243" s="628"/>
      <c r="M243" s="628"/>
      <c r="N243" s="628"/>
      <c r="O243" s="628"/>
      <c r="P243" s="628"/>
      <c r="Q243" s="628"/>
      <c r="R243" s="628"/>
    </row>
  </sheetData>
  <mergeCells count="9">
    <mergeCell ref="B52:C52"/>
    <mergeCell ref="D5:G5"/>
    <mergeCell ref="H5:I5"/>
    <mergeCell ref="J5:O5"/>
    <mergeCell ref="A1:Q1"/>
    <mergeCell ref="A2:Q2"/>
    <mergeCell ref="A3:Q3"/>
    <mergeCell ref="E6:G6"/>
    <mergeCell ref="H6:I6"/>
  </mergeCells>
  <printOptions horizontalCentered="1"/>
  <pageMargins left="0.25" right="0.2" top="1" bottom="0.75" header="0.8" footer="0.8"/>
  <pageSetup scale="54" pageOrder="overThenDown" orientation="landscape" horizontalDpi="200" verticalDpi="200" r:id="rId1"/>
  <headerFooter>
    <oddHeader>&amp;R&amp;"Arial,Bold"Page &amp;P OF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5EC58-E46C-4223-B100-A3E529D57E83}">
  <sheetPr codeName="Sheet44">
    <tabColor theme="8" tint="0.59999389629810485"/>
  </sheetPr>
  <dimension ref="A1:Z152"/>
  <sheetViews>
    <sheetView topLeftCell="H99" zoomScaleNormal="100" zoomScaleSheetLayoutView="91" workbookViewId="0">
      <selection activeCell="H158" sqref="H158"/>
    </sheetView>
  </sheetViews>
  <sheetFormatPr defaultColWidth="9.140625" defaultRowHeight="15"/>
  <cols>
    <col min="1" max="1" width="7" style="360" bestFit="1" customWidth="1"/>
    <col min="2" max="2" width="44.7109375" style="360" bestFit="1" customWidth="1"/>
    <col min="3" max="3" width="13.28515625" style="454" bestFit="1" customWidth="1"/>
    <col min="4" max="4" width="12.28515625" style="454" bestFit="1" customWidth="1"/>
    <col min="5" max="5" width="10.140625" style="454" customWidth="1"/>
    <col min="6" max="6" width="13.28515625" style="454" bestFit="1" customWidth="1"/>
    <col min="7" max="7" width="13.140625" style="360" bestFit="1" customWidth="1"/>
    <col min="8" max="8" width="12.28515625" style="360" bestFit="1" customWidth="1"/>
    <col min="9" max="9" width="11.42578125" style="360" bestFit="1" customWidth="1"/>
    <col min="10" max="10" width="12" style="360" bestFit="1" customWidth="1"/>
    <col min="11" max="11" width="8" style="360" bestFit="1" customWidth="1"/>
    <col min="12" max="12" width="6" style="360" bestFit="1" customWidth="1"/>
    <col min="13" max="13" width="13.28515625" style="360" bestFit="1" customWidth="1"/>
    <col min="14" max="14" width="12.28515625" style="360" bestFit="1" customWidth="1"/>
    <col min="15" max="15" width="11.42578125" style="360" bestFit="1" customWidth="1"/>
    <col min="16" max="16" width="9.85546875" style="360" bestFit="1" customWidth="1"/>
    <col min="17" max="18" width="10.7109375" style="360" bestFit="1" customWidth="1"/>
    <col min="19" max="19" width="1.5703125" style="360" customWidth="1"/>
    <col min="20" max="20" width="16" style="360" customWidth="1"/>
    <col min="21" max="21" width="11" customWidth="1"/>
    <col min="22" max="22" width="12.85546875" style="360" customWidth="1"/>
    <col min="23" max="23" width="14" style="360" bestFit="1" customWidth="1"/>
    <col min="24" max="24" width="12.85546875" style="360" bestFit="1" customWidth="1"/>
    <col min="25" max="16384" width="9.140625" style="360"/>
  </cols>
  <sheetData>
    <row r="1" spans="1:26">
      <c r="A1" s="791" t="s">
        <v>421</v>
      </c>
      <c r="B1" s="791"/>
      <c r="C1" s="791"/>
      <c r="D1" s="791"/>
      <c r="E1" s="791"/>
      <c r="F1" s="791"/>
      <c r="G1" s="791"/>
      <c r="H1" s="791"/>
      <c r="I1" s="791"/>
      <c r="J1" s="791"/>
      <c r="K1" s="791"/>
      <c r="L1" s="791"/>
      <c r="M1" s="791"/>
      <c r="N1" s="791"/>
      <c r="O1" s="791"/>
      <c r="P1" s="791"/>
      <c r="Q1" s="791"/>
      <c r="R1" s="791"/>
      <c r="S1" s="791"/>
      <c r="T1" s="666"/>
    </row>
    <row r="2" spans="1:26">
      <c r="A2" s="791" t="s">
        <v>453</v>
      </c>
      <c r="B2" s="791"/>
      <c r="C2" s="791"/>
      <c r="D2" s="791"/>
      <c r="E2" s="791"/>
      <c r="F2" s="791"/>
      <c r="G2" s="791"/>
      <c r="H2" s="791"/>
      <c r="I2" s="791"/>
      <c r="J2" s="791"/>
      <c r="K2" s="791"/>
      <c r="L2" s="791"/>
      <c r="M2" s="791"/>
      <c r="N2" s="791"/>
      <c r="O2" s="791"/>
      <c r="P2" s="791"/>
      <c r="Q2" s="791"/>
      <c r="R2" s="791"/>
      <c r="S2" s="791"/>
      <c r="T2" s="666"/>
    </row>
    <row r="3" spans="1:26">
      <c r="A3" s="791" t="s">
        <v>423</v>
      </c>
      <c r="B3" s="791"/>
      <c r="C3" s="791"/>
      <c r="D3" s="791"/>
      <c r="E3" s="791"/>
      <c r="F3" s="791"/>
      <c r="G3" s="791"/>
      <c r="H3" s="791"/>
      <c r="I3" s="791"/>
      <c r="J3" s="791"/>
      <c r="K3" s="791"/>
      <c r="L3" s="791"/>
      <c r="M3" s="791"/>
      <c r="N3" s="791"/>
      <c r="O3" s="791"/>
      <c r="P3" s="791"/>
      <c r="Q3" s="791"/>
      <c r="R3" s="791"/>
      <c r="S3" s="791"/>
      <c r="T3" s="666"/>
    </row>
    <row r="4" spans="1:26" ht="15.75" thickBot="1"/>
    <row r="5" spans="1:26" ht="15" customHeight="1">
      <c r="A5" s="519"/>
      <c r="B5" s="519"/>
      <c r="C5" s="533"/>
      <c r="D5" s="518"/>
      <c r="E5" s="518"/>
      <c r="F5" s="518"/>
      <c r="G5" s="774" t="s">
        <v>225</v>
      </c>
      <c r="H5" s="775"/>
      <c r="I5" s="775"/>
      <c r="J5" s="776"/>
      <c r="K5" s="781" t="s">
        <v>68</v>
      </c>
      <c r="L5" s="782"/>
      <c r="M5" s="774" t="s">
        <v>69</v>
      </c>
      <c r="N5" s="775"/>
      <c r="O5" s="775"/>
      <c r="P5" s="775"/>
      <c r="Q5" s="775"/>
      <c r="R5" s="776"/>
      <c r="U5" s="360"/>
    </row>
    <row r="6" spans="1:26" s="364" customFormat="1" ht="11.25">
      <c r="A6" s="365" t="s">
        <v>60</v>
      </c>
      <c r="C6" s="532" t="s">
        <v>61</v>
      </c>
      <c r="D6" s="513"/>
      <c r="E6" s="513"/>
      <c r="F6" s="513"/>
      <c r="G6" s="511" t="s">
        <v>227</v>
      </c>
      <c r="H6" s="792" t="s">
        <v>228</v>
      </c>
      <c r="I6" s="792"/>
      <c r="J6" s="780"/>
      <c r="K6" s="779"/>
      <c r="L6" s="780"/>
      <c r="M6" s="511"/>
      <c r="N6" s="499"/>
      <c r="O6" s="499"/>
      <c r="P6" s="499" t="s">
        <v>229</v>
      </c>
      <c r="Q6" s="499"/>
      <c r="R6" s="510"/>
    </row>
    <row r="7" spans="1:26" s="364" customFormat="1" ht="12" thickBot="1">
      <c r="A7" s="508" t="s">
        <v>231</v>
      </c>
      <c r="B7" s="507"/>
      <c r="C7" s="531" t="s">
        <v>454</v>
      </c>
      <c r="D7" s="506" t="s">
        <v>455</v>
      </c>
      <c r="E7" s="506" t="s">
        <v>456</v>
      </c>
      <c r="F7" s="506" t="s">
        <v>457</v>
      </c>
      <c r="G7" s="503"/>
      <c r="H7" s="502" t="s">
        <v>232</v>
      </c>
      <c r="I7" s="502" t="s">
        <v>233</v>
      </c>
      <c r="J7" s="501" t="s">
        <v>234</v>
      </c>
      <c r="K7" s="503" t="s">
        <v>235</v>
      </c>
      <c r="L7" s="501" t="s">
        <v>234</v>
      </c>
      <c r="M7" s="503" t="s">
        <v>236</v>
      </c>
      <c r="N7" s="502" t="s">
        <v>237</v>
      </c>
      <c r="O7" s="502" t="s">
        <v>238</v>
      </c>
      <c r="P7" s="502" t="s">
        <v>239</v>
      </c>
      <c r="Q7" s="502" t="s">
        <v>240</v>
      </c>
      <c r="R7" s="501" t="s">
        <v>424</v>
      </c>
      <c r="V7" s="364" t="s">
        <v>458</v>
      </c>
      <c r="W7" s="364" t="s">
        <v>459</v>
      </c>
      <c r="X7" s="364" t="s">
        <v>460</v>
      </c>
    </row>
    <row r="8" spans="1:26" s="643" customFormat="1" ht="30.75" customHeight="1">
      <c r="A8" s="665" t="s">
        <v>461</v>
      </c>
      <c r="B8" s="665"/>
      <c r="C8" s="645"/>
      <c r="D8" s="645"/>
      <c r="E8" s="645"/>
      <c r="F8" s="645"/>
      <c r="G8" s="644"/>
      <c r="H8" s="644"/>
      <c r="I8" s="644"/>
      <c r="J8" s="644"/>
      <c r="K8" s="644"/>
      <c r="L8" s="644"/>
      <c r="M8" s="644"/>
      <c r="N8" s="644"/>
      <c r="O8" s="644"/>
      <c r="P8" s="644"/>
      <c r="Q8" s="644"/>
      <c r="R8" s="644"/>
    </row>
    <row r="9" spans="1:26">
      <c r="A9" s="400"/>
      <c r="B9" s="416" t="s">
        <v>73</v>
      </c>
      <c r="C9" s="457"/>
      <c r="D9" s="457"/>
      <c r="E9" s="457"/>
      <c r="F9" s="457"/>
      <c r="G9" s="498"/>
      <c r="H9" s="464"/>
      <c r="I9" s="464"/>
      <c r="J9" s="464"/>
      <c r="K9" s="464"/>
      <c r="L9" s="464"/>
      <c r="M9" s="464"/>
      <c r="N9" s="464"/>
      <c r="O9" s="497"/>
      <c r="P9" s="464"/>
      <c r="Q9" s="464"/>
      <c r="R9" s="464"/>
    </row>
    <row r="10" spans="1:26">
      <c r="A10" s="390" t="s">
        <v>74</v>
      </c>
      <c r="B10" s="379" t="s">
        <v>205</v>
      </c>
      <c r="C10" s="654">
        <f>SUM(G10:R10)</f>
        <v>1436241.4980914711</v>
      </c>
      <c r="D10" s="654">
        <f>'G-3 COST OF SERVICE'!G4</f>
        <v>279086.79271291551</v>
      </c>
      <c r="E10" s="654">
        <f>'G-3 COST OF SERVICE'!H4</f>
        <v>0</v>
      </c>
      <c r="F10" s="654">
        <f>'G-3 COST OF SERVICE'!I4</f>
        <v>1157154.7053785557</v>
      </c>
      <c r="G10" s="654">
        <f>IF(SUM('Function Allocators'!$D11:$G11)=0,0,($D10*'Function Allocators'!D11/SUM('Function Allocators'!$D$11:$G$11)))</f>
        <v>0</v>
      </c>
      <c r="H10" s="654">
        <f>IF(SUM('Function Allocators'!$D11:$G11)=0,0,($D10*'Function Allocators'!E11/SUM('Function Allocators'!$D$11:$G$11)))</f>
        <v>255921.20708395631</v>
      </c>
      <c r="I10" s="654">
        <f>IF(SUM('Function Allocators'!$D11:$G11)=0,0,($D10*'Function Allocators'!F11/SUM('Function Allocators'!$D$11:$G$11)))</f>
        <v>18143.414794733533</v>
      </c>
      <c r="J10" s="654">
        <f>IF(SUM('Function Allocators'!$D11:$G11)=0,0,($D10*'Function Allocators'!G11/SUM('Function Allocators'!$D$11:$G$11)))</f>
        <v>5022.1708342256616</v>
      </c>
      <c r="K10" s="654">
        <f>IF(SUM('Function Allocators'!$H11:$I11)=0,0,($E10*'Function Allocators'!H11/SUM('Function Allocators'!$H11:$I11)))</f>
        <v>0</v>
      </c>
      <c r="L10" s="654">
        <f>IF(SUM('Function Allocators'!$H11:$I11)=0,0,($E10*'Function Allocators'!I11/SUM('Function Allocators'!$H11:$I11)))</f>
        <v>0</v>
      </c>
      <c r="M10" s="654">
        <f>IF(SUM('Function Allocators'!$J11:$O11)=0,0,($F10*'Function Allocators'!J11/SUM('Function Allocators'!$J11:$O11)))</f>
        <v>938028.39884209167</v>
      </c>
      <c r="N10" s="654">
        <f>IF(SUM('Function Allocators'!$J11:$O11)=0,0,($F10*'Function Allocators'!K11/SUM('Function Allocators'!$J11:$O11)))</f>
        <v>180607.85810710824</v>
      </c>
      <c r="O10" s="654">
        <f>IF(SUM('Function Allocators'!$J11:$O11)=0,0,($F10*'Function Allocators'!L11/SUM('Function Allocators'!$J11:$O11)))</f>
        <v>38518.448429355834</v>
      </c>
      <c r="P10" s="654">
        <f>IF(SUM('Function Allocators'!$J11:$O11)=0,0,($F10*'Function Allocators'!M11/SUM('Function Allocators'!$J11:$O11)))</f>
        <v>0</v>
      </c>
      <c r="Q10" s="654">
        <f>IF(SUM('Function Allocators'!$J11:$O11)=0,0,($F10*'Function Allocators'!N11/SUM('Function Allocators'!$J11:$O11)))</f>
        <v>0</v>
      </c>
      <c r="R10" s="654">
        <f>IF(SUM('Function Allocators'!$J11:$O11)=0,0,($F10*'Function Allocators'!O11/SUM('Function Allocators'!$J11:$O11)))</f>
        <v>0</v>
      </c>
      <c r="T10" s="456" t="s">
        <v>426</v>
      </c>
      <c r="U10" s="52">
        <f>C10-SUM(D10:F10)</f>
        <v>0</v>
      </c>
      <c r="V10" s="361">
        <f>'G-3 COST OF SERVICE'!G4-SUM('Functionalization RES'!G10:J10)</f>
        <v>0</v>
      </c>
      <c r="W10" s="361">
        <f>'G-3 COST OF SERVICE'!H4-SUM('Functionalization RES'!K10:L10)</f>
        <v>0</v>
      </c>
      <c r="X10" s="361">
        <f>'G-3 COST OF SERVICE'!I4-SUM('Functionalization RES'!M10:R10)</f>
        <v>0</v>
      </c>
      <c r="Y10" s="361"/>
      <c r="Z10" s="361"/>
    </row>
    <row r="11" spans="1:26">
      <c r="A11" s="390" t="s">
        <v>77</v>
      </c>
      <c r="B11" s="379" t="s">
        <v>78</v>
      </c>
      <c r="C11" s="654">
        <f>SUM(G11:R11)</f>
        <v>10296197.816223146</v>
      </c>
      <c r="D11" s="654">
        <f>'G-3 COST OF SERVICE'!G6</f>
        <v>10296197.816223146</v>
      </c>
      <c r="E11" s="654">
        <f>'G-3 COST OF SERVICE'!H6</f>
        <v>0</v>
      </c>
      <c r="F11" s="654">
        <f>'G-3 COST OF SERVICE'!I6</f>
        <v>0</v>
      </c>
      <c r="G11" s="654">
        <f>IF(SUM('Function Allocators'!$D16:$G16)=0,0,($D11*'Function Allocators'!D16/SUM('Function Allocators'!$D$16:$G$16)))</f>
        <v>0</v>
      </c>
      <c r="H11" s="654">
        <f>IF(SUM('Function Allocators'!$D16:$G16)=0,0,($D11*'Function Allocators'!E16/SUM('Function Allocators'!$D$16:$G$16)))</f>
        <v>10296197.816223146</v>
      </c>
      <c r="I11" s="654">
        <f>IF(SUM('Function Allocators'!$D16:$G16)=0,0,($D11*'Function Allocators'!F16/SUM('Function Allocators'!$D$16:$G$16)))</f>
        <v>0</v>
      </c>
      <c r="J11" s="654">
        <f>IF(SUM('Function Allocators'!$D16:$G16)=0,0,($D11*'Function Allocators'!G16/SUM('Function Allocators'!$D$16:$G$16)))</f>
        <v>0</v>
      </c>
      <c r="K11" s="654">
        <f>IF(SUM('Function Allocators'!$H16:$I16)=0,0,($E11*'Function Allocators'!H16/SUM('Function Allocators'!$H16:$I16)))</f>
        <v>0</v>
      </c>
      <c r="L11" s="654">
        <f>IF(SUM('Function Allocators'!$H16:$I16)=0,0,($E11*'Function Allocators'!I16/SUM('Function Allocators'!$H16:$I16)))</f>
        <v>0</v>
      </c>
      <c r="M11" s="654">
        <f>IF(SUM('Function Allocators'!$J11:$O11)=0,0,($F11*'Function Allocators'!J11/SUM('Function Allocators'!$J11:$O11)))</f>
        <v>0</v>
      </c>
      <c r="N11" s="654">
        <f>IF(SUM('Function Allocators'!$J16:$O16)=0,0,($F11*'Function Allocators'!K16/SUM('Function Allocators'!$J16:$O16)))</f>
        <v>0</v>
      </c>
      <c r="O11" s="654">
        <f>IF(SUM('Function Allocators'!$J16:$O16)=0,0,($F11*'Function Allocators'!L16/SUM('Function Allocators'!$J16:$O16)))</f>
        <v>0</v>
      </c>
      <c r="P11" s="654">
        <f>IF(SUM('Function Allocators'!$J16:$O16)=0,0,($F11*'Function Allocators'!M16/SUM('Function Allocators'!$J16:$O16)))</f>
        <v>0</v>
      </c>
      <c r="Q11" s="654">
        <f>IF(SUM('Function Allocators'!$J16:$O16)=0,0,($F11*'Function Allocators'!N16/SUM('Function Allocators'!$J16:$O16)))</f>
        <v>0</v>
      </c>
      <c r="R11" s="654">
        <f>IF(SUM('Function Allocators'!$J16:$O16)=0,0,($F11*'Function Allocators'!O16/SUM('Function Allocators'!$J16:$O16)))</f>
        <v>0</v>
      </c>
      <c r="T11" s="456"/>
      <c r="V11" s="361">
        <f>'G-3 COST OF SERVICE'!G6-SUM('Functionalization RES'!G11:J11)</f>
        <v>0</v>
      </c>
      <c r="W11" s="361">
        <f>'G-3 COST OF SERVICE'!H6-SUM('Functionalization RES'!K11:L11)</f>
        <v>0</v>
      </c>
      <c r="X11" s="361">
        <f>'G-3 COST OF SERVICE'!I6-SUM('Functionalization RES'!M11:R11)</f>
        <v>0</v>
      </c>
    </row>
    <row r="12" spans="1:26">
      <c r="A12" s="374"/>
      <c r="B12" s="377"/>
      <c r="C12" s="653"/>
      <c r="D12" s="653"/>
      <c r="E12" s="653"/>
      <c r="F12" s="653"/>
      <c r="G12" s="654"/>
      <c r="H12" s="653"/>
      <c r="I12" s="653"/>
      <c r="J12" s="653"/>
      <c r="K12" s="653"/>
      <c r="L12" s="653"/>
      <c r="M12" s="653"/>
      <c r="N12" s="653"/>
      <c r="O12" s="653"/>
      <c r="P12" s="653"/>
      <c r="Q12" s="653"/>
      <c r="R12" s="653"/>
      <c r="T12" s="456"/>
      <c r="V12" s="361"/>
      <c r="W12" s="361"/>
      <c r="X12" s="361"/>
    </row>
    <row r="13" spans="1:26">
      <c r="A13" s="374"/>
      <c r="B13" s="377" t="s">
        <v>80</v>
      </c>
      <c r="C13" s="653"/>
      <c r="D13" s="653"/>
      <c r="E13" s="653"/>
      <c r="F13" s="653"/>
      <c r="G13" s="654"/>
      <c r="H13" s="653"/>
      <c r="I13" s="653"/>
      <c r="J13" s="653"/>
      <c r="K13" s="653"/>
      <c r="L13" s="653"/>
      <c r="M13" s="653"/>
      <c r="N13" s="653"/>
      <c r="O13" s="653"/>
      <c r="P13" s="653"/>
      <c r="Q13" s="653"/>
      <c r="R13" s="653"/>
      <c r="T13" s="456"/>
      <c r="V13" s="361"/>
      <c r="W13" s="361"/>
      <c r="X13" s="361"/>
    </row>
    <row r="14" spans="1:26">
      <c r="A14" s="385">
        <v>374</v>
      </c>
      <c r="B14" s="379" t="s">
        <v>81</v>
      </c>
      <c r="C14" s="653">
        <f t="shared" ref="C14:C25" si="0">SUM(D14:F14)</f>
        <v>245753.68515693396</v>
      </c>
      <c r="D14" s="653">
        <f>'G-3 COST OF SERVICE'!G9</f>
        <v>245753.68515693396</v>
      </c>
      <c r="E14" s="653">
        <f>'G-3 COST OF SERVICE'!H9</f>
        <v>0</v>
      </c>
      <c r="F14" s="653">
        <f>'G-3 COST OF SERVICE'!I9</f>
        <v>0</v>
      </c>
      <c r="G14" s="654">
        <f>IF(SUM('Function Allocators'!$D24:$G24)=0,0,($D14*'Function Allocators'!D24/SUM('Function Allocators'!$D$24:$G$24)))</f>
        <v>0</v>
      </c>
      <c r="H14" s="654">
        <f>IF(SUM('Function Allocators'!$D24:$G24)=0,0,($D14*'Function Allocators'!E24/SUM('Function Allocators'!$D$24:$G$24)))</f>
        <v>0</v>
      </c>
      <c r="I14" s="654">
        <f>IF(SUM('Function Allocators'!$D24:$G24)=0,0,($D14*'Function Allocators'!F24/SUM('Function Allocators'!$D$24:$G$24)))</f>
        <v>0</v>
      </c>
      <c r="J14" s="654">
        <f>IF(SUM('Function Allocators'!$D24:$G24)=0,0,($D14*'Function Allocators'!G24/SUM('Function Allocators'!$D24:$G24)))</f>
        <v>245753.68515693396</v>
      </c>
      <c r="K14" s="654">
        <f>IF(SUM('Function Allocators'!$H24:$I24)=0,0,($E14*'Function Allocators'!H24/SUM('Function Allocators'!$H24:$I24)))</f>
        <v>0</v>
      </c>
      <c r="L14" s="654">
        <f>IF(SUM('Function Allocators'!$H24:$I24)=0,0,($F14*'Function Allocators'!I24/SUM('Function Allocators'!$H24:$I24)))</f>
        <v>0</v>
      </c>
      <c r="M14" s="654">
        <f>IF(SUM('Function Allocators'!$J24:$O24)=0,0,($F14*'Function Allocators'!J24/SUM('Function Allocators'!$J24:$O24)))</f>
        <v>0</v>
      </c>
      <c r="N14" s="654">
        <f>IF(SUM('Function Allocators'!$J24:$O24)=0,0,($F14*'Function Allocators'!K24/SUM('Function Allocators'!$J24:$O24)))</f>
        <v>0</v>
      </c>
      <c r="O14" s="654">
        <f>IF(SUM('Function Allocators'!$J24:$O24)=0,0,($F14*'Function Allocators'!L24/SUM('Function Allocators'!$J24:$O24)))</f>
        <v>0</v>
      </c>
      <c r="P14" s="654">
        <f>IF(SUM('Function Allocators'!$J24:$O24)=0,0,($F14*'Function Allocators'!M24/SUM('Function Allocators'!$J24:$O24)))</f>
        <v>0</v>
      </c>
      <c r="Q14" s="654">
        <f>IF(SUM('Function Allocators'!$J24:$O24)=0,0,($F14*'Function Allocators'!N24/SUM('Function Allocators'!$J24:$O24)))</f>
        <v>0</v>
      </c>
      <c r="R14" s="654">
        <f>IF(SUM('Function Allocators'!$J24:$O24)=0,0,($F14*'Function Allocators'!O24/SUM('Function Allocators'!$J24:$O24)))</f>
        <v>0</v>
      </c>
      <c r="T14" s="360" t="s">
        <v>428</v>
      </c>
      <c r="U14" s="52">
        <f t="shared" ref="U14:U25" si="1">C14-SUM(D14:F14)</f>
        <v>0</v>
      </c>
      <c r="V14" s="361">
        <f>'G-3 COST OF SERVICE'!G9-SUM('Functionalization RES'!G14:J14)</f>
        <v>0</v>
      </c>
      <c r="W14" s="361">
        <f>'G-3 COST OF SERVICE'!H9-SUM('Functionalization RES'!K14:L14)</f>
        <v>0</v>
      </c>
      <c r="X14" s="361">
        <f>'G-3 COST OF SERVICE'!I9-SUM('Functionalization RES'!M14:R14)</f>
        <v>0</v>
      </c>
    </row>
    <row r="15" spans="1:26">
      <c r="A15" s="386">
        <f>+A14+1</f>
        <v>375</v>
      </c>
      <c r="B15" s="379" t="s">
        <v>82</v>
      </c>
      <c r="C15" s="653">
        <f t="shared" si="0"/>
        <v>99702.527408086244</v>
      </c>
      <c r="D15" s="653">
        <f>'G-3 COST OF SERVICE'!G10</f>
        <v>99702.527408086244</v>
      </c>
      <c r="E15" s="653">
        <f>'G-3 COST OF SERVICE'!H10</f>
        <v>0</v>
      </c>
      <c r="F15" s="653">
        <f>'G-3 COST OF SERVICE'!I10</f>
        <v>0</v>
      </c>
      <c r="G15" s="654">
        <f>IF(SUM('Function Allocators'!$D25:$G25)=0,0,($D15*'Function Allocators'!D25/SUM('Function Allocators'!$D25:$G25)))</f>
        <v>0</v>
      </c>
      <c r="H15" s="654">
        <f>IF(SUM('Function Allocators'!$D25:$G25)=0,0,($D15*'Function Allocators'!E25/SUM('Function Allocators'!$D25:$G25)))</f>
        <v>0</v>
      </c>
      <c r="I15" s="654">
        <f>IF(SUM('Function Allocators'!$D25:$G25)=0,0,($D15*'Function Allocators'!F25/SUM('Function Allocators'!$D25:$G25)))</f>
        <v>0</v>
      </c>
      <c r="J15" s="654">
        <f>IF(SUM('Function Allocators'!$D25:$G25)=0,0,($D15*'Function Allocators'!G25/SUM('Function Allocators'!$D25:$G25)))</f>
        <v>99702.527408086244</v>
      </c>
      <c r="K15" s="654">
        <f>IF(SUM('Function Allocators'!$H25:$I25)=0,0,($E15*'Function Allocators'!H25/SUM('Function Allocators'!$H25:$I25)))</f>
        <v>0</v>
      </c>
      <c r="L15" s="654">
        <f>IF(SUM('Function Allocators'!$H25:$I25)=0,0,($F15*'Function Allocators'!I25/SUM('Function Allocators'!$H25:$I25)))</f>
        <v>0</v>
      </c>
      <c r="M15" s="654">
        <f>IF(SUM('Function Allocators'!$J25:$O25)=0,0,($F15*'Function Allocators'!J25/SUM('Function Allocators'!$J25:$O25)))</f>
        <v>0</v>
      </c>
      <c r="N15" s="654">
        <f>IF(SUM('Function Allocators'!$J25:$O25)=0,0,($F15*'Function Allocators'!K25/SUM('Function Allocators'!$J25:$O25)))</f>
        <v>0</v>
      </c>
      <c r="O15" s="654">
        <f>IF(SUM('Function Allocators'!$J25:$O25)=0,0,($F15*'Function Allocators'!L25/SUM('Function Allocators'!$J25:$O25)))</f>
        <v>0</v>
      </c>
      <c r="P15" s="654">
        <f>IF(SUM('Function Allocators'!$J25:$O25)=0,0,($F15*'Function Allocators'!M25/SUM('Function Allocators'!$J25:$O25)))</f>
        <v>0</v>
      </c>
      <c r="Q15" s="654">
        <f>IF(SUM('Function Allocators'!$J25:$O25)=0,0,($F15*'Function Allocators'!N25/SUM('Function Allocators'!$J25:$O25)))</f>
        <v>0</v>
      </c>
      <c r="R15" s="654">
        <f>IF(SUM('Function Allocators'!$J25:$O25)=0,0,($F15*'Function Allocators'!O25/SUM('Function Allocators'!$J25:$O25)))</f>
        <v>0</v>
      </c>
      <c r="T15" s="360" t="s">
        <v>428</v>
      </c>
      <c r="U15" s="52">
        <f t="shared" si="1"/>
        <v>0</v>
      </c>
      <c r="V15" s="361">
        <f>'G-3 COST OF SERVICE'!G10-SUM('Functionalization RES'!G15:J15)</f>
        <v>0</v>
      </c>
      <c r="W15" s="361">
        <f>'G-3 COST OF SERVICE'!H10-SUM('Functionalization RES'!K15:L15)</f>
        <v>0</v>
      </c>
      <c r="X15" s="361">
        <f>'G-3 COST OF SERVICE'!I10-SUM('Functionalization RES'!M15:R15)</f>
        <v>0</v>
      </c>
    </row>
    <row r="16" spans="1:26">
      <c r="A16" s="386">
        <f>+A15+1</f>
        <v>376</v>
      </c>
      <c r="B16" s="379" t="s">
        <v>83</v>
      </c>
      <c r="C16" s="653">
        <f t="shared" si="0"/>
        <v>179687339.43503952</v>
      </c>
      <c r="D16" s="653">
        <f>'G-3 COST OF SERVICE'!G11</f>
        <v>64470374.322728358</v>
      </c>
      <c r="E16" s="653">
        <f>'G-3 COST OF SERVICE'!H11</f>
        <v>0</v>
      </c>
      <c r="F16" s="653">
        <f>'G-3 COST OF SERVICE'!I11</f>
        <v>115216965.11231115</v>
      </c>
      <c r="G16" s="654">
        <f>IF(SUM('Function Allocators'!$D26:$G26)=0,0,($D16*'Function Allocators'!D26/SUM('Function Allocators'!$D26:$G26)))</f>
        <v>0</v>
      </c>
      <c r="H16" s="654">
        <f>IF(SUM('Function Allocators'!$D26:$G26)=0,0,($D16*'Function Allocators'!E26/SUM('Function Allocators'!$D26:$G26)))</f>
        <v>64470374.322728358</v>
      </c>
      <c r="I16" s="654">
        <f>IF(SUM('Function Allocators'!$D26:$G26)=0,0,($D16*'Function Allocators'!F26/SUM('Function Allocators'!$D26:$G26)))</f>
        <v>0</v>
      </c>
      <c r="J16" s="654">
        <f>IF(SUM('Function Allocators'!$D26:$G26)=0,0,($D16*'Function Allocators'!G26/SUM('Function Allocators'!$D26:$G26)))</f>
        <v>0</v>
      </c>
      <c r="K16" s="654">
        <f>IF(SUM('Function Allocators'!$H26:$I26)=0,0,($E16*'Function Allocators'!H26/SUM('Function Allocators'!$H26:$I26)))</f>
        <v>0</v>
      </c>
      <c r="L16" s="654">
        <f>IF(SUM('Function Allocators'!$H26:$I26)=0,0,($F16*'Function Allocators'!I26/SUM('Function Allocators'!$H26:$I26)))</f>
        <v>0</v>
      </c>
      <c r="M16" s="654">
        <f>IF(SUM('Function Allocators'!$J26:$O26)=0,0,($F16*'Function Allocators'!J26/SUM('Function Allocators'!$J26:$O26)))</f>
        <v>115216965.11231115</v>
      </c>
      <c r="N16" s="654">
        <f>IF(SUM('Function Allocators'!$J26:$O26)=0,0,($F16*'Function Allocators'!K26/SUM('Function Allocators'!$J26:$O26)))</f>
        <v>0</v>
      </c>
      <c r="O16" s="654">
        <f>IF(SUM('Function Allocators'!$J26:$O26)=0,0,($F16*'Function Allocators'!L26/SUM('Function Allocators'!$J26:$O26)))</f>
        <v>0</v>
      </c>
      <c r="P16" s="654">
        <f>IF(SUM('Function Allocators'!$J26:$O26)=0,0,($F16*'Function Allocators'!M26/SUM('Function Allocators'!$J26:$O26)))</f>
        <v>0</v>
      </c>
      <c r="Q16" s="654">
        <f>IF(SUM('Function Allocators'!$J26:$O26)=0,0,($F16*'Function Allocators'!N26/SUM('Function Allocators'!$J26:$O26)))</f>
        <v>0</v>
      </c>
      <c r="R16" s="654">
        <f>IF(SUM('Function Allocators'!$J26:$O26)=0,0,($F16*'Function Allocators'!O26/SUM('Function Allocators'!$J26:$O26)))</f>
        <v>0</v>
      </c>
      <c r="T16" s="456" t="s">
        <v>429</v>
      </c>
      <c r="U16" s="52">
        <f t="shared" si="1"/>
        <v>0</v>
      </c>
      <c r="V16" s="361">
        <f>'G-3 COST OF SERVICE'!G11-SUM('Functionalization RES'!G16:J16)</f>
        <v>0</v>
      </c>
      <c r="W16" s="361">
        <f>'G-3 COST OF SERVICE'!H11-SUM('Functionalization RES'!K16:L16)</f>
        <v>0</v>
      </c>
      <c r="X16" s="361">
        <f>'G-3 COST OF SERVICE'!I11-SUM('Functionalization RES'!M16:R16)</f>
        <v>0</v>
      </c>
    </row>
    <row r="17" spans="1:24">
      <c r="A17" s="386">
        <v>378</v>
      </c>
      <c r="B17" s="379" t="s">
        <v>84</v>
      </c>
      <c r="C17" s="653">
        <f t="shared" si="0"/>
        <v>2843598.8355152318</v>
      </c>
      <c r="D17" s="653">
        <f>'G-3 COST OF SERVICE'!G12</f>
        <v>2843598.8355152318</v>
      </c>
      <c r="E17" s="653">
        <f>'G-3 COST OF SERVICE'!H12</f>
        <v>0</v>
      </c>
      <c r="F17" s="653">
        <f>'G-3 COST OF SERVICE'!I12</f>
        <v>0</v>
      </c>
      <c r="G17" s="654">
        <f>IF(SUM('Function Allocators'!$D27:$G27)=0,0,($D17*'Function Allocators'!D27/SUM('Function Allocators'!$D27:$G27)))</f>
        <v>0</v>
      </c>
      <c r="H17" s="654">
        <f>IF(SUM('Function Allocators'!$D27:$G27)=0,0,($D17*'Function Allocators'!E27/SUM('Function Allocators'!$D27:$G27)))</f>
        <v>0</v>
      </c>
      <c r="I17" s="654">
        <f>IF(SUM('Function Allocators'!$D27:$G27)=0,0,($D17*'Function Allocators'!F27/SUM('Function Allocators'!$D27:$G27)))</f>
        <v>2843598.8355152318</v>
      </c>
      <c r="J17" s="654">
        <f>IF(SUM('Function Allocators'!$D27:$G27)=0,0,($D17*'Function Allocators'!G27/SUM('Function Allocators'!$D27:$G27)))</f>
        <v>0</v>
      </c>
      <c r="K17" s="654">
        <f>IF(SUM('Function Allocators'!$H27:$I27)=0,0,($E17*'Function Allocators'!H27/SUM('Function Allocators'!$H27:$I27)))</f>
        <v>0</v>
      </c>
      <c r="L17" s="654">
        <f>IF(SUM('Function Allocators'!$H27:$I27)=0,0,($F17*'Function Allocators'!I27/SUM('Function Allocators'!$H27:$I27)))</f>
        <v>0</v>
      </c>
      <c r="M17" s="654">
        <f>IF(SUM('Function Allocators'!$J27:$O27)=0,0,($F17*'Function Allocators'!J27/SUM('Function Allocators'!$J27:$O27)))</f>
        <v>0</v>
      </c>
      <c r="N17" s="654">
        <f>IF(SUM('Function Allocators'!$J27:$O27)=0,0,($F17*'Function Allocators'!K27/SUM('Function Allocators'!$J27:$O27)))</f>
        <v>0</v>
      </c>
      <c r="O17" s="654">
        <f>IF(SUM('Function Allocators'!$J27:$O27)=0,0,($F17*'Function Allocators'!L27/SUM('Function Allocators'!$J27:$O27)))</f>
        <v>0</v>
      </c>
      <c r="P17" s="654">
        <f>IF(SUM('Function Allocators'!$J27:$O27)=0,0,($F17*'Function Allocators'!M27/SUM('Function Allocators'!$J27:$O27)))</f>
        <v>0</v>
      </c>
      <c r="Q17" s="654">
        <f>IF(SUM('Function Allocators'!$J27:$O27)=0,0,($F17*'Function Allocators'!N27/SUM('Function Allocators'!$J27:$O27)))</f>
        <v>0</v>
      </c>
      <c r="R17" s="654">
        <f>IF(SUM('Function Allocators'!$J27:$O27)=0,0,($F17*'Function Allocators'!O27/SUM('Function Allocators'!$J27:$O27)))</f>
        <v>0</v>
      </c>
      <c r="T17" s="456" t="s">
        <v>431</v>
      </c>
      <c r="U17" s="52">
        <f t="shared" si="1"/>
        <v>0</v>
      </c>
      <c r="V17" s="361">
        <f>'G-3 COST OF SERVICE'!G12-SUM('Functionalization RES'!G17:J17)</f>
        <v>0</v>
      </c>
      <c r="W17" s="361">
        <f>'G-3 COST OF SERVICE'!H12-SUM('Functionalization RES'!K17:L17)</f>
        <v>0</v>
      </c>
      <c r="X17" s="361">
        <f>'G-3 COST OF SERVICE'!I12-SUM('Functionalization RES'!M17:R17)</f>
        <v>0</v>
      </c>
    </row>
    <row r="18" spans="1:24">
      <c r="A18" s="386">
        <f t="shared" ref="A18:A23" si="2">+A17+1</f>
        <v>379</v>
      </c>
      <c r="B18" s="379" t="s">
        <v>85</v>
      </c>
      <c r="C18" s="653">
        <f t="shared" si="0"/>
        <v>2456942.4777818355</v>
      </c>
      <c r="D18" s="653">
        <f>'G-3 COST OF SERVICE'!G13</f>
        <v>2456942.4777818355</v>
      </c>
      <c r="E18" s="653">
        <f>'G-3 COST OF SERVICE'!H13</f>
        <v>0</v>
      </c>
      <c r="F18" s="653">
        <f>'G-3 COST OF SERVICE'!I13</f>
        <v>0</v>
      </c>
      <c r="G18" s="654">
        <f>IF(SUM('Function Allocators'!$D28:$G28)=0,0,($D18*'Function Allocators'!D28/SUM('Function Allocators'!$D28:$G28)))</f>
        <v>0</v>
      </c>
      <c r="H18" s="654">
        <f>IF(SUM('Function Allocators'!$D28:$G28)=0,0,($D18*'Function Allocators'!E28/SUM('Function Allocators'!$D28:$G28)))</f>
        <v>0</v>
      </c>
      <c r="I18" s="654">
        <f>IF(SUM('Function Allocators'!$D28:$G28)=0,0,($D18*'Function Allocators'!F28/SUM('Function Allocators'!$D28:$G28)))</f>
        <v>2456942.4777818355</v>
      </c>
      <c r="J18" s="654">
        <f>IF(SUM('Function Allocators'!$D28:$G28)=0,0,($D18*'Function Allocators'!G28/SUM('Function Allocators'!$D28:$G28)))</f>
        <v>0</v>
      </c>
      <c r="K18" s="654">
        <f>IF(SUM('Function Allocators'!$H28:$I28)=0,0,($E18*'Function Allocators'!H28/SUM('Function Allocators'!$H28:$I28)))</f>
        <v>0</v>
      </c>
      <c r="L18" s="654">
        <f>IF(SUM('Function Allocators'!$H28:$I28)=0,0,($F18*'Function Allocators'!I28/SUM('Function Allocators'!$H28:$I28)))</f>
        <v>0</v>
      </c>
      <c r="M18" s="654">
        <f>IF(SUM('Function Allocators'!$J28:$O28)=0,0,($F18*'Function Allocators'!J28/SUM('Function Allocators'!$J28:$O28)))</f>
        <v>0</v>
      </c>
      <c r="N18" s="654">
        <f>IF(SUM('Function Allocators'!$J28:$O28)=0,0,($F18*'Function Allocators'!K28/SUM('Function Allocators'!$J28:$O28)))</f>
        <v>0</v>
      </c>
      <c r="O18" s="654">
        <f>IF(SUM('Function Allocators'!$J28:$O28)=0,0,($F18*'Function Allocators'!L28/SUM('Function Allocators'!$J28:$O28)))</f>
        <v>0</v>
      </c>
      <c r="P18" s="654">
        <f>IF(SUM('Function Allocators'!$J28:$O28)=0,0,($F18*'Function Allocators'!M28/SUM('Function Allocators'!$J28:$O28)))</f>
        <v>0</v>
      </c>
      <c r="Q18" s="654">
        <f>IF(SUM('Function Allocators'!$J28:$O28)=0,0,($F18*'Function Allocators'!N28/SUM('Function Allocators'!$J28:$O28)))</f>
        <v>0</v>
      </c>
      <c r="R18" s="654">
        <f>IF(SUM('Function Allocators'!$J28:$O28)=0,0,($F18*'Function Allocators'!O28/SUM('Function Allocators'!$J28:$O28)))</f>
        <v>0</v>
      </c>
      <c r="T18" s="456" t="s">
        <v>431</v>
      </c>
      <c r="U18" s="52">
        <f t="shared" si="1"/>
        <v>0</v>
      </c>
      <c r="V18" s="361">
        <f>'G-3 COST OF SERVICE'!G13-SUM('Functionalization RES'!G18:J18)</f>
        <v>0</v>
      </c>
      <c r="W18" s="361">
        <f>'G-3 COST OF SERVICE'!H13-SUM('Functionalization RES'!K18:L18)</f>
        <v>0</v>
      </c>
      <c r="X18" s="361">
        <f>'G-3 COST OF SERVICE'!I13-SUM('Functionalization RES'!M18:R18)</f>
        <v>0</v>
      </c>
    </row>
    <row r="19" spans="1:24">
      <c r="A19" s="386">
        <f t="shared" si="2"/>
        <v>380</v>
      </c>
      <c r="B19" s="379" t="s">
        <v>86</v>
      </c>
      <c r="C19" s="653">
        <f t="shared" si="0"/>
        <v>165712362.49868086</v>
      </c>
      <c r="D19" s="653">
        <f>'G-3 COST OF SERVICE'!G14</f>
        <v>0</v>
      </c>
      <c r="E19" s="653">
        <f>'G-3 COST OF SERVICE'!H14</f>
        <v>0</v>
      </c>
      <c r="F19" s="653">
        <f>'G-3 COST OF SERVICE'!I14</f>
        <v>165712362.49868086</v>
      </c>
      <c r="G19" s="654">
        <f>IF(SUM('Function Allocators'!$D29:$G29)=0,0,($D19*'Function Allocators'!D29/SUM('Function Allocators'!$D29:$G29)))</f>
        <v>0</v>
      </c>
      <c r="H19" s="654">
        <f>IF(SUM('Function Allocators'!$D29:$G29)=0,0,($D19*'Function Allocators'!E29/SUM('Function Allocators'!$D29:$G29)))</f>
        <v>0</v>
      </c>
      <c r="I19" s="654">
        <f>IF(SUM('Function Allocators'!$D29:$G29)=0,0,($D19*'Function Allocators'!F29/SUM('Function Allocators'!$D29:$G29)))</f>
        <v>0</v>
      </c>
      <c r="J19" s="654">
        <f>IF(SUM('Function Allocators'!$D29:$G29)=0,0,($D19*'Function Allocators'!G29/SUM('Function Allocators'!$D29:$G29)))</f>
        <v>0</v>
      </c>
      <c r="K19" s="654">
        <f>IF(SUM('Function Allocators'!$H29:$I29)=0,0,($E19*'Function Allocators'!H29/SUM('Function Allocators'!$H29:$I29)))</f>
        <v>0</v>
      </c>
      <c r="L19" s="654">
        <f>IF(SUM('Function Allocators'!$H29:$I29)=0,0,($F19*'Function Allocators'!I29/SUM('Function Allocators'!$H29:$I29)))</f>
        <v>0</v>
      </c>
      <c r="M19" s="654">
        <f>IF(SUM('Function Allocators'!$J29:$O29)=0,0,($F19*'Function Allocators'!J29/SUM('Function Allocators'!$J29:$O29)))</f>
        <v>165712362.49868086</v>
      </c>
      <c r="N19" s="654">
        <f>IF(SUM('Function Allocators'!$J29:$O29)=0,0,($F19*'Function Allocators'!K29/SUM('Function Allocators'!$J29:$O29)))</f>
        <v>0</v>
      </c>
      <c r="O19" s="654">
        <f>IF(SUM('Function Allocators'!$J29:$O29)=0,0,($F19*'Function Allocators'!L29/SUM('Function Allocators'!$J29:$O29)))</f>
        <v>0</v>
      </c>
      <c r="P19" s="654">
        <f>IF(SUM('Function Allocators'!$J29:$O29)=0,0,($F19*'Function Allocators'!M29/SUM('Function Allocators'!$J29:$O29)))</f>
        <v>0</v>
      </c>
      <c r="Q19" s="654">
        <f>IF(SUM('Function Allocators'!$J29:$O29)=0,0,($F19*'Function Allocators'!N29/SUM('Function Allocators'!$J29:$O29)))</f>
        <v>0</v>
      </c>
      <c r="R19" s="654">
        <f>IF(SUM('Function Allocators'!$J29:$O29)=0,0,($F19*'Function Allocators'!O29/SUM('Function Allocators'!$J29:$O29)))</f>
        <v>0</v>
      </c>
      <c r="T19" s="456" t="s">
        <v>433</v>
      </c>
      <c r="U19" s="52">
        <f t="shared" si="1"/>
        <v>0</v>
      </c>
      <c r="V19" s="361">
        <f>'G-3 COST OF SERVICE'!G14-SUM('Functionalization RES'!G19:J19)</f>
        <v>0</v>
      </c>
      <c r="W19" s="361">
        <f>'G-3 COST OF SERVICE'!H14-SUM('Functionalization RES'!K19:L19)</f>
        <v>0</v>
      </c>
      <c r="X19" s="361">
        <f>'G-3 COST OF SERVICE'!I14-SUM('Functionalization RES'!M19:R19)</f>
        <v>0</v>
      </c>
    </row>
    <row r="20" spans="1:24">
      <c r="A20" s="386">
        <f t="shared" si="2"/>
        <v>381</v>
      </c>
      <c r="B20" s="379" t="s">
        <v>88</v>
      </c>
      <c r="C20" s="653">
        <f t="shared" si="0"/>
        <v>33931664.564968191</v>
      </c>
      <c r="D20" s="653">
        <f>'G-3 COST OF SERVICE'!G15</f>
        <v>0</v>
      </c>
      <c r="E20" s="653">
        <f>'G-3 COST OF SERVICE'!H15</f>
        <v>0</v>
      </c>
      <c r="F20" s="653">
        <f>'G-3 COST OF SERVICE'!I15</f>
        <v>33931664.564968191</v>
      </c>
      <c r="G20" s="654">
        <f>IF(SUM('Function Allocators'!$D30:$G30)=0,0,($D20*'Function Allocators'!D30/SUM('Function Allocators'!$D30:$G30)))</f>
        <v>0</v>
      </c>
      <c r="H20" s="654">
        <f>IF(SUM('Function Allocators'!$D30:$G30)=0,0,($D20*'Function Allocators'!E30/SUM('Function Allocators'!$D30:$G30)))</f>
        <v>0</v>
      </c>
      <c r="I20" s="654">
        <f>IF(SUM('Function Allocators'!$D30:$G30)=0,0,($D20*'Function Allocators'!F30/SUM('Function Allocators'!$D30:$G30)))</f>
        <v>0</v>
      </c>
      <c r="J20" s="654">
        <f>IF(SUM('Function Allocators'!$D30:$G30)=0,0,($D20*'Function Allocators'!G30/SUM('Function Allocators'!$D30:$G30)))</f>
        <v>0</v>
      </c>
      <c r="K20" s="654">
        <f>IF(SUM('Function Allocators'!$H30:$I30)=0,0,($E20*'Function Allocators'!H30/SUM('Function Allocators'!$H30:$I30)))</f>
        <v>0</v>
      </c>
      <c r="L20" s="654">
        <f>IF(SUM('Function Allocators'!$H30:$I30)=0,0,($F20*'Function Allocators'!I30/SUM('Function Allocators'!$H30:$I30)))</f>
        <v>0</v>
      </c>
      <c r="M20" s="654">
        <f>IF(SUM('Function Allocators'!$J30:$O30)=0,0,($F20*'Function Allocators'!J30/SUM('Function Allocators'!$J30:$O30)))</f>
        <v>0</v>
      </c>
      <c r="N20" s="654">
        <f>IF(SUM('Function Allocators'!$J30:$O30)=0,0,($F20*'Function Allocators'!K30/SUM('Function Allocators'!$J30:$O30)))</f>
        <v>33931664.564968191</v>
      </c>
      <c r="O20" s="654">
        <f>IF(SUM('Function Allocators'!$J30:$O30)=0,0,($F20*'Function Allocators'!L30/SUM('Function Allocators'!$J30:$O30)))</f>
        <v>0</v>
      </c>
      <c r="P20" s="654">
        <f>IF(SUM('Function Allocators'!$J30:$O30)=0,0,($F20*'Function Allocators'!M30/SUM('Function Allocators'!$J30:$O30)))</f>
        <v>0</v>
      </c>
      <c r="Q20" s="654">
        <f>IF(SUM('Function Allocators'!$J30:$O30)=0,0,($F20*'Function Allocators'!N30/SUM('Function Allocators'!$J30:$O30)))</f>
        <v>0</v>
      </c>
      <c r="R20" s="654">
        <f>IF(SUM('Function Allocators'!$J30:$O30)=0,0,($F20*'Function Allocators'!O30/SUM('Function Allocators'!$J30:$O30)))</f>
        <v>0</v>
      </c>
      <c r="T20" s="456" t="s">
        <v>434</v>
      </c>
      <c r="U20" s="52">
        <f t="shared" si="1"/>
        <v>0</v>
      </c>
      <c r="V20" s="361">
        <f>'G-3 COST OF SERVICE'!G15-SUM('Functionalization RES'!G20:J20)</f>
        <v>0</v>
      </c>
      <c r="W20" s="361">
        <f>'G-3 COST OF SERVICE'!H15-SUM('Functionalization RES'!K20:L20)</f>
        <v>0</v>
      </c>
      <c r="X20" s="361">
        <f>'G-3 COST OF SERVICE'!I15-SUM('Functionalization RES'!M20:R20)</f>
        <v>0</v>
      </c>
    </row>
    <row r="21" spans="1:24">
      <c r="A21" s="386">
        <f t="shared" si="2"/>
        <v>382</v>
      </c>
      <c r="B21" s="379" t="s">
        <v>90</v>
      </c>
      <c r="C21" s="653">
        <f t="shared" si="0"/>
        <v>14503052.313583698</v>
      </c>
      <c r="D21" s="653">
        <f>'G-3 COST OF SERVICE'!G16</f>
        <v>0</v>
      </c>
      <c r="E21" s="653">
        <f>'G-3 COST OF SERVICE'!H16</f>
        <v>0</v>
      </c>
      <c r="F21" s="653">
        <f>'G-3 COST OF SERVICE'!I16</f>
        <v>14503052.313583698</v>
      </c>
      <c r="G21" s="654">
        <f>IF(SUM('Function Allocators'!$D31:$G31)=0,0,($D21*'Function Allocators'!D31/SUM('Function Allocators'!$D31:$G31)))</f>
        <v>0</v>
      </c>
      <c r="H21" s="654">
        <f>IF(SUM('Function Allocators'!$D31:$G31)=0,0,($D21*'Function Allocators'!E31/SUM('Function Allocators'!$D31:$G31)))</f>
        <v>0</v>
      </c>
      <c r="I21" s="654">
        <f>IF(SUM('Function Allocators'!$D31:$G31)=0,0,($D21*'Function Allocators'!F31/SUM('Function Allocators'!$D31:$G31)))</f>
        <v>0</v>
      </c>
      <c r="J21" s="654">
        <f>IF(SUM('Function Allocators'!$D31:$G31)=0,0,($D21*'Function Allocators'!G31/SUM('Function Allocators'!$D31:$G31)))</f>
        <v>0</v>
      </c>
      <c r="K21" s="654">
        <f>IF(SUM('Function Allocators'!$H31:$I31)=0,0,($E21*'Function Allocators'!H31/SUM('Function Allocators'!$H31:$I31)))</f>
        <v>0</v>
      </c>
      <c r="L21" s="654">
        <f>IF(SUM('Function Allocators'!$H31:$I31)=0,0,($F21*'Function Allocators'!I31/SUM('Function Allocators'!$H31:$I31)))</f>
        <v>0</v>
      </c>
      <c r="M21" s="654">
        <f>IF(SUM('Function Allocators'!$J31:$O31)=0,0,($F21*'Function Allocators'!J31/SUM('Function Allocators'!$J31:$O31)))</f>
        <v>0</v>
      </c>
      <c r="N21" s="654">
        <f>IF(SUM('Function Allocators'!$J31:$O31)=0,0,($F21*'Function Allocators'!K31/SUM('Function Allocators'!$J31:$O31)))</f>
        <v>14503052.313583698</v>
      </c>
      <c r="O21" s="654">
        <f>IF(SUM('Function Allocators'!$J31:$O31)=0,0,($F21*'Function Allocators'!L31/SUM('Function Allocators'!$J31:$O31)))</f>
        <v>0</v>
      </c>
      <c r="P21" s="654">
        <f>IF(SUM('Function Allocators'!$J31:$O31)=0,0,($F21*'Function Allocators'!M31/SUM('Function Allocators'!$J31:$O31)))</f>
        <v>0</v>
      </c>
      <c r="Q21" s="654">
        <f>IF(SUM('Function Allocators'!$J31:$O31)=0,0,($F21*'Function Allocators'!N31/SUM('Function Allocators'!$J31:$O31)))</f>
        <v>0</v>
      </c>
      <c r="R21" s="654">
        <f>IF(SUM('Function Allocators'!$J31:$O31)=0,0,($F21*'Function Allocators'!O31/SUM('Function Allocators'!$J31:$O31)))</f>
        <v>0</v>
      </c>
      <c r="T21" s="456" t="s">
        <v>434</v>
      </c>
      <c r="U21" s="52">
        <f t="shared" si="1"/>
        <v>0</v>
      </c>
      <c r="V21" s="361">
        <f>'G-3 COST OF SERVICE'!G16-SUM('Functionalization RES'!G21:J21)</f>
        <v>0</v>
      </c>
      <c r="W21" s="361">
        <f>'G-3 COST OF SERVICE'!H16-SUM('Functionalization RES'!K21:L21)</f>
        <v>0</v>
      </c>
      <c r="X21" s="361">
        <f>'G-3 COST OF SERVICE'!I16-SUM('Functionalization RES'!M21:R21)</f>
        <v>0</v>
      </c>
    </row>
    <row r="22" spans="1:24">
      <c r="A22" s="386">
        <f t="shared" si="2"/>
        <v>383</v>
      </c>
      <c r="B22" s="379" t="s">
        <v>92</v>
      </c>
      <c r="C22" s="653">
        <f t="shared" si="0"/>
        <v>4525526.7873718003</v>
      </c>
      <c r="D22" s="653">
        <f>'G-3 COST OF SERVICE'!G17</f>
        <v>0</v>
      </c>
      <c r="E22" s="653">
        <f>'G-3 COST OF SERVICE'!H17</f>
        <v>0</v>
      </c>
      <c r="F22" s="653">
        <f>'G-3 COST OF SERVICE'!I17</f>
        <v>4525526.7873718003</v>
      </c>
      <c r="G22" s="654">
        <f>IF(SUM('Function Allocators'!$D32:$G32)=0,0,($D22*'Function Allocators'!D32/SUM('Function Allocators'!$D32:$G32)))</f>
        <v>0</v>
      </c>
      <c r="H22" s="654">
        <f>IF(SUM('Function Allocators'!$D32:$G32)=0,0,($D22*'Function Allocators'!E32/SUM('Function Allocators'!$D32:$G32)))</f>
        <v>0</v>
      </c>
      <c r="I22" s="654">
        <f>IF(SUM('Function Allocators'!$D32:$G32)=0,0,($D22*'Function Allocators'!F32/SUM('Function Allocators'!$D32:$G32)))</f>
        <v>0</v>
      </c>
      <c r="J22" s="654">
        <f>IF(SUM('Function Allocators'!$D32:$G32)=0,0,($D22*'Function Allocators'!G32/SUM('Function Allocators'!$D32:$G32)))</f>
        <v>0</v>
      </c>
      <c r="K22" s="654">
        <f>IF(SUM('Function Allocators'!$H32:$I32)=0,0,($E22*'Function Allocators'!H32/SUM('Function Allocators'!$H32:$I32)))</f>
        <v>0</v>
      </c>
      <c r="L22" s="654">
        <f>IF(SUM('Function Allocators'!$H32:$I32)=0,0,($F22*'Function Allocators'!I32/SUM('Function Allocators'!$H32:$I32)))</f>
        <v>0</v>
      </c>
      <c r="M22" s="654">
        <f>IF(SUM('Function Allocators'!$J32:$O32)=0,0,($F22*'Function Allocators'!J32/SUM('Function Allocators'!$J32:$O32)))</f>
        <v>0</v>
      </c>
      <c r="N22" s="654">
        <f>IF(SUM('Function Allocators'!$J32:$O32)=0,0,($F22*'Function Allocators'!K32/SUM('Function Allocators'!$J32:$O32)))</f>
        <v>0</v>
      </c>
      <c r="O22" s="654">
        <f>IF(SUM('Function Allocators'!$J32:$O32)=0,0,($F22*'Function Allocators'!L32/SUM('Function Allocators'!$J32:$O32)))</f>
        <v>4525526.7873718003</v>
      </c>
      <c r="P22" s="654">
        <f>IF(SUM('Function Allocators'!$J32:$O32)=0,0,($F22*'Function Allocators'!M32/SUM('Function Allocators'!$J32:$O32)))</f>
        <v>0</v>
      </c>
      <c r="Q22" s="654">
        <f>IF(SUM('Function Allocators'!$J32:$O32)=0,0,($F22*'Function Allocators'!N32/SUM('Function Allocators'!$J32:$O32)))</f>
        <v>0</v>
      </c>
      <c r="R22" s="654">
        <f>IF(SUM('Function Allocators'!$J32:$O32)=0,0,($F22*'Function Allocators'!O32/SUM('Function Allocators'!$J32:$O32)))</f>
        <v>0</v>
      </c>
      <c r="T22" s="456" t="s">
        <v>435</v>
      </c>
      <c r="U22" s="52">
        <f t="shared" si="1"/>
        <v>0</v>
      </c>
      <c r="V22" s="361">
        <f>'G-3 COST OF SERVICE'!G17-SUM('Functionalization RES'!G22:J22)</f>
        <v>0</v>
      </c>
      <c r="W22" s="361">
        <f>'G-3 COST OF SERVICE'!H17-SUM('Functionalization RES'!K22:L22)</f>
        <v>0</v>
      </c>
      <c r="X22" s="361">
        <f>'G-3 COST OF SERVICE'!I17-SUM('Functionalization RES'!M22:R22)</f>
        <v>0</v>
      </c>
    </row>
    <row r="23" spans="1:24">
      <c r="A23" s="386">
        <f t="shared" si="2"/>
        <v>384</v>
      </c>
      <c r="B23" s="379" t="s">
        <v>94</v>
      </c>
      <c r="C23" s="653">
        <f t="shared" si="0"/>
        <v>4169520.1966204005</v>
      </c>
      <c r="D23" s="653">
        <f>'G-3 COST OF SERVICE'!G18</f>
        <v>0</v>
      </c>
      <c r="E23" s="653">
        <f>'G-3 COST OF SERVICE'!H18</f>
        <v>0</v>
      </c>
      <c r="F23" s="653">
        <f>'G-3 COST OF SERVICE'!I18</f>
        <v>4169520.1966204005</v>
      </c>
      <c r="G23" s="654">
        <f>IF(SUM('Function Allocators'!$D33:$G33)=0,0,($D23*'Function Allocators'!D33/SUM('Function Allocators'!$D33:$G33)))</f>
        <v>0</v>
      </c>
      <c r="H23" s="654">
        <f>IF(SUM('Function Allocators'!$D33:$G33)=0,0,($D23*'Function Allocators'!E33/SUM('Function Allocators'!$D33:$G33)))</f>
        <v>0</v>
      </c>
      <c r="I23" s="654">
        <f>IF(SUM('Function Allocators'!$D33:$G33)=0,0,($D23*'Function Allocators'!F33/SUM('Function Allocators'!$D33:$G33)))</f>
        <v>0</v>
      </c>
      <c r="J23" s="654">
        <f>IF(SUM('Function Allocators'!$D33:$G33)=0,0,($D23*'Function Allocators'!G33/SUM('Function Allocators'!$D33:$G33)))</f>
        <v>0</v>
      </c>
      <c r="K23" s="654">
        <f>IF(SUM('Function Allocators'!$H33:$I33)=0,0,($E23*'Function Allocators'!H33/SUM('Function Allocators'!$H33:$I33)))</f>
        <v>0</v>
      </c>
      <c r="L23" s="654">
        <f>IF(SUM('Function Allocators'!$H33:$I33)=0,0,($F23*'Function Allocators'!I33/SUM('Function Allocators'!$H33:$I33)))</f>
        <v>0</v>
      </c>
      <c r="M23" s="654">
        <f>IF(SUM('Function Allocators'!$J33:$O33)=0,0,($F23*'Function Allocators'!J33/SUM('Function Allocators'!$J33:$O33)))</f>
        <v>0</v>
      </c>
      <c r="N23" s="654">
        <f>IF(SUM('Function Allocators'!$J33:$O33)=0,0,($F23*'Function Allocators'!K33/SUM('Function Allocators'!$J33:$O33)))</f>
        <v>0</v>
      </c>
      <c r="O23" s="654">
        <f>IF(SUM('Function Allocators'!$J33:$O33)=0,0,($F23*'Function Allocators'!L33/SUM('Function Allocators'!$J33:$O33)))</f>
        <v>4169520.1966204005</v>
      </c>
      <c r="P23" s="654">
        <f>IF(SUM('Function Allocators'!$J33:$O33)=0,0,($F23*'Function Allocators'!M33/SUM('Function Allocators'!$J33:$O33)))</f>
        <v>0</v>
      </c>
      <c r="Q23" s="654">
        <f>IF(SUM('Function Allocators'!$J33:$O33)=0,0,($F23*'Function Allocators'!N33/SUM('Function Allocators'!$J33:$O33)))</f>
        <v>0</v>
      </c>
      <c r="R23" s="654">
        <f>IF(SUM('Function Allocators'!$J33:$O33)=0,0,($F23*'Function Allocators'!O33/SUM('Function Allocators'!$J33:$O33)))</f>
        <v>0</v>
      </c>
      <c r="T23" s="456" t="s">
        <v>435</v>
      </c>
      <c r="U23" s="52">
        <f t="shared" si="1"/>
        <v>0</v>
      </c>
      <c r="V23" s="361">
        <f>'G-3 COST OF SERVICE'!G18-SUM('Functionalization RES'!G23:J23)</f>
        <v>0</v>
      </c>
      <c r="W23" s="361">
        <f>'G-3 COST OF SERVICE'!H18-SUM('Functionalization RES'!K23:L23)</f>
        <v>0</v>
      </c>
      <c r="X23" s="361">
        <f>'G-3 COST OF SERVICE'!I18-SUM('Functionalization RES'!M23:R23)</f>
        <v>0</v>
      </c>
    </row>
    <row r="24" spans="1:24">
      <c r="A24" s="386">
        <v>385</v>
      </c>
      <c r="B24" s="379" t="s">
        <v>96</v>
      </c>
      <c r="C24" s="653">
        <f t="shared" si="0"/>
        <v>0</v>
      </c>
      <c r="D24" s="653">
        <f>'G-3 COST OF SERVICE'!G19</f>
        <v>0</v>
      </c>
      <c r="E24" s="653">
        <f>'G-3 COST OF SERVICE'!H19</f>
        <v>0</v>
      </c>
      <c r="F24" s="653">
        <f>'G-3 COST OF SERVICE'!I19</f>
        <v>0</v>
      </c>
      <c r="G24" s="654">
        <f>IF(SUM('Function Allocators'!$D34:$G34)=0,0,($D24*'Function Allocators'!D34/SUM('Function Allocators'!$D34:$G34)))</f>
        <v>0</v>
      </c>
      <c r="H24" s="654">
        <f>IF(SUM('Function Allocators'!$D34:$G34)=0,0,($D24*'Function Allocators'!E34/SUM('Function Allocators'!$D34:$G34)))</f>
        <v>0</v>
      </c>
      <c r="I24" s="654">
        <f>IF(SUM('Function Allocators'!$D34:$G34)=0,0,($D24*'Function Allocators'!F34/SUM('Function Allocators'!$D34:$G34)))</f>
        <v>0</v>
      </c>
      <c r="J24" s="654">
        <f>IF(SUM('Function Allocators'!$D34:$G34)=0,0,($D24*'Function Allocators'!G34/SUM('Function Allocators'!$D34:$G34)))</f>
        <v>0</v>
      </c>
      <c r="K24" s="654">
        <f>IF(SUM('Function Allocators'!$H34:$I34)=0,0,($E24*'Function Allocators'!H34/SUM('Function Allocators'!$H34:$I34)))</f>
        <v>0</v>
      </c>
      <c r="L24" s="654">
        <f>IF(SUM('Function Allocators'!$H34:$I34)=0,0,($F24*'Function Allocators'!I34/SUM('Function Allocators'!$H34:$I34)))</f>
        <v>0</v>
      </c>
      <c r="M24" s="654">
        <f>IF(SUM('Function Allocators'!$J34:$O34)=0,0,($F24*'Function Allocators'!J34/SUM('Function Allocators'!$J34:$O34)))</f>
        <v>0</v>
      </c>
      <c r="N24" s="654">
        <f>IF(SUM('Function Allocators'!$J34:$O34)=0,0,($F24*'Function Allocators'!K34/SUM('Function Allocators'!$J34:$O34)))</f>
        <v>0</v>
      </c>
      <c r="O24" s="654">
        <f>IF(SUM('Function Allocators'!$J34:$O34)=0,0,($F24*'Function Allocators'!L34/SUM('Function Allocators'!$J34:$O34)))</f>
        <v>0</v>
      </c>
      <c r="P24" s="654">
        <f>IF(SUM('Function Allocators'!$J34:$O34)=0,0,($F24*'Function Allocators'!M34/SUM('Function Allocators'!$J34:$O34)))</f>
        <v>0</v>
      </c>
      <c r="Q24" s="654">
        <f>IF(SUM('Function Allocators'!$J34:$O34)=0,0,($F24*'Function Allocators'!N34/SUM('Function Allocators'!$J34:$O34)))</f>
        <v>0</v>
      </c>
      <c r="R24" s="654">
        <f>IF(SUM('Function Allocators'!$J34:$O34)=0,0,($F24*'Function Allocators'!O34/SUM('Function Allocators'!$J34:$O34)))</f>
        <v>0</v>
      </c>
      <c r="T24" s="456" t="s">
        <v>462</v>
      </c>
      <c r="U24" s="52">
        <f t="shared" si="1"/>
        <v>0</v>
      </c>
      <c r="V24" s="361">
        <f>'G-3 COST OF SERVICE'!G19-SUM('Functionalization RES'!G24:J24)</f>
        <v>0</v>
      </c>
      <c r="W24" s="361">
        <f>'G-3 COST OF SERVICE'!H19-SUM('Functionalization RES'!K24:L24)</f>
        <v>0</v>
      </c>
      <c r="X24" s="361">
        <f>'G-3 COST OF SERVICE'!I19-SUM('Functionalization RES'!M24:R24)</f>
        <v>0</v>
      </c>
    </row>
    <row r="25" spans="1:24">
      <c r="A25" s="386">
        <v>387</v>
      </c>
      <c r="B25" s="379" t="s">
        <v>98</v>
      </c>
      <c r="C25" s="653">
        <f t="shared" si="0"/>
        <v>1121755.1305265643</v>
      </c>
      <c r="D25" s="653">
        <f>'G-3 COST OF SERVICE'!G20</f>
        <v>1121755.1305265643</v>
      </c>
      <c r="E25" s="653">
        <f>'G-3 COST OF SERVICE'!H20</f>
        <v>0</v>
      </c>
      <c r="F25" s="653">
        <f>'G-3 COST OF SERVICE'!I20</f>
        <v>0</v>
      </c>
      <c r="G25" s="654">
        <f>IF(SUM('Function Allocators'!$D35:$G35)=0,0,($D25*'Function Allocators'!D35/SUM('Function Allocators'!$D35:$G35)))</f>
        <v>0</v>
      </c>
      <c r="H25" s="654">
        <f>IF(SUM('Function Allocators'!$D35:$G35)=0,0,($D25*'Function Allocators'!E35/SUM('Function Allocators'!$D35:$G35)))</f>
        <v>0</v>
      </c>
      <c r="I25" s="654">
        <f>IF(SUM('Function Allocators'!$D35:$G35)=0,0,($D25*'Function Allocators'!F35/SUM('Function Allocators'!$D35:$G35)))</f>
        <v>0</v>
      </c>
      <c r="J25" s="654">
        <f>IF(SUM('Function Allocators'!$D35:$G35)=0,0,($D25*'Function Allocators'!G35/SUM('Function Allocators'!$D35:$G35)))</f>
        <v>1121755.1305265643</v>
      </c>
      <c r="K25" s="654">
        <f>IF(SUM('Function Allocators'!$H35:$I35)=0,0,($E25*'Function Allocators'!H35/SUM('Function Allocators'!$H35:$I35)))</f>
        <v>0</v>
      </c>
      <c r="L25" s="654">
        <f>IF(SUM('Function Allocators'!$H35:$I35)=0,0,($F25*'Function Allocators'!I35/SUM('Function Allocators'!$H35:$I35)))</f>
        <v>0</v>
      </c>
      <c r="M25" s="654">
        <f>IF(SUM('Function Allocators'!$J35:$O35)=0,0,($F25*'Function Allocators'!J35/SUM('Function Allocators'!$J35:$O35)))</f>
        <v>0</v>
      </c>
      <c r="N25" s="654">
        <f>IF(SUM('Function Allocators'!$J35:$O35)=0,0,($F25*'Function Allocators'!K35/SUM('Function Allocators'!$J35:$O35)))</f>
        <v>0</v>
      </c>
      <c r="O25" s="654">
        <f>IF(SUM('Function Allocators'!$J35:$O35)=0,0,($F25*'Function Allocators'!L35/SUM('Function Allocators'!$J35:$O35)))</f>
        <v>0</v>
      </c>
      <c r="P25" s="654">
        <f>IF(SUM('Function Allocators'!$J35:$O35)=0,0,($F25*'Function Allocators'!M35/SUM('Function Allocators'!$J35:$O35)))</f>
        <v>0</v>
      </c>
      <c r="Q25" s="654">
        <f>IF(SUM('Function Allocators'!$J35:$O35)=0,0,($F25*'Function Allocators'!N35/SUM('Function Allocators'!$J35:$O35)))</f>
        <v>0</v>
      </c>
      <c r="R25" s="654">
        <f>IF(SUM('Function Allocators'!$J35:$O35)=0,0,($F25*'Function Allocators'!O35/SUM('Function Allocators'!$J35:$O35)))</f>
        <v>0</v>
      </c>
      <c r="T25" s="360" t="s">
        <v>428</v>
      </c>
      <c r="U25" s="52">
        <f t="shared" si="1"/>
        <v>0</v>
      </c>
      <c r="V25" s="361">
        <f>'G-3 COST OF SERVICE'!G20-SUM('Functionalization RES'!G25:J25)</f>
        <v>0</v>
      </c>
      <c r="W25" s="361">
        <f>'G-3 COST OF SERVICE'!H20-SUM('Functionalization RES'!K25:L25)</f>
        <v>0</v>
      </c>
      <c r="X25" s="361">
        <f>'G-3 COST OF SERVICE'!I20-SUM('Functionalization RES'!M25:R25)</f>
        <v>0</v>
      </c>
    </row>
    <row r="26" spans="1:24">
      <c r="A26" s="374"/>
      <c r="B26" s="377" t="s">
        <v>100</v>
      </c>
      <c r="C26" s="655">
        <f t="shared" ref="C26:R26" si="3">SUM(C14:C25)</f>
        <v>409297218.45265305</v>
      </c>
      <c r="D26" s="655">
        <f t="shared" si="3"/>
        <v>71238126.979117006</v>
      </c>
      <c r="E26" s="655">
        <f t="shared" si="3"/>
        <v>0</v>
      </c>
      <c r="F26" s="655">
        <f t="shared" si="3"/>
        <v>338059091.47353607</v>
      </c>
      <c r="G26" s="656">
        <f t="shared" si="3"/>
        <v>0</v>
      </c>
      <c r="H26" s="655">
        <f t="shared" si="3"/>
        <v>64470374.322728358</v>
      </c>
      <c r="I26" s="655">
        <f t="shared" si="3"/>
        <v>5300541.3132970668</v>
      </c>
      <c r="J26" s="655">
        <f t="shared" si="3"/>
        <v>1467211.3430915845</v>
      </c>
      <c r="K26" s="655">
        <f t="shared" si="3"/>
        <v>0</v>
      </c>
      <c r="L26" s="655">
        <f t="shared" si="3"/>
        <v>0</v>
      </c>
      <c r="M26" s="655">
        <f t="shared" si="3"/>
        <v>280929327.61099201</v>
      </c>
      <c r="N26" s="655">
        <f t="shared" si="3"/>
        <v>48434716.878551885</v>
      </c>
      <c r="O26" s="655">
        <f t="shared" si="3"/>
        <v>8695046.9839922003</v>
      </c>
      <c r="P26" s="655">
        <f t="shared" si="3"/>
        <v>0</v>
      </c>
      <c r="Q26" s="655">
        <f t="shared" si="3"/>
        <v>0</v>
      </c>
      <c r="R26" s="655">
        <f t="shared" si="3"/>
        <v>0</v>
      </c>
      <c r="T26" s="456"/>
      <c r="V26" s="361">
        <f>'G-3 COST OF SERVICE'!G21-SUM('Functionalization RES'!G26:J26)</f>
        <v>0</v>
      </c>
      <c r="W26" s="361">
        <f>'G-3 COST OF SERVICE'!H21-SUM('Functionalization RES'!K26:L26)</f>
        <v>0</v>
      </c>
      <c r="X26" s="361">
        <f>'G-3 COST OF SERVICE'!I21-SUM('Functionalization RES'!M26:R26)</f>
        <v>0</v>
      </c>
    </row>
    <row r="27" spans="1:24">
      <c r="A27" s="374"/>
      <c r="B27" s="377"/>
      <c r="C27" s="653"/>
      <c r="D27" s="653"/>
      <c r="E27" s="653"/>
      <c r="F27" s="653"/>
      <c r="G27" s="664"/>
      <c r="H27" s="653"/>
      <c r="I27" s="653"/>
      <c r="J27" s="653"/>
      <c r="K27" s="653"/>
      <c r="L27" s="653"/>
      <c r="M27" s="653"/>
      <c r="N27" s="653"/>
      <c r="O27" s="653"/>
      <c r="P27" s="653"/>
      <c r="Q27" s="653"/>
      <c r="R27" s="653"/>
      <c r="T27" s="456"/>
      <c r="V27" s="361"/>
      <c r="W27" s="361"/>
      <c r="X27" s="361"/>
    </row>
    <row r="28" spans="1:24">
      <c r="A28" s="390" t="s">
        <v>463</v>
      </c>
      <c r="B28" s="377" t="s">
        <v>208</v>
      </c>
      <c r="C28" s="654">
        <f>SUM(G28:R28)</f>
        <v>52662958.676039204</v>
      </c>
      <c r="D28" s="654">
        <f>'G-3 COST OF SERVICE'!G23</f>
        <v>10233332.104105888</v>
      </c>
      <c r="E28" s="654">
        <f>'G-3 COST OF SERVICE'!H23</f>
        <v>0</v>
      </c>
      <c r="F28" s="654">
        <f>'G-3 COST OF SERVICE'!I23</f>
        <v>42429626.571933314</v>
      </c>
      <c r="G28" s="654">
        <f>IF(SUM('Function Allocators'!$D39:$G39)=0,0,($D28*'Function Allocators'!D39/SUM('Function Allocators'!$D$39:$G$39)))</f>
        <v>0</v>
      </c>
      <c r="H28" s="654">
        <f>IF(SUM('Function Allocators'!$D39:$G39)=0,0,($D28*'Function Allocators'!E39/SUM('Function Allocators'!$D$39:$G$39)))</f>
        <v>9383914.8714850061</v>
      </c>
      <c r="I28" s="654">
        <f>IF(SUM('Function Allocators'!$D39:$G39)=0,0,($D28*'Function Allocators'!F39/SUM('Function Allocators'!$D$39:$G$39)))</f>
        <v>665268.27476226934</v>
      </c>
      <c r="J28" s="654">
        <f>IF(SUM('Function Allocators'!$D39:$G39)=0,0,($D28*'Function Allocators'!G39/SUM('Function Allocators'!$D$39:$G$39)))</f>
        <v>184148.95785861148</v>
      </c>
      <c r="K28" s="654">
        <f>IF(SUM('Function Allocators'!$H39:$I39)=0,0,($E28*'Function Allocators'!H39/SUM('Function Allocators'!$H39:$I39)))</f>
        <v>0</v>
      </c>
      <c r="L28" s="654">
        <f>IF(SUM('Function Allocators'!$H39:$I39)=0,0,($E28*'Function Allocators'!I39/SUM('Function Allocators'!$H39:$I39)))</f>
        <v>0</v>
      </c>
      <c r="M28" s="654">
        <f>IF(SUM('Function Allocators'!$J39:$O39)=0,0,($F28*'Function Allocators'!J39/SUM('Function Allocators'!$J39:$O39)))</f>
        <v>34394877.790967546</v>
      </c>
      <c r="N28" s="654">
        <f>IF(SUM('Function Allocators'!$J39:$O39)=0,0,($F28*'Function Allocators'!K39/SUM('Function Allocators'!$J39:$O39)))</f>
        <v>6622385.0102518313</v>
      </c>
      <c r="O28" s="654">
        <f>IF(SUM('Function Allocators'!$J39:$O39)=0,0,($F28*'Function Allocators'!L39/SUM('Function Allocators'!$J39:$O39)))</f>
        <v>1412363.7707139438</v>
      </c>
      <c r="P28" s="654">
        <f>IF(SUM('Function Allocators'!$J39:$O39)=0,0,($F28*'Function Allocators'!M39/SUM('Function Allocators'!$J39:$O39)))</f>
        <v>0</v>
      </c>
      <c r="Q28" s="654">
        <f>IF(SUM('Function Allocators'!$J39:$O39)=0,0,($F28*'Function Allocators'!N39/SUM('Function Allocators'!$J39:$O39)))</f>
        <v>0</v>
      </c>
      <c r="R28" s="654">
        <f>IF(SUM('Function Allocators'!$J39:$O39)=0,0,($F28*'Function Allocators'!O39/SUM('Function Allocators'!$J39:$O39)))</f>
        <v>0</v>
      </c>
      <c r="S28" s="654"/>
      <c r="T28" s="456" t="s">
        <v>426</v>
      </c>
      <c r="U28" s="52">
        <f>C28-SUM(D28:F28)</f>
        <v>0</v>
      </c>
      <c r="V28" s="361">
        <f>'G-3 COST OF SERVICE'!G23-SUM('Functionalization RES'!G28:J28)</f>
        <v>0</v>
      </c>
      <c r="W28" s="361">
        <f>'G-3 COST OF SERVICE'!H23-SUM('Functionalization RES'!K28:L28)</f>
        <v>0</v>
      </c>
      <c r="X28" s="361">
        <f>'G-3 COST OF SERVICE'!I23-SUM('Functionalization RES'!M28:R28)</f>
        <v>0</v>
      </c>
    </row>
    <row r="29" spans="1:24">
      <c r="A29" s="390"/>
      <c r="B29" s="379"/>
      <c r="C29" s="654"/>
      <c r="D29" s="65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  <c r="S29" s="654"/>
      <c r="T29" s="456"/>
      <c r="V29" s="361"/>
      <c r="W29" s="361"/>
      <c r="X29" s="361"/>
    </row>
    <row r="30" spans="1:24">
      <c r="A30" s="390"/>
      <c r="B30" s="407" t="s">
        <v>464</v>
      </c>
      <c r="C30" s="654">
        <f t="shared" ref="C30:R30" si="4">C26+C11</f>
        <v>419593416.26887619</v>
      </c>
      <c r="D30" s="654">
        <f t="shared" si="4"/>
        <v>81534324.795340151</v>
      </c>
      <c r="E30" s="654">
        <f t="shared" si="4"/>
        <v>0</v>
      </c>
      <c r="F30" s="654">
        <f t="shared" si="4"/>
        <v>338059091.47353607</v>
      </c>
      <c r="G30" s="654">
        <f t="shared" si="4"/>
        <v>0</v>
      </c>
      <c r="H30" s="654">
        <f t="shared" si="4"/>
        <v>74766572.13895151</v>
      </c>
      <c r="I30" s="654">
        <f t="shared" si="4"/>
        <v>5300541.3132970668</v>
      </c>
      <c r="J30" s="654">
        <f t="shared" si="4"/>
        <v>1467211.3430915845</v>
      </c>
      <c r="K30" s="654">
        <f t="shared" si="4"/>
        <v>0</v>
      </c>
      <c r="L30" s="654">
        <f t="shared" si="4"/>
        <v>0</v>
      </c>
      <c r="M30" s="654">
        <f t="shared" si="4"/>
        <v>280929327.61099201</v>
      </c>
      <c r="N30" s="654">
        <f t="shared" si="4"/>
        <v>48434716.878551885</v>
      </c>
      <c r="O30" s="654">
        <f t="shared" si="4"/>
        <v>8695046.9839922003</v>
      </c>
      <c r="P30" s="654">
        <f t="shared" si="4"/>
        <v>0</v>
      </c>
      <c r="Q30" s="654">
        <f t="shared" si="4"/>
        <v>0</v>
      </c>
      <c r="R30" s="654">
        <f t="shared" si="4"/>
        <v>0</v>
      </c>
      <c r="S30" s="654"/>
      <c r="T30" s="456"/>
      <c r="U30" s="52">
        <f>C30-SUM(D30:F30)</f>
        <v>0</v>
      </c>
      <c r="V30" s="361"/>
      <c r="W30" s="361"/>
      <c r="X30" s="361"/>
    </row>
    <row r="31" spans="1:24">
      <c r="A31" s="382"/>
      <c r="B31" s="407"/>
      <c r="C31" s="460"/>
      <c r="D31" s="460"/>
      <c r="E31" s="460"/>
      <c r="F31" s="460"/>
      <c r="G31" s="456"/>
      <c r="H31" s="456"/>
      <c r="I31" s="456"/>
      <c r="J31" s="456"/>
      <c r="K31" s="456"/>
      <c r="L31" s="456"/>
      <c r="M31" s="456"/>
      <c r="N31" s="456"/>
      <c r="O31" s="456"/>
      <c r="P31" s="456"/>
      <c r="Q31" s="456"/>
      <c r="R31" s="456"/>
      <c r="T31" s="456"/>
      <c r="V31" s="361"/>
      <c r="W31" s="361"/>
      <c r="X31" s="361"/>
    </row>
    <row r="32" spans="1:24">
      <c r="A32" s="382"/>
      <c r="B32" s="407" t="s">
        <v>465</v>
      </c>
      <c r="C32" s="653">
        <f>SUM(G32:R32)</f>
        <v>473692616.44300687</v>
      </c>
      <c r="D32" s="654">
        <f>'G-3 COST OF SERVICE'!G27</f>
        <v>92046744</v>
      </c>
      <c r="E32" s="654">
        <f>'G-3 COST OF SERVICE'!H27</f>
        <v>0</v>
      </c>
      <c r="F32" s="654">
        <f>'G-3 COST OF SERVICE'!I27</f>
        <v>381645873</v>
      </c>
      <c r="G32" s="456">
        <f t="shared" ref="G32:R32" si="5">+G10+G11+G26+G28</f>
        <v>0</v>
      </c>
      <c r="H32" s="456">
        <f t="shared" si="5"/>
        <v>84406408.217520475</v>
      </c>
      <c r="I32" s="456">
        <f t="shared" si="5"/>
        <v>5983953.0028540697</v>
      </c>
      <c r="J32" s="456">
        <f t="shared" si="5"/>
        <v>1656382.4717844217</v>
      </c>
      <c r="K32" s="456">
        <f t="shared" si="5"/>
        <v>0</v>
      </c>
      <c r="L32" s="456">
        <f t="shared" si="5"/>
        <v>0</v>
      </c>
      <c r="M32" s="456">
        <f t="shared" si="5"/>
        <v>316262233.80080163</v>
      </c>
      <c r="N32" s="456">
        <f t="shared" si="5"/>
        <v>55237709.746910825</v>
      </c>
      <c r="O32" s="456">
        <f t="shared" si="5"/>
        <v>10145929.2031355</v>
      </c>
      <c r="P32" s="456">
        <f t="shared" si="5"/>
        <v>0</v>
      </c>
      <c r="Q32" s="456">
        <f t="shared" si="5"/>
        <v>0</v>
      </c>
      <c r="R32" s="456">
        <f t="shared" si="5"/>
        <v>0</v>
      </c>
      <c r="T32" s="456"/>
      <c r="U32" s="52">
        <f>C32-SUM(D32:F32)</f>
        <v>-0.55699312686920166</v>
      </c>
      <c r="V32" s="361">
        <f>'G-3 COST OF SERVICE'!G27-SUM('Functionalization RES'!G32:J32)</f>
        <v>0.30784103274345398</v>
      </c>
      <c r="W32" s="361">
        <f>'G-3 COST OF SERVICE'!H27-SUM('Functionalization RES'!K32:L32)</f>
        <v>0</v>
      </c>
      <c r="X32" s="361">
        <f>'G-3 COST OF SERVICE'!I27-SUM('Functionalization RES'!M32:R32)</f>
        <v>0.24915206432342529</v>
      </c>
    </row>
    <row r="33" spans="1:24">
      <c r="A33" s="382"/>
      <c r="B33" s="407"/>
      <c r="C33" s="460"/>
      <c r="D33" s="460"/>
      <c r="E33" s="460"/>
      <c r="F33" s="460"/>
      <c r="G33" s="456"/>
      <c r="H33" s="456"/>
      <c r="I33" s="456"/>
      <c r="J33" s="456"/>
      <c r="K33" s="456"/>
      <c r="L33" s="456"/>
      <c r="M33" s="456"/>
      <c r="N33" s="456"/>
      <c r="O33" s="456"/>
      <c r="P33" s="456"/>
      <c r="Q33" s="456"/>
      <c r="R33" s="456"/>
      <c r="T33" s="456"/>
      <c r="V33" s="361"/>
      <c r="W33" s="361"/>
      <c r="X33" s="361"/>
    </row>
    <row r="34" spans="1:24">
      <c r="A34" s="382"/>
      <c r="B34" s="790" t="s">
        <v>105</v>
      </c>
      <c r="C34" s="790"/>
      <c r="D34" s="406"/>
      <c r="E34" s="406"/>
      <c r="F34" s="406"/>
      <c r="G34" s="456"/>
      <c r="H34" s="456"/>
      <c r="I34" s="456"/>
      <c r="J34" s="456"/>
      <c r="K34" s="456"/>
      <c r="L34" s="456"/>
      <c r="M34" s="456"/>
      <c r="N34" s="456"/>
      <c r="O34" s="456"/>
      <c r="P34" s="456"/>
      <c r="Q34" s="456"/>
      <c r="R34" s="456"/>
      <c r="T34" s="456"/>
      <c r="V34" s="361"/>
      <c r="W34" s="361"/>
      <c r="X34" s="361"/>
    </row>
    <row r="35" spans="1:24">
      <c r="A35" s="390" t="s">
        <v>74</v>
      </c>
      <c r="B35" s="379" t="s">
        <v>255</v>
      </c>
      <c r="C35" s="654">
        <f>SUM(G35:R35)</f>
        <v>302594.12211780204</v>
      </c>
      <c r="D35" s="654">
        <f>'G-3 COST OF SERVICE'!G31</f>
        <v>58799.319715979414</v>
      </c>
      <c r="E35" s="654">
        <f>'G-3 COST OF SERVICE'!H31</f>
        <v>0</v>
      </c>
      <c r="F35" s="654">
        <f>'G-3 COST OF SERVICE'!I31</f>
        <v>243794.80240182261</v>
      </c>
      <c r="G35" s="456">
        <f>IF(SUM('Function Allocators'!$D54:$G54)=0,0,($D35*'Function Allocators'!D54/SUM('Function Allocators'!$D$54:$G$54)))</f>
        <v>0</v>
      </c>
      <c r="H35" s="456">
        <f>IF(SUM('Function Allocators'!$D54:$G54)=0,0,($D35*'Function Allocators'!E54/SUM('Function Allocators'!$D$54:$G$54)))</f>
        <v>53918.685048303741</v>
      </c>
      <c r="I35" s="456">
        <f>IF(SUM('Function Allocators'!$D54:$G54)=0,0,($D35*'Function Allocators'!F54/SUM('Function Allocators'!$D$54:$G$54)))</f>
        <v>3822.540066783311</v>
      </c>
      <c r="J35" s="456">
        <f>IF(SUM('Function Allocators'!$D54:$G54)=0,0,($D35*'Function Allocators'!G54/SUM('Function Allocators'!$D$54:$G$54)))</f>
        <v>1058.094600892362</v>
      </c>
      <c r="K35" s="456">
        <f>IF(SUM('Function Allocators'!$H54:$I54)=0,0,($E35*'Function Allocators'!H54/SUM('Function Allocators'!$H54:$I54)))</f>
        <v>0</v>
      </c>
      <c r="L35" s="456">
        <f>IF(SUM('Function Allocators'!$H54:$I54)=0,0,($E35*'Function Allocators'!I54/SUM('Function Allocators'!$H54:$I54)))</f>
        <v>0</v>
      </c>
      <c r="M35" s="456">
        <f>IF(SUM('Function Allocators'!$J54:$O54)=0,0,($F35*'Function Allocators'!J54/SUM('Function Allocators'!$J54:$O54)))</f>
        <v>197628.24026904206</v>
      </c>
      <c r="N35" s="456">
        <f>IF(SUM('Function Allocators'!$J54:$O54)=0,0,($F35*'Function Allocators'!K54/SUM('Function Allocators'!$J54:$O54)))</f>
        <v>38051.31403327296</v>
      </c>
      <c r="O35" s="456">
        <f>IF(SUM('Function Allocators'!$J54:$O54)=0,0,($F35*'Function Allocators'!L54/SUM('Function Allocators'!$J54:$O54)))</f>
        <v>8115.2480995075994</v>
      </c>
      <c r="P35" s="456">
        <f>IF(SUM('Function Allocators'!$J54:$O54)=0,0,($F35*'Function Allocators'!M54/SUM('Function Allocators'!$J54:$O54)))</f>
        <v>0</v>
      </c>
      <c r="Q35" s="456">
        <f>IF(SUM('Function Allocators'!$J54:$O54)=0,0,($F35*'Function Allocators'!N54/SUM('Function Allocators'!$J54:$O54)))</f>
        <v>0</v>
      </c>
      <c r="R35" s="456">
        <f>IF(SUM('Function Allocators'!$J54:$O54)=0,0,($F35*'Function Allocators'!O54/SUM('Function Allocators'!$J54:$O54)))</f>
        <v>0</v>
      </c>
      <c r="T35" s="456"/>
      <c r="U35" s="52">
        <f>C35-SUM(D35:F35)</f>
        <v>0</v>
      </c>
      <c r="V35" s="361">
        <f>'G-3 COST OF SERVICE'!G31-SUM('Functionalization RES'!G35:J35)</f>
        <v>0</v>
      </c>
      <c r="W35" s="361">
        <f>'G-3 COST OF SERVICE'!H31-SUM('Functionalization RES'!K35:L35)</f>
        <v>0</v>
      </c>
      <c r="X35" s="361">
        <f>'G-3 COST OF SERVICE'!I31-SUM('Functionalization RES'!M35:R35)</f>
        <v>0</v>
      </c>
    </row>
    <row r="36" spans="1:24">
      <c r="A36" s="390" t="s">
        <v>77</v>
      </c>
      <c r="B36" s="379" t="s">
        <v>258</v>
      </c>
      <c r="C36" s="654">
        <f>SUM(G36:R36)</f>
        <v>5309161.0316727804</v>
      </c>
      <c r="D36" s="654">
        <f>'G-3 COST OF SERVICE'!G33</f>
        <v>5309161.0316727804</v>
      </c>
      <c r="E36" s="654">
        <f>'G-3 COST OF SERVICE'!H33</f>
        <v>0</v>
      </c>
      <c r="F36" s="654">
        <f>'G-3 COST OF SERVICE'!I33</f>
        <v>0</v>
      </c>
      <c r="G36" s="456">
        <f>IF(SUM('Function Allocators'!$D59:$G59)=0,0,($D36*'Function Allocators'!D59/SUM('Function Allocators'!$D$59:$G$59)))</f>
        <v>0</v>
      </c>
      <c r="H36" s="456">
        <f>IF(SUM('Function Allocators'!$D59:$G59)=0,0,($D36*'Function Allocators'!E59/SUM('Function Allocators'!$D$59:$G$59)))</f>
        <v>5309161.0316727804</v>
      </c>
      <c r="I36" s="456">
        <f>IF(SUM('Function Allocators'!$D59:$G59)=0,0,($D36*'Function Allocators'!F59/SUM('Function Allocators'!$D$59:$G$59)))</f>
        <v>0</v>
      </c>
      <c r="J36" s="456">
        <f>IF(SUM('Function Allocators'!$D59:$G59)=0,0,($D36*'Function Allocators'!G59/SUM('Function Allocators'!$D$59:$G$59)))</f>
        <v>0</v>
      </c>
      <c r="K36" s="456">
        <f>IF(SUM('Function Allocators'!$H59:$I59)=0,0,($E36*'Function Allocators'!H59/SUM('Function Allocators'!$H59:$I59)))</f>
        <v>0</v>
      </c>
      <c r="L36" s="456">
        <f>IF(SUM('Function Allocators'!$H59:$I59)=0,0,($E36*'Function Allocators'!I59/SUM('Function Allocators'!$H59:$I59)))</f>
        <v>0</v>
      </c>
      <c r="M36" s="456">
        <f>IF(SUM('Function Allocators'!$J59:$O59)=0,0,($F36*'Function Allocators'!J59/SUM('Function Allocators'!$J59:$O59)))</f>
        <v>0</v>
      </c>
      <c r="N36" s="456">
        <f>IF(SUM('Function Allocators'!$J59:$O59)=0,0,($F36*'Function Allocators'!K59/SUM('Function Allocators'!$J59:$O59)))</f>
        <v>0</v>
      </c>
      <c r="O36" s="456">
        <f>IF(SUM('Function Allocators'!$J59:$O59)=0,0,($F36*'Function Allocators'!L59/SUM('Function Allocators'!$J59:$O59)))</f>
        <v>0</v>
      </c>
      <c r="P36" s="456">
        <f>IF(SUM('Function Allocators'!$J59:$O59)=0,0,($F36*'Function Allocators'!M59/SUM('Function Allocators'!$J59:$O59)))</f>
        <v>0</v>
      </c>
      <c r="Q36" s="456">
        <f>IF(SUM('Function Allocators'!$J59:$O59)=0,0,($F36*'Function Allocators'!N59/SUM('Function Allocators'!$J59:$O59)))</f>
        <v>0</v>
      </c>
      <c r="R36" s="456">
        <f>IF(SUM('Function Allocators'!$J59:$O59)=0,0,($F36*'Function Allocators'!O59/SUM('Function Allocators'!$J59:$O59)))</f>
        <v>0</v>
      </c>
      <c r="T36" s="456"/>
      <c r="U36" s="52">
        <f>C36-SUM(D36:F36)</f>
        <v>0</v>
      </c>
      <c r="V36" s="361">
        <f>'G-3 COST OF SERVICE'!G33-SUM('Functionalization RES'!G36:J36)</f>
        <v>0</v>
      </c>
      <c r="W36" s="361">
        <f>'G-3 COST OF SERVICE'!H33-SUM('Functionalization RES'!K36:L36)</f>
        <v>0</v>
      </c>
      <c r="X36" s="361">
        <f>'G-3 COST OF SERVICE'!I33-SUM('Functionalization RES'!M36:R36)</f>
        <v>0</v>
      </c>
    </row>
    <row r="37" spans="1:24">
      <c r="A37" s="440"/>
      <c r="C37" s="641"/>
      <c r="D37" s="641" t="s">
        <v>466</v>
      </c>
      <c r="E37" s="641"/>
      <c r="F37" s="641"/>
      <c r="G37" s="654"/>
      <c r="H37" s="653"/>
      <c r="I37" s="653"/>
      <c r="J37" s="653"/>
      <c r="K37" s="653"/>
      <c r="L37" s="653"/>
      <c r="M37" s="653"/>
      <c r="N37" s="653"/>
      <c r="O37" s="653"/>
      <c r="P37" s="653"/>
      <c r="Q37" s="653"/>
      <c r="R37" s="653"/>
      <c r="T37" s="456"/>
      <c r="V37" s="361"/>
      <c r="W37" s="361"/>
      <c r="X37" s="361"/>
    </row>
    <row r="38" spans="1:24">
      <c r="A38" s="374"/>
      <c r="B38" s="377" t="s">
        <v>260</v>
      </c>
      <c r="C38" s="640"/>
      <c r="D38" s="640"/>
      <c r="E38" s="640"/>
      <c r="F38" s="640"/>
      <c r="G38" s="654"/>
      <c r="H38" s="653"/>
      <c r="I38" s="653"/>
      <c r="J38" s="653"/>
      <c r="K38" s="653"/>
      <c r="L38" s="653"/>
      <c r="M38" s="653"/>
      <c r="N38" s="653"/>
      <c r="O38" s="653"/>
      <c r="P38" s="653"/>
      <c r="Q38" s="653"/>
      <c r="R38" s="653"/>
      <c r="T38" s="456"/>
      <c r="V38" s="361"/>
      <c r="W38" s="361"/>
      <c r="X38" s="361"/>
    </row>
    <row r="39" spans="1:24">
      <c r="A39" s="386">
        <v>374.1</v>
      </c>
      <c r="B39" s="379" t="s">
        <v>81</v>
      </c>
      <c r="C39" s="653">
        <f t="shared" ref="C39:C50" si="6">SUM(G39:R39)</f>
        <v>-50592.834397521583</v>
      </c>
      <c r="D39" s="653">
        <f>'G-3 COST OF SERVICE'!G36</f>
        <v>-50592.834397521583</v>
      </c>
      <c r="E39" s="653">
        <f>'G-3 COST OF SERVICE'!H36</f>
        <v>0</v>
      </c>
      <c r="F39" s="653">
        <f>'G-3 COST OF SERVICE'!I36</f>
        <v>0</v>
      </c>
      <c r="G39" s="654">
        <f>IF(SUM('Function Allocators'!$D67:$G67)=0,0,($D39*'Function Allocators'!D67/SUM('Function Allocators'!$D67:$G67)))</f>
        <v>0</v>
      </c>
      <c r="H39" s="654">
        <f>IF(SUM('Function Allocators'!$D67:$G67)=0,0,($D39*'Function Allocators'!E67/SUM('Function Allocators'!$D67:$G67)))</f>
        <v>0</v>
      </c>
      <c r="I39" s="654">
        <f>IF(SUM('Function Allocators'!$D67:$G67)=0,0,($D39*'Function Allocators'!F67/SUM('Function Allocators'!$D67:$G67)))</f>
        <v>0</v>
      </c>
      <c r="J39" s="654">
        <f>IF(SUM('Function Allocators'!$D67:$G67)=0,0,($D39*'Function Allocators'!G67/SUM('Function Allocators'!$D67:$G67)))</f>
        <v>-50592.834397521583</v>
      </c>
      <c r="K39" s="653">
        <f>IF(SUM('Function Allocators'!$H67:$I67)=0,0,($E39*'Function Allocators'!H67/SUM('Function Allocators'!$H67:$I67)))</f>
        <v>0</v>
      </c>
      <c r="L39" s="653">
        <f>IF(SUM('Function Allocators'!$H67:$I67)=0,0,($E39*'Function Allocators'!I67/SUM('Function Allocators'!$H67:$I67)))</f>
        <v>0</v>
      </c>
      <c r="M39" s="653">
        <f>IF(SUM('Function Allocators'!$J67:$O67)=0,0,($F39*'Function Allocators'!J67/SUM('Function Allocators'!$J67:$O67)))</f>
        <v>0</v>
      </c>
      <c r="N39" s="653">
        <f>IF(SUM('Function Allocators'!$J67:$O67)=0,0,($F39*'Function Allocators'!K67/SUM('Function Allocators'!$J67:$O67)))</f>
        <v>0</v>
      </c>
      <c r="O39" s="653">
        <f>IF(SUM('Function Allocators'!$J67:$O67)=0,0,($F39*'Function Allocators'!L67/SUM('Function Allocators'!$J67:$O67)))</f>
        <v>0</v>
      </c>
      <c r="P39" s="653">
        <f>IF(SUM('Function Allocators'!$J67:$O67)=0,0,($F39*'Function Allocators'!M67/SUM('Function Allocators'!$J67:$O67)))</f>
        <v>0</v>
      </c>
      <c r="Q39" s="653">
        <f>IF(SUM('Function Allocators'!$J67:$O67)=0,0,($F39*'Function Allocators'!N67/SUM('Function Allocators'!$J67:$O67)))</f>
        <v>0</v>
      </c>
      <c r="R39" s="653">
        <f>IF(SUM('Function Allocators'!$J67:$O67)=0,0,($F39*'Function Allocators'!O67/SUM('Function Allocators'!$J67:$O67)))</f>
        <v>0</v>
      </c>
      <c r="T39" s="360" t="s">
        <v>428</v>
      </c>
      <c r="U39" s="52">
        <f t="shared" ref="U39:U51" si="7">C39-SUM(D39:F39)</f>
        <v>0</v>
      </c>
      <c r="V39" s="361">
        <f>'G-3 COST OF SERVICE'!G36-SUM('Functionalization RES'!G39:J39)</f>
        <v>0</v>
      </c>
      <c r="W39" s="361">
        <f>'G-3 COST OF SERVICE'!H36-SUM('Functionalization RES'!K39:L39)</f>
        <v>0</v>
      </c>
      <c r="X39" s="361">
        <f>'G-3 COST OF SERVICE'!I36-SUM('Functionalization RES'!M39:R39)</f>
        <v>0</v>
      </c>
    </row>
    <row r="40" spans="1:24">
      <c r="A40" s="386">
        <f>+A39+1</f>
        <v>375.1</v>
      </c>
      <c r="B40" s="379" t="s">
        <v>82</v>
      </c>
      <c r="C40" s="653">
        <f t="shared" si="6"/>
        <v>12381.972206648294</v>
      </c>
      <c r="D40" s="653">
        <f>'G-3 COST OF SERVICE'!G37</f>
        <v>12381.972206648294</v>
      </c>
      <c r="E40" s="653">
        <f>'G-3 COST OF SERVICE'!H37</f>
        <v>0</v>
      </c>
      <c r="F40" s="653">
        <f>'G-3 COST OF SERVICE'!I37</f>
        <v>0</v>
      </c>
      <c r="G40" s="654">
        <f>IF(SUM('Function Allocators'!$D68:$G68)=0,0,($D40*'Function Allocators'!D68/SUM('Function Allocators'!$D68:$G68)))</f>
        <v>0</v>
      </c>
      <c r="H40" s="654">
        <f>IF(SUM('Function Allocators'!$D68:$G68)=0,0,($D40*'Function Allocators'!E68/SUM('Function Allocators'!$D68:$G68)))</f>
        <v>0</v>
      </c>
      <c r="I40" s="654">
        <f>IF(SUM('Function Allocators'!$D68:$G68)=0,0,($D40*'Function Allocators'!F68/SUM('Function Allocators'!$D68:$G68)))</f>
        <v>0</v>
      </c>
      <c r="J40" s="654">
        <f>IF(SUM('Function Allocators'!$D68:$G68)=0,0,($D40*'Function Allocators'!G68/SUM('Function Allocators'!$D68:$G68)))</f>
        <v>12381.972206648294</v>
      </c>
      <c r="K40" s="653">
        <f>IF(SUM('Function Allocators'!$H68:$I68)=0,0,($E40*'Function Allocators'!H68/SUM('Function Allocators'!$H68:$I68)))</f>
        <v>0</v>
      </c>
      <c r="L40" s="653">
        <f>IF(SUM('Function Allocators'!$H68:$I68)=0,0,($E40*'Function Allocators'!I68/SUM('Function Allocators'!$H68:$I68)))</f>
        <v>0</v>
      </c>
      <c r="M40" s="653">
        <f>IF(SUM('Function Allocators'!$J68:$O68)=0,0,($F40*'Function Allocators'!J68/SUM('Function Allocators'!$J68:$O68)))</f>
        <v>0</v>
      </c>
      <c r="N40" s="653">
        <f>IF(SUM('Function Allocators'!$J68:$O68)=0,0,($F40*'Function Allocators'!K68/SUM('Function Allocators'!$J68:$O68)))</f>
        <v>0</v>
      </c>
      <c r="O40" s="653">
        <f>IF(SUM('Function Allocators'!$J68:$O68)=0,0,($F40*'Function Allocators'!L68/SUM('Function Allocators'!$J68:$O68)))</f>
        <v>0</v>
      </c>
      <c r="P40" s="653">
        <f>IF(SUM('Function Allocators'!$J68:$O68)=0,0,($F40*'Function Allocators'!M68/SUM('Function Allocators'!$J68:$O68)))</f>
        <v>0</v>
      </c>
      <c r="Q40" s="653">
        <f>IF(SUM('Function Allocators'!$J68:$O68)=0,0,($F40*'Function Allocators'!N68/SUM('Function Allocators'!$J68:$O68)))</f>
        <v>0</v>
      </c>
      <c r="R40" s="653">
        <f>IF(SUM('Function Allocators'!$J68:$O68)=0,0,($F40*'Function Allocators'!O68/SUM('Function Allocators'!$J68:$O68)))</f>
        <v>0</v>
      </c>
      <c r="T40" s="360" t="s">
        <v>428</v>
      </c>
      <c r="U40" s="52">
        <f t="shared" si="7"/>
        <v>0</v>
      </c>
      <c r="V40" s="361">
        <f>'G-3 COST OF SERVICE'!G37-SUM('Functionalization RES'!G40:J40)</f>
        <v>0</v>
      </c>
      <c r="W40" s="361">
        <f>'G-3 COST OF SERVICE'!H37-SUM('Functionalization RES'!K40:L40)</f>
        <v>0</v>
      </c>
      <c r="X40" s="361">
        <f>'G-3 COST OF SERVICE'!I37-SUM('Functionalization RES'!M40:R40)</f>
        <v>0</v>
      </c>
    </row>
    <row r="41" spans="1:24">
      <c r="A41" s="386">
        <f>+A40+1</f>
        <v>376.1</v>
      </c>
      <c r="B41" s="379" t="s">
        <v>83</v>
      </c>
      <c r="C41" s="653">
        <f t="shared" si="6"/>
        <v>75366056.823379308</v>
      </c>
      <c r="D41" s="653">
        <f>'G-3 COST OF SERVICE'!G38</f>
        <v>27040735.924457602</v>
      </c>
      <c r="E41" s="653">
        <f>'G-3 COST OF SERVICE'!H38</f>
        <v>0</v>
      </c>
      <c r="F41" s="653">
        <f>'G-3 COST OF SERVICE'!I38</f>
        <v>48325320.898921713</v>
      </c>
      <c r="G41" s="654">
        <f>IF(SUM('Function Allocators'!$D69:$G69)=0,0,($D41*'Function Allocators'!D69/SUM('Function Allocators'!$D69:$G69)))</f>
        <v>0</v>
      </c>
      <c r="H41" s="654">
        <f>IF(SUM('Function Allocators'!$D69:$G69)=0,0,($D41*'Function Allocators'!E69/SUM('Function Allocators'!$D69:$G69)))</f>
        <v>27040735.924457602</v>
      </c>
      <c r="I41" s="654">
        <f>IF(SUM('Function Allocators'!$D69:$G69)=0,0,($D41*'Function Allocators'!F69/SUM('Function Allocators'!$D69:$G69)))</f>
        <v>0</v>
      </c>
      <c r="J41" s="654">
        <f>IF(SUM('Function Allocators'!$D69:$G69)=0,0,($D41*'Function Allocators'!G69/SUM('Function Allocators'!$D69:$G69)))</f>
        <v>0</v>
      </c>
      <c r="K41" s="653">
        <f>IF(SUM('Function Allocators'!$H69:$I69)=0,0,($E41*'Function Allocators'!H69/SUM('Function Allocators'!$H69:$I69)))</f>
        <v>0</v>
      </c>
      <c r="L41" s="653">
        <f>IF(SUM('Function Allocators'!$H69:$I69)=0,0,($E41*'Function Allocators'!I69/SUM('Function Allocators'!$H69:$I69)))</f>
        <v>0</v>
      </c>
      <c r="M41" s="653">
        <f>IF(SUM('Function Allocators'!$J69:$O69)=0,0,($F41*'Function Allocators'!J69/SUM('Function Allocators'!$J69:$O69)))</f>
        <v>48325320.898921713</v>
      </c>
      <c r="N41" s="653">
        <f>IF(SUM('Function Allocators'!$J69:$O69)=0,0,($F41*'Function Allocators'!K69/SUM('Function Allocators'!$J69:$O69)))</f>
        <v>0</v>
      </c>
      <c r="O41" s="653">
        <f>IF(SUM('Function Allocators'!$J69:$O69)=0,0,($F41*'Function Allocators'!L69/SUM('Function Allocators'!$J69:$O69)))</f>
        <v>0</v>
      </c>
      <c r="P41" s="653">
        <f>IF(SUM('Function Allocators'!$J69:$O69)=0,0,($F41*'Function Allocators'!M69/SUM('Function Allocators'!$J69:$O69)))</f>
        <v>0</v>
      </c>
      <c r="Q41" s="653">
        <f>IF(SUM('Function Allocators'!$J69:$O69)=0,0,($F41*'Function Allocators'!N69/SUM('Function Allocators'!$J69:$O69)))</f>
        <v>0</v>
      </c>
      <c r="R41" s="653">
        <f>IF(SUM('Function Allocators'!$J69:$O69)=0,0,($F41*'Function Allocators'!O69/SUM('Function Allocators'!$J69:$O69)))</f>
        <v>0</v>
      </c>
      <c r="T41" s="456"/>
      <c r="U41" s="52">
        <f t="shared" si="7"/>
        <v>0</v>
      </c>
      <c r="V41" s="361">
        <f>'G-3 COST OF SERVICE'!G38-SUM('Functionalization RES'!G41:J41)</f>
        <v>0</v>
      </c>
      <c r="W41" s="361">
        <f>'G-3 COST OF SERVICE'!H38-SUM('Functionalization RES'!K41:L41)</f>
        <v>0</v>
      </c>
      <c r="X41" s="361">
        <f>'G-3 COST OF SERVICE'!I38-SUM('Functionalization RES'!M41:R41)</f>
        <v>0</v>
      </c>
    </row>
    <row r="42" spans="1:24">
      <c r="A42" s="386">
        <v>378</v>
      </c>
      <c r="B42" s="379" t="s">
        <v>84</v>
      </c>
      <c r="C42" s="653">
        <f t="shared" si="6"/>
        <v>1251532.2842921857</v>
      </c>
      <c r="D42" s="653">
        <f>'G-3 COST OF SERVICE'!G39</f>
        <v>1251532.2842921857</v>
      </c>
      <c r="E42" s="653">
        <f>'G-3 COST OF SERVICE'!H39</f>
        <v>0</v>
      </c>
      <c r="F42" s="653">
        <f>'G-3 COST OF SERVICE'!I39</f>
        <v>0</v>
      </c>
      <c r="G42" s="654">
        <f>IF(SUM('Function Allocators'!$D70:$G70)=0,0,($D42*'Function Allocators'!D70/SUM('Function Allocators'!$D70:$G70)))</f>
        <v>0</v>
      </c>
      <c r="H42" s="654">
        <f>IF(SUM('Function Allocators'!$D70:$G70)=0,0,($D42*'Function Allocators'!E70/SUM('Function Allocators'!$D70:$G70)))</f>
        <v>0</v>
      </c>
      <c r="I42" s="654">
        <f>IF(SUM('Function Allocators'!$D70:$G70)=0,0,($D42*'Function Allocators'!F70/SUM('Function Allocators'!$D70:$G70)))</f>
        <v>1251532.2842921857</v>
      </c>
      <c r="J42" s="654">
        <f>IF(SUM('Function Allocators'!$D70:$G70)=0,0,($D42*'Function Allocators'!G70/SUM('Function Allocators'!$D70:$G70)))</f>
        <v>0</v>
      </c>
      <c r="K42" s="653">
        <f>IF(SUM('Function Allocators'!$H70:$I70)=0,0,($E42*'Function Allocators'!H70/SUM('Function Allocators'!$H70:$I70)))</f>
        <v>0</v>
      </c>
      <c r="L42" s="653">
        <f>IF(SUM('Function Allocators'!$H70:$I70)=0,0,($E42*'Function Allocators'!I70/SUM('Function Allocators'!$H70:$I70)))</f>
        <v>0</v>
      </c>
      <c r="M42" s="653">
        <f>IF(SUM('Function Allocators'!$J70:$O70)=0,0,($F42*'Function Allocators'!J70/SUM('Function Allocators'!$J70:$O70)))</f>
        <v>0</v>
      </c>
      <c r="N42" s="653">
        <f>IF(SUM('Function Allocators'!$J70:$O70)=0,0,($F42*'Function Allocators'!K70/SUM('Function Allocators'!$J70:$O70)))</f>
        <v>0</v>
      </c>
      <c r="O42" s="653">
        <f>IF(SUM('Function Allocators'!$J70:$O70)=0,0,($F42*'Function Allocators'!L70/SUM('Function Allocators'!$J70:$O70)))</f>
        <v>0</v>
      </c>
      <c r="P42" s="653">
        <f>IF(SUM('Function Allocators'!$J70:$O70)=0,0,($F42*'Function Allocators'!M70/SUM('Function Allocators'!$J70:$O70)))</f>
        <v>0</v>
      </c>
      <c r="Q42" s="653">
        <f>IF(SUM('Function Allocators'!$J70:$O70)=0,0,($F42*'Function Allocators'!N70/SUM('Function Allocators'!$J70:$O70)))</f>
        <v>0</v>
      </c>
      <c r="R42" s="653">
        <f>IF(SUM('Function Allocators'!$J70:$O70)=0,0,($F42*'Function Allocators'!O70/SUM('Function Allocators'!$J70:$O70)))</f>
        <v>0</v>
      </c>
      <c r="T42" s="456"/>
      <c r="U42" s="52">
        <f t="shared" si="7"/>
        <v>0</v>
      </c>
      <c r="V42" s="361">
        <f>'G-3 COST OF SERVICE'!G39-SUM('Functionalization RES'!G42:J42)</f>
        <v>0</v>
      </c>
      <c r="W42" s="361">
        <f>'G-3 COST OF SERVICE'!H39-SUM('Functionalization RES'!K42:L42)</f>
        <v>0</v>
      </c>
      <c r="X42" s="361">
        <f>'G-3 COST OF SERVICE'!I39-SUM('Functionalization RES'!M42:R42)</f>
        <v>0</v>
      </c>
    </row>
    <row r="43" spans="1:24">
      <c r="A43" s="386">
        <f t="shared" ref="A43:A48" si="8">+A42+1</f>
        <v>379</v>
      </c>
      <c r="B43" s="379" t="s">
        <v>85</v>
      </c>
      <c r="C43" s="653">
        <f t="shared" si="6"/>
        <v>822496.54599412112</v>
      </c>
      <c r="D43" s="653">
        <f>'G-3 COST OF SERVICE'!G40</f>
        <v>822496.54599412112</v>
      </c>
      <c r="E43" s="653">
        <f>'G-3 COST OF SERVICE'!H40</f>
        <v>0</v>
      </c>
      <c r="F43" s="653">
        <f>'G-3 COST OF SERVICE'!I40</f>
        <v>0</v>
      </c>
      <c r="G43" s="654">
        <f>IF(SUM('Function Allocators'!$D71:$G71)=0,0,($D43*'Function Allocators'!D71/SUM('Function Allocators'!$D71:$G71)))</f>
        <v>0</v>
      </c>
      <c r="H43" s="654">
        <f>IF(SUM('Function Allocators'!$D71:$G71)=0,0,($D43*'Function Allocators'!E71/SUM('Function Allocators'!$D71:$G71)))</f>
        <v>0</v>
      </c>
      <c r="I43" s="654">
        <f>IF(SUM('Function Allocators'!$D71:$G71)=0,0,($D43*'Function Allocators'!F71/SUM('Function Allocators'!$D71:$G71)))</f>
        <v>822496.54599412112</v>
      </c>
      <c r="J43" s="654">
        <f>IF(SUM('Function Allocators'!$D71:$G71)=0,0,($D43*'Function Allocators'!G71/SUM('Function Allocators'!$D71:$G71)))</f>
        <v>0</v>
      </c>
      <c r="K43" s="653">
        <f>IF(SUM('Function Allocators'!$H71:$I71)=0,0,($E43*'Function Allocators'!H71/SUM('Function Allocators'!$H71:$I71)))</f>
        <v>0</v>
      </c>
      <c r="L43" s="653">
        <f>IF(SUM('Function Allocators'!$H71:$I71)=0,0,($E43*'Function Allocators'!I71/SUM('Function Allocators'!$H71:$I71)))</f>
        <v>0</v>
      </c>
      <c r="M43" s="653">
        <f>IF(SUM('Function Allocators'!$J71:$O71)=0,0,($F43*'Function Allocators'!J71/SUM('Function Allocators'!$J71:$O71)))</f>
        <v>0</v>
      </c>
      <c r="N43" s="653">
        <f>IF(SUM('Function Allocators'!$J71:$O71)=0,0,($F43*'Function Allocators'!K71/SUM('Function Allocators'!$J71:$O71)))</f>
        <v>0</v>
      </c>
      <c r="O43" s="653">
        <f>IF(SUM('Function Allocators'!$J71:$O71)=0,0,($F43*'Function Allocators'!L71/SUM('Function Allocators'!$J71:$O71)))</f>
        <v>0</v>
      </c>
      <c r="P43" s="653">
        <f>IF(SUM('Function Allocators'!$J71:$O71)=0,0,($F43*'Function Allocators'!M71/SUM('Function Allocators'!$J71:$O71)))</f>
        <v>0</v>
      </c>
      <c r="Q43" s="653">
        <f>IF(SUM('Function Allocators'!$J71:$O71)=0,0,($F43*'Function Allocators'!N71/SUM('Function Allocators'!$J71:$O71)))</f>
        <v>0</v>
      </c>
      <c r="R43" s="653">
        <f>IF(SUM('Function Allocators'!$J71:$O71)=0,0,($F43*'Function Allocators'!O71/SUM('Function Allocators'!$J71:$O71)))</f>
        <v>0</v>
      </c>
      <c r="T43" s="456"/>
      <c r="U43" s="52">
        <f t="shared" si="7"/>
        <v>0</v>
      </c>
      <c r="V43" s="361">
        <f>'G-3 COST OF SERVICE'!G40-SUM('Functionalization RES'!G43:J43)</f>
        <v>0</v>
      </c>
      <c r="W43" s="361">
        <f>'G-3 COST OF SERVICE'!H40-SUM('Functionalization RES'!K43:L43)</f>
        <v>0</v>
      </c>
      <c r="X43" s="361">
        <f>'G-3 COST OF SERVICE'!I40-SUM('Functionalization RES'!M43:R43)</f>
        <v>0</v>
      </c>
    </row>
    <row r="44" spans="1:24">
      <c r="A44" s="386">
        <f t="shared" si="8"/>
        <v>380</v>
      </c>
      <c r="B44" s="379" t="s">
        <v>86</v>
      </c>
      <c r="C44" s="653">
        <f t="shared" si="6"/>
        <v>68366171.017132208</v>
      </c>
      <c r="D44" s="653">
        <f>'G-3 COST OF SERVICE'!G41</f>
        <v>0</v>
      </c>
      <c r="E44" s="653">
        <f>'G-3 COST OF SERVICE'!H41</f>
        <v>0</v>
      </c>
      <c r="F44" s="653">
        <f>'G-3 COST OF SERVICE'!I41</f>
        <v>68366171.017132208</v>
      </c>
      <c r="G44" s="654">
        <f>IF(SUM('Function Allocators'!$D72:$G72)=0,0,($D44*'Function Allocators'!D72/SUM('Function Allocators'!$D72:$G72)))</f>
        <v>0</v>
      </c>
      <c r="H44" s="654">
        <f>IF(SUM('Function Allocators'!$D72:$G72)=0,0,($D44*'Function Allocators'!E72/SUM('Function Allocators'!$D72:$G72)))</f>
        <v>0</v>
      </c>
      <c r="I44" s="654">
        <f>IF(SUM('Function Allocators'!$D72:$G72)=0,0,($D44*'Function Allocators'!F72/SUM('Function Allocators'!$D72:$G72)))</f>
        <v>0</v>
      </c>
      <c r="J44" s="654">
        <f>IF(SUM('Function Allocators'!$D72:$G72)=0,0,($D44*'Function Allocators'!G72/SUM('Function Allocators'!$D72:$G72)))</f>
        <v>0</v>
      </c>
      <c r="K44" s="653">
        <f>IF(SUM('Function Allocators'!$H72:$I72)=0,0,($E44*'Function Allocators'!H72/SUM('Function Allocators'!$H72:$I72)))</f>
        <v>0</v>
      </c>
      <c r="L44" s="653">
        <f>IF(SUM('Function Allocators'!$H72:$I72)=0,0,($E44*'Function Allocators'!I72/SUM('Function Allocators'!$H72:$I72)))</f>
        <v>0</v>
      </c>
      <c r="M44" s="653">
        <f>IF(SUM('Function Allocators'!$J72:$O72)=0,0,($F44*'Function Allocators'!J72/SUM('Function Allocators'!$J72:$O72)))</f>
        <v>68366171.017132208</v>
      </c>
      <c r="N44" s="653">
        <f>IF(SUM('Function Allocators'!$J72:$O72)=0,0,($F44*'Function Allocators'!K72/SUM('Function Allocators'!$J72:$O72)))</f>
        <v>0</v>
      </c>
      <c r="O44" s="653">
        <f>IF(SUM('Function Allocators'!$J72:$O72)=0,0,($F44*'Function Allocators'!L72/SUM('Function Allocators'!$J72:$O72)))</f>
        <v>0</v>
      </c>
      <c r="P44" s="653">
        <f>IF(SUM('Function Allocators'!$J72:$O72)=0,0,($F44*'Function Allocators'!M72/SUM('Function Allocators'!$J72:$O72)))</f>
        <v>0</v>
      </c>
      <c r="Q44" s="653">
        <f>IF(SUM('Function Allocators'!$J72:$O72)=0,0,($F44*'Function Allocators'!N72/SUM('Function Allocators'!$J72:$O72)))</f>
        <v>0</v>
      </c>
      <c r="R44" s="653">
        <f>IF(SUM('Function Allocators'!$J72:$O72)=0,0,($F44*'Function Allocators'!O72/SUM('Function Allocators'!$J72:$O72)))</f>
        <v>0</v>
      </c>
      <c r="T44" s="456"/>
      <c r="U44" s="52">
        <f t="shared" si="7"/>
        <v>0</v>
      </c>
      <c r="V44" s="361">
        <f>'G-3 COST OF SERVICE'!G41-SUM('Functionalization RES'!G44:J44)</f>
        <v>0</v>
      </c>
      <c r="W44" s="361">
        <f>'G-3 COST OF SERVICE'!H41-SUM('Functionalization RES'!K44:L44)</f>
        <v>0</v>
      </c>
      <c r="X44" s="361">
        <f>'G-3 COST OF SERVICE'!I41-SUM('Functionalization RES'!M44:R44)</f>
        <v>0</v>
      </c>
    </row>
    <row r="45" spans="1:24">
      <c r="A45" s="386">
        <f t="shared" si="8"/>
        <v>381</v>
      </c>
      <c r="B45" s="379" t="s">
        <v>88</v>
      </c>
      <c r="C45" s="653">
        <f t="shared" si="6"/>
        <v>6283705.2918195333</v>
      </c>
      <c r="D45" s="653">
        <f>'G-3 COST OF SERVICE'!G42</f>
        <v>0</v>
      </c>
      <c r="E45" s="653">
        <f>'G-3 COST OF SERVICE'!H42</f>
        <v>0</v>
      </c>
      <c r="F45" s="653">
        <f>'G-3 COST OF SERVICE'!I42</f>
        <v>6283705.2918195333</v>
      </c>
      <c r="G45" s="654">
        <f>IF(SUM('Function Allocators'!$D73:$G73)=0,0,($D45*'Function Allocators'!D73/SUM('Function Allocators'!$D73:$G73)))</f>
        <v>0</v>
      </c>
      <c r="H45" s="654">
        <f>IF(SUM('Function Allocators'!$D73:$G73)=0,0,($D45*'Function Allocators'!E73/SUM('Function Allocators'!$D73:$G73)))</f>
        <v>0</v>
      </c>
      <c r="I45" s="654">
        <f>IF(SUM('Function Allocators'!$D73:$G73)=0,0,($D45*'Function Allocators'!F73/SUM('Function Allocators'!$D73:$G73)))</f>
        <v>0</v>
      </c>
      <c r="J45" s="654">
        <f>IF(SUM('Function Allocators'!$D73:$G73)=0,0,($D45*'Function Allocators'!G73/SUM('Function Allocators'!$D73:$G73)))</f>
        <v>0</v>
      </c>
      <c r="K45" s="653">
        <f>IF(SUM('Function Allocators'!$H73:$I73)=0,0,($E45*'Function Allocators'!H73/SUM('Function Allocators'!$H73:$I73)))</f>
        <v>0</v>
      </c>
      <c r="L45" s="653">
        <f>IF(SUM('Function Allocators'!$H73:$I73)=0,0,($E45*'Function Allocators'!I73/SUM('Function Allocators'!$H73:$I73)))</f>
        <v>0</v>
      </c>
      <c r="M45" s="653">
        <f>IF(SUM('Function Allocators'!$J73:$O73)=0,0,($F45*'Function Allocators'!J73/SUM('Function Allocators'!$J73:$O73)))</f>
        <v>0</v>
      </c>
      <c r="N45" s="653">
        <f>IF(SUM('Function Allocators'!$J73:$O73)=0,0,($F45*'Function Allocators'!K73/SUM('Function Allocators'!$J73:$O73)))</f>
        <v>6283705.2918195333</v>
      </c>
      <c r="O45" s="653">
        <f>IF(SUM('Function Allocators'!$J73:$O73)=0,0,($F45*'Function Allocators'!L73/SUM('Function Allocators'!$J73:$O73)))</f>
        <v>0</v>
      </c>
      <c r="P45" s="653">
        <f>IF(SUM('Function Allocators'!$J73:$O73)=0,0,($F45*'Function Allocators'!M73/SUM('Function Allocators'!$J73:$O73)))</f>
        <v>0</v>
      </c>
      <c r="Q45" s="653">
        <f>IF(SUM('Function Allocators'!$J73:$O73)=0,0,($F45*'Function Allocators'!N73/SUM('Function Allocators'!$J73:$O73)))</f>
        <v>0</v>
      </c>
      <c r="R45" s="653">
        <f>IF(SUM('Function Allocators'!$J73:$O73)=0,0,($F45*'Function Allocators'!O73/SUM('Function Allocators'!$J73:$O73)))</f>
        <v>0</v>
      </c>
      <c r="T45" s="456"/>
      <c r="U45" s="52">
        <f t="shared" si="7"/>
        <v>0</v>
      </c>
      <c r="V45" s="361">
        <f>'G-3 COST OF SERVICE'!G42-SUM('Functionalization RES'!G45:J45)</f>
        <v>0</v>
      </c>
      <c r="W45" s="361">
        <f>'G-3 COST OF SERVICE'!H42-SUM('Functionalization RES'!K45:L45)</f>
        <v>0</v>
      </c>
      <c r="X45" s="361">
        <f>'G-3 COST OF SERVICE'!I42-SUM('Functionalization RES'!M45:R45)</f>
        <v>0</v>
      </c>
    </row>
    <row r="46" spans="1:24">
      <c r="A46" s="386">
        <f t="shared" si="8"/>
        <v>382</v>
      </c>
      <c r="B46" s="379" t="s">
        <v>90</v>
      </c>
      <c r="C46" s="653">
        <f t="shared" si="6"/>
        <v>2030084.7759444925</v>
      </c>
      <c r="D46" s="653">
        <f>'G-3 COST OF SERVICE'!G43</f>
        <v>0</v>
      </c>
      <c r="E46" s="653">
        <f>'G-3 COST OF SERVICE'!H43</f>
        <v>0</v>
      </c>
      <c r="F46" s="653">
        <f>'G-3 COST OF SERVICE'!I43</f>
        <v>2030084.7759444925</v>
      </c>
      <c r="G46" s="654">
        <f>IF(SUM('Function Allocators'!$D74:$G74)=0,0,($D46*'Function Allocators'!D74/SUM('Function Allocators'!$D74:$G74)))</f>
        <v>0</v>
      </c>
      <c r="H46" s="654">
        <f>IF(SUM('Function Allocators'!$D74:$G74)=0,0,($D46*'Function Allocators'!E74/SUM('Function Allocators'!$D74:$G74)))</f>
        <v>0</v>
      </c>
      <c r="I46" s="654">
        <f>IF(SUM('Function Allocators'!$D74:$G74)=0,0,($D46*'Function Allocators'!F74/SUM('Function Allocators'!$D74:$G74)))</f>
        <v>0</v>
      </c>
      <c r="J46" s="654">
        <f>IF(SUM('Function Allocators'!$D74:$G74)=0,0,($D46*'Function Allocators'!G74/SUM('Function Allocators'!$D74:$G74)))</f>
        <v>0</v>
      </c>
      <c r="K46" s="653">
        <f>IF(SUM('Function Allocators'!$H74:$I74)=0,0,($E46*'Function Allocators'!H74/SUM('Function Allocators'!$H74:$I74)))</f>
        <v>0</v>
      </c>
      <c r="L46" s="653">
        <f>IF(SUM('Function Allocators'!$H74:$I74)=0,0,($E46*'Function Allocators'!I74/SUM('Function Allocators'!$H74:$I74)))</f>
        <v>0</v>
      </c>
      <c r="M46" s="653">
        <f>IF(SUM('Function Allocators'!$J74:$O74)=0,0,($F46*'Function Allocators'!J74/SUM('Function Allocators'!$J74:$O74)))</f>
        <v>0</v>
      </c>
      <c r="N46" s="653">
        <f>IF(SUM('Function Allocators'!$J74:$O74)=0,0,($F46*'Function Allocators'!K74/SUM('Function Allocators'!$J74:$O74)))</f>
        <v>2030084.7759444925</v>
      </c>
      <c r="O46" s="653">
        <f>IF(SUM('Function Allocators'!$J74:$O74)=0,0,($F46*'Function Allocators'!L74/SUM('Function Allocators'!$J74:$O74)))</f>
        <v>0</v>
      </c>
      <c r="P46" s="653">
        <f>IF(SUM('Function Allocators'!$J74:$O74)=0,0,($F46*'Function Allocators'!M74/SUM('Function Allocators'!$J74:$O74)))</f>
        <v>0</v>
      </c>
      <c r="Q46" s="653">
        <f>IF(SUM('Function Allocators'!$J74:$O74)=0,0,($F46*'Function Allocators'!N74/SUM('Function Allocators'!$J74:$O74)))</f>
        <v>0</v>
      </c>
      <c r="R46" s="653">
        <f>IF(SUM('Function Allocators'!$J74:$O74)=0,0,($F46*'Function Allocators'!O74/SUM('Function Allocators'!$J74:$O74)))</f>
        <v>0</v>
      </c>
      <c r="T46" s="456"/>
      <c r="U46" s="52">
        <f t="shared" si="7"/>
        <v>0</v>
      </c>
      <c r="V46" s="361">
        <f>'G-3 COST OF SERVICE'!G43-SUM('Functionalization RES'!G46:J46)</f>
        <v>0</v>
      </c>
      <c r="W46" s="361">
        <f>'G-3 COST OF SERVICE'!H43-SUM('Functionalization RES'!K46:L46)</f>
        <v>0</v>
      </c>
      <c r="X46" s="361">
        <f>'G-3 COST OF SERVICE'!I43-SUM('Functionalization RES'!M46:R46)</f>
        <v>0</v>
      </c>
    </row>
    <row r="47" spans="1:24">
      <c r="A47" s="386">
        <f t="shared" si="8"/>
        <v>383</v>
      </c>
      <c r="B47" s="379" t="s">
        <v>92</v>
      </c>
      <c r="C47" s="653">
        <f t="shared" si="6"/>
        <v>2375980.5719328742</v>
      </c>
      <c r="D47" s="653">
        <f>'G-3 COST OF SERVICE'!G44</f>
        <v>0</v>
      </c>
      <c r="E47" s="653">
        <f>'G-3 COST OF SERVICE'!H44</f>
        <v>0</v>
      </c>
      <c r="F47" s="653">
        <f>'G-3 COST OF SERVICE'!I44</f>
        <v>2375980.5719328742</v>
      </c>
      <c r="G47" s="654">
        <f>IF(SUM('Function Allocators'!$D75:$G75)=0,0,($D47*'Function Allocators'!D75/SUM('Function Allocators'!$D75:$G75)))</f>
        <v>0</v>
      </c>
      <c r="H47" s="654">
        <f>IF(SUM('Function Allocators'!$D75:$G75)=0,0,($D47*'Function Allocators'!E75/SUM('Function Allocators'!$D75:$G75)))</f>
        <v>0</v>
      </c>
      <c r="I47" s="654">
        <f>IF(SUM('Function Allocators'!$D75:$G75)=0,0,($D47*'Function Allocators'!F75/SUM('Function Allocators'!$D75:$G75)))</f>
        <v>0</v>
      </c>
      <c r="J47" s="654">
        <f>IF(SUM('Function Allocators'!$D75:$G75)=0,0,($D47*'Function Allocators'!G75/SUM('Function Allocators'!$D75:$G75)))</f>
        <v>0</v>
      </c>
      <c r="K47" s="653">
        <f>IF(SUM('Function Allocators'!$H75:$I75)=0,0,($E47*'Function Allocators'!H75/SUM('Function Allocators'!$H75:$I75)))</f>
        <v>0</v>
      </c>
      <c r="L47" s="653">
        <f>IF(SUM('Function Allocators'!$H75:$I75)=0,0,($E47*'Function Allocators'!I75/SUM('Function Allocators'!$H75:$I75)))</f>
        <v>0</v>
      </c>
      <c r="M47" s="653">
        <f>IF(SUM('Function Allocators'!$J75:$O75)=0,0,($F47*'Function Allocators'!J75/SUM('Function Allocators'!$J75:$O75)))</f>
        <v>0</v>
      </c>
      <c r="N47" s="653">
        <f>IF(SUM('Function Allocators'!$J75:$O75)=0,0,($F47*'Function Allocators'!K75/SUM('Function Allocators'!$J75:$O75)))</f>
        <v>0</v>
      </c>
      <c r="O47" s="653">
        <f>IF(SUM('Function Allocators'!$J75:$O75)=0,0,($F47*'Function Allocators'!L75/SUM('Function Allocators'!$J75:$O75)))</f>
        <v>2375980.5719328742</v>
      </c>
      <c r="P47" s="653">
        <f>IF(SUM('Function Allocators'!$J75:$O75)=0,0,($F47*'Function Allocators'!M75/SUM('Function Allocators'!$J75:$O75)))</f>
        <v>0</v>
      </c>
      <c r="Q47" s="653">
        <f>IF(SUM('Function Allocators'!$J75:$O75)=0,0,($F47*'Function Allocators'!N75/SUM('Function Allocators'!$J75:$O75)))</f>
        <v>0</v>
      </c>
      <c r="R47" s="653">
        <f>IF(SUM('Function Allocators'!$J75:$O75)=0,0,($F47*'Function Allocators'!O75/SUM('Function Allocators'!$J75:$O75)))</f>
        <v>0</v>
      </c>
      <c r="T47" s="456"/>
      <c r="U47" s="52">
        <f t="shared" si="7"/>
        <v>0</v>
      </c>
      <c r="V47" s="361">
        <f>'G-3 COST OF SERVICE'!G44-SUM('Functionalization RES'!G47:J47)</f>
        <v>0</v>
      </c>
      <c r="W47" s="361">
        <f>'G-3 COST OF SERVICE'!H44-SUM('Functionalization RES'!K47:L47)</f>
        <v>0</v>
      </c>
      <c r="X47" s="361">
        <f>'G-3 COST OF SERVICE'!I44-SUM('Functionalization RES'!M47:R47)</f>
        <v>0</v>
      </c>
    </row>
    <row r="48" spans="1:24">
      <c r="A48" s="386">
        <f t="shared" si="8"/>
        <v>384</v>
      </c>
      <c r="B48" s="379" t="s">
        <v>109</v>
      </c>
      <c r="C48" s="653">
        <f t="shared" si="6"/>
        <v>1476766.4589698638</v>
      </c>
      <c r="D48" s="653">
        <f>'G-3 COST OF SERVICE'!G45</f>
        <v>0</v>
      </c>
      <c r="E48" s="653">
        <f>'G-3 COST OF SERVICE'!H45</f>
        <v>0</v>
      </c>
      <c r="F48" s="653">
        <f>'G-3 COST OF SERVICE'!I45</f>
        <v>1476766.4589698638</v>
      </c>
      <c r="G48" s="654">
        <f>IF(SUM('Function Allocators'!$D76:$G76)=0,0,($D48*'Function Allocators'!D76/SUM('Function Allocators'!$D76:$G76)))</f>
        <v>0</v>
      </c>
      <c r="H48" s="654">
        <f>IF(SUM('Function Allocators'!$D76:$G76)=0,0,($D48*'Function Allocators'!E76/SUM('Function Allocators'!$D76:$G76)))</f>
        <v>0</v>
      </c>
      <c r="I48" s="654">
        <f>IF(SUM('Function Allocators'!$D76:$G76)=0,0,($D48*'Function Allocators'!F76/SUM('Function Allocators'!$D76:$G76)))</f>
        <v>0</v>
      </c>
      <c r="J48" s="654">
        <f>IF(SUM('Function Allocators'!$D76:$G76)=0,0,($D48*'Function Allocators'!G76/SUM('Function Allocators'!$D76:$G76)))</f>
        <v>0</v>
      </c>
      <c r="K48" s="653">
        <f>IF(SUM('Function Allocators'!$H76:$I76)=0,0,($E48*'Function Allocators'!H76/SUM('Function Allocators'!$H76:$I76)))</f>
        <v>0</v>
      </c>
      <c r="L48" s="653">
        <f>IF(SUM('Function Allocators'!$H76:$I76)=0,0,($E48*'Function Allocators'!I76/SUM('Function Allocators'!$H76:$I76)))</f>
        <v>0</v>
      </c>
      <c r="M48" s="653">
        <f>IF(SUM('Function Allocators'!$J76:$O76)=0,0,($F48*'Function Allocators'!J76/SUM('Function Allocators'!$J76:$O76)))</f>
        <v>0</v>
      </c>
      <c r="N48" s="653">
        <f>IF(SUM('Function Allocators'!$J76:$O76)=0,0,($F48*'Function Allocators'!K76/SUM('Function Allocators'!$J76:$O76)))</f>
        <v>0</v>
      </c>
      <c r="O48" s="653">
        <f>IF(SUM('Function Allocators'!$J76:$O76)=0,0,($F48*'Function Allocators'!L76/SUM('Function Allocators'!$J76:$O76)))</f>
        <v>1476766.4589698638</v>
      </c>
      <c r="P48" s="653">
        <f>IF(SUM('Function Allocators'!$J76:$O76)=0,0,($F48*'Function Allocators'!M76/SUM('Function Allocators'!$J76:$O76)))</f>
        <v>0</v>
      </c>
      <c r="Q48" s="653">
        <f>IF(SUM('Function Allocators'!$J76:$O76)=0,0,($F48*'Function Allocators'!N76/SUM('Function Allocators'!$J76:$O76)))</f>
        <v>0</v>
      </c>
      <c r="R48" s="653">
        <f>IF(SUM('Function Allocators'!$J76:$O76)=0,0,($F48*'Function Allocators'!O76/SUM('Function Allocators'!$J76:$O76)))</f>
        <v>0</v>
      </c>
      <c r="T48" s="456"/>
      <c r="U48" s="52">
        <f t="shared" si="7"/>
        <v>0</v>
      </c>
      <c r="V48" s="361">
        <f>'G-3 COST OF SERVICE'!G45-SUM('Functionalization RES'!G48:J48)</f>
        <v>0</v>
      </c>
      <c r="W48" s="361">
        <f>'G-3 COST OF SERVICE'!H45-SUM('Functionalization RES'!K48:L48)</f>
        <v>0</v>
      </c>
      <c r="X48" s="361">
        <f>'G-3 COST OF SERVICE'!I45-SUM('Functionalization RES'!M48:R48)</f>
        <v>0</v>
      </c>
    </row>
    <row r="49" spans="1:24">
      <c r="A49" s="386">
        <v>385</v>
      </c>
      <c r="B49" s="379" t="s">
        <v>96</v>
      </c>
      <c r="C49" s="653">
        <f t="shared" si="6"/>
        <v>0</v>
      </c>
      <c r="D49" s="653">
        <f>'G-3 COST OF SERVICE'!G46</f>
        <v>0</v>
      </c>
      <c r="E49" s="653">
        <f>'G-3 COST OF SERVICE'!H46</f>
        <v>0</v>
      </c>
      <c r="F49" s="653">
        <f>'G-3 COST OF SERVICE'!I46</f>
        <v>0</v>
      </c>
      <c r="G49" s="654">
        <f>IF(SUM('Function Allocators'!$D77:$G77)=0,0,($D49*'Function Allocators'!D77/SUM('Function Allocators'!$D77:$G77)))</f>
        <v>0</v>
      </c>
      <c r="H49" s="654">
        <f>IF(SUM('Function Allocators'!$D77:$G77)=0,0,($D49*'Function Allocators'!E77/SUM('Function Allocators'!$D77:$G77)))</f>
        <v>0</v>
      </c>
      <c r="I49" s="654">
        <f>IF(SUM('Function Allocators'!$D77:$G77)=0,0,($D49*'Function Allocators'!F77/SUM('Function Allocators'!$D77:$G77)))</f>
        <v>0</v>
      </c>
      <c r="J49" s="654">
        <f>IF(SUM('Function Allocators'!$D77:$G77)=0,0,($D49*'Function Allocators'!G77/SUM('Function Allocators'!$D77:$G77)))</f>
        <v>0</v>
      </c>
      <c r="K49" s="653">
        <f>IF(SUM('Function Allocators'!$H77:$I77)=0,0,($E49*'Function Allocators'!H77/SUM('Function Allocators'!$H77:$I77)))</f>
        <v>0</v>
      </c>
      <c r="L49" s="653">
        <f>IF(SUM('Function Allocators'!$H77:$I77)=0,0,($E49*'Function Allocators'!I77/SUM('Function Allocators'!$H77:$I77)))</f>
        <v>0</v>
      </c>
      <c r="M49" s="653">
        <f>IF(SUM('Function Allocators'!$J77:$O77)=0,0,($F49*'Function Allocators'!J77/SUM('Function Allocators'!$J77:$O77)))</f>
        <v>0</v>
      </c>
      <c r="N49" s="653">
        <f>IF(SUM('Function Allocators'!$J77:$O77)=0,0,($F49*'Function Allocators'!K77/SUM('Function Allocators'!$J77:$O77)))</f>
        <v>0</v>
      </c>
      <c r="O49" s="653">
        <f>IF(SUM('Function Allocators'!$J77:$O77)=0,0,($F49*'Function Allocators'!L77/SUM('Function Allocators'!$J77:$O77)))</f>
        <v>0</v>
      </c>
      <c r="P49" s="653">
        <f>IF(SUM('Function Allocators'!$J77:$O77)=0,0,($F49*'Function Allocators'!M77/SUM('Function Allocators'!$J77:$O77)))</f>
        <v>0</v>
      </c>
      <c r="Q49" s="653">
        <f>IF(SUM('Function Allocators'!$J77:$O77)=0,0,($F49*'Function Allocators'!N77/SUM('Function Allocators'!$J77:$O77)))</f>
        <v>0</v>
      </c>
      <c r="R49" s="653">
        <f>IF(SUM('Function Allocators'!$J77:$O77)=0,0,($F49*'Function Allocators'!O77/SUM('Function Allocators'!$J77:$O77)))</f>
        <v>0</v>
      </c>
      <c r="T49" s="456" t="s">
        <v>462</v>
      </c>
      <c r="U49" s="52">
        <f t="shared" si="7"/>
        <v>0</v>
      </c>
      <c r="V49" s="361">
        <f>'G-3 COST OF SERVICE'!G46-SUM('Functionalization RES'!G49:J49)</f>
        <v>0</v>
      </c>
      <c r="W49" s="361">
        <f>'G-3 COST OF SERVICE'!H46-SUM('Functionalization RES'!K49:L49)</f>
        <v>0</v>
      </c>
      <c r="X49" s="361">
        <f>'G-3 COST OF SERVICE'!I46-SUM('Functionalization RES'!M49:R49)</f>
        <v>0</v>
      </c>
    </row>
    <row r="50" spans="1:24">
      <c r="A50" s="386">
        <v>387</v>
      </c>
      <c r="B50" s="379" t="s">
        <v>98</v>
      </c>
      <c r="C50" s="653">
        <f t="shared" si="6"/>
        <v>790865.0701897213</v>
      </c>
      <c r="D50" s="653">
        <f>'G-3 COST OF SERVICE'!G47</f>
        <v>790865.0701897213</v>
      </c>
      <c r="E50" s="653">
        <f>'G-3 COST OF SERVICE'!H47</f>
        <v>0</v>
      </c>
      <c r="F50" s="653">
        <f>'G-3 COST OF SERVICE'!I47</f>
        <v>0</v>
      </c>
      <c r="G50" s="654">
        <f>IF(SUM('Function Allocators'!$D78:$G78)=0,0,($D50*'Function Allocators'!D78/SUM('Function Allocators'!$D78:$G78)))</f>
        <v>0</v>
      </c>
      <c r="H50" s="654">
        <f>IF(SUM('Function Allocators'!$D78:$G78)=0,0,($D50*'Function Allocators'!E78/SUM('Function Allocators'!$D78:$G78)))</f>
        <v>0</v>
      </c>
      <c r="I50" s="654">
        <f>IF(SUM('Function Allocators'!$D78:$G78)=0,0,($D50*'Function Allocators'!F78/SUM('Function Allocators'!$D78:$G78)))</f>
        <v>0</v>
      </c>
      <c r="J50" s="654">
        <f>IF(SUM('Function Allocators'!$D78:$G78)=0,0,($D50*'Function Allocators'!G78/SUM('Function Allocators'!$D78:$G78)))</f>
        <v>790865.0701897213</v>
      </c>
      <c r="K50" s="653">
        <f>IF(SUM('Function Allocators'!$H78:$I78)=0,0,($E50*'Function Allocators'!H78/SUM('Function Allocators'!$H78:$I78)))</f>
        <v>0</v>
      </c>
      <c r="L50" s="653">
        <f>IF(SUM('Function Allocators'!$H78:$I78)=0,0,($E50*'Function Allocators'!I78/SUM('Function Allocators'!$H78:$I78)))</f>
        <v>0</v>
      </c>
      <c r="M50" s="653">
        <f>IF(SUM('Function Allocators'!$J78:$O78)=0,0,($F50*'Function Allocators'!J78/SUM('Function Allocators'!$J78:$O78)))</f>
        <v>0</v>
      </c>
      <c r="N50" s="653">
        <f>IF(SUM('Function Allocators'!$J78:$O78)=0,0,($F50*'Function Allocators'!K78/SUM('Function Allocators'!$J78:$O78)))</f>
        <v>0</v>
      </c>
      <c r="O50" s="653">
        <f>IF(SUM('Function Allocators'!$J78:$O78)=0,0,($F50*'Function Allocators'!L78/SUM('Function Allocators'!$J78:$O78)))</f>
        <v>0</v>
      </c>
      <c r="P50" s="653">
        <f>IF(SUM('Function Allocators'!$J78:$O78)=0,0,($F50*'Function Allocators'!M78/SUM('Function Allocators'!$J78:$O78)))</f>
        <v>0</v>
      </c>
      <c r="Q50" s="653">
        <f>IF(SUM('Function Allocators'!$J78:$O78)=0,0,($F50*'Function Allocators'!N78/SUM('Function Allocators'!$J78:$O78)))</f>
        <v>0</v>
      </c>
      <c r="R50" s="653">
        <f>IF(SUM('Function Allocators'!$J78:$O78)=0,0,($F50*'Function Allocators'!O78/SUM('Function Allocators'!$J78:$O78)))</f>
        <v>0</v>
      </c>
      <c r="T50" s="360" t="s">
        <v>428</v>
      </c>
      <c r="U50" s="52">
        <f t="shared" si="7"/>
        <v>0</v>
      </c>
      <c r="V50" s="361">
        <f>'G-3 COST OF SERVICE'!G47-SUM('Functionalization RES'!G50:J50)</f>
        <v>0</v>
      </c>
      <c r="W50" s="361">
        <f>'G-3 COST OF SERVICE'!H47-SUM('Functionalization RES'!K50:L50)</f>
        <v>0</v>
      </c>
      <c r="X50" s="361">
        <f>'G-3 COST OF SERVICE'!I47-SUM('Functionalization RES'!M50:R50)</f>
        <v>0</v>
      </c>
    </row>
    <row r="51" spans="1:24">
      <c r="A51" s="374"/>
      <c r="B51" s="377" t="s">
        <v>100</v>
      </c>
      <c r="C51" s="655">
        <f t="shared" ref="C51:R51" si="9">SUM(C39:C50)</f>
        <v>158725447.97746345</v>
      </c>
      <c r="D51" s="655">
        <f t="shared" si="9"/>
        <v>29867418.962742757</v>
      </c>
      <c r="E51" s="655">
        <f t="shared" si="9"/>
        <v>0</v>
      </c>
      <c r="F51" s="655">
        <f t="shared" si="9"/>
        <v>128858029.01472066</v>
      </c>
      <c r="G51" s="655">
        <f t="shared" si="9"/>
        <v>0</v>
      </c>
      <c r="H51" s="655">
        <f t="shared" si="9"/>
        <v>27040735.924457602</v>
      </c>
      <c r="I51" s="655">
        <f t="shared" si="9"/>
        <v>2074028.8302863068</v>
      </c>
      <c r="J51" s="655">
        <f t="shared" si="9"/>
        <v>752654.20799884805</v>
      </c>
      <c r="K51" s="655">
        <f t="shared" si="9"/>
        <v>0</v>
      </c>
      <c r="L51" s="655">
        <f t="shared" si="9"/>
        <v>0</v>
      </c>
      <c r="M51" s="655">
        <f t="shared" si="9"/>
        <v>116691491.91605392</v>
      </c>
      <c r="N51" s="655">
        <f t="shared" si="9"/>
        <v>8313790.0677640261</v>
      </c>
      <c r="O51" s="655">
        <f t="shared" si="9"/>
        <v>3852747.0309027378</v>
      </c>
      <c r="P51" s="655">
        <f t="shared" si="9"/>
        <v>0</v>
      </c>
      <c r="Q51" s="655">
        <f t="shared" si="9"/>
        <v>0</v>
      </c>
      <c r="R51" s="655">
        <f t="shared" si="9"/>
        <v>0</v>
      </c>
      <c r="T51" s="456"/>
      <c r="U51" s="52">
        <f t="shared" si="7"/>
        <v>0</v>
      </c>
      <c r="V51" s="361">
        <f>'G-3 COST OF SERVICE'!G48-SUM('Functionalization RES'!G51:J51)</f>
        <v>0</v>
      </c>
      <c r="W51" s="361">
        <f>'G-3 COST OF SERVICE'!H48-SUM('Functionalization RES'!K51:L51)</f>
        <v>0</v>
      </c>
      <c r="X51" s="361">
        <f>'G-3 COST OF SERVICE'!I48-SUM('Functionalization RES'!M51:R51)</f>
        <v>0</v>
      </c>
    </row>
    <row r="52" spans="1:24">
      <c r="A52" s="374"/>
      <c r="B52" s="377"/>
      <c r="C52" s="637"/>
      <c r="D52" s="637"/>
      <c r="E52" s="637"/>
      <c r="F52" s="637"/>
      <c r="G52" s="654"/>
      <c r="H52" s="653"/>
      <c r="I52" s="653"/>
      <c r="J52" s="653"/>
      <c r="K52" s="653"/>
      <c r="L52" s="653"/>
      <c r="M52" s="653"/>
      <c r="N52" s="653"/>
      <c r="O52" s="653"/>
      <c r="P52" s="653"/>
      <c r="Q52" s="653"/>
      <c r="R52" s="653"/>
      <c r="T52" s="456"/>
      <c r="V52" s="361"/>
      <c r="W52" s="361"/>
      <c r="X52" s="361"/>
    </row>
    <row r="53" spans="1:24">
      <c r="A53" s="390" t="s">
        <v>463</v>
      </c>
      <c r="B53" s="377" t="s">
        <v>467</v>
      </c>
      <c r="C53" s="654">
        <f>SUM(G53:R53)</f>
        <v>18942906.316380952</v>
      </c>
      <c r="D53" s="654">
        <f>'G-3 COST OF SERVICE'!G50</f>
        <v>3680937.346208951</v>
      </c>
      <c r="E53" s="654">
        <f>'G-3 COST OF SERVICE'!H50</f>
        <v>0</v>
      </c>
      <c r="F53" s="654">
        <f>'G-3 COST OF SERVICE'!I50</f>
        <v>15261968.970171999</v>
      </c>
      <c r="G53" s="654">
        <f>IF(SUM('Function Allocators'!$D82:$G82)=0,0,($D53*'Function Allocators'!D82/SUM('Function Allocators'!$D$82:$G$82)))</f>
        <v>0</v>
      </c>
      <c r="H53" s="654">
        <f>IF(SUM('Function Allocators'!$D82:$G82)=0,0,($D53*'Function Allocators'!E82/SUM('Function Allocators'!$D$82:$G$82)))</f>
        <v>3375401.3211626066</v>
      </c>
      <c r="I53" s="654">
        <f>IF(SUM('Function Allocators'!$D82:$G82)=0,0,($D53*'Function Allocators'!F82/SUM('Function Allocators'!$D$82:$G$82)))</f>
        <v>239297.50475291489</v>
      </c>
      <c r="J53" s="654">
        <f>IF(SUM('Function Allocators'!$D82:$G82)=0,0,($D53*'Function Allocators'!G82/SUM('Function Allocators'!$D$82:$G$82)))</f>
        <v>66238.520293429465</v>
      </c>
      <c r="K53" s="654">
        <f>IF(SUM('Function Allocators'!$H82:$I82)=0,0,($E53*'Function Allocators'!H82/SUM('Function Allocators'!$H82:$I82)))</f>
        <v>0</v>
      </c>
      <c r="L53" s="654">
        <f>IF(SUM('Function Allocators'!$H82:$I82)=0,0,($E53*'Function Allocators'!I82/SUM('Function Allocators'!$H82:$I82)))</f>
        <v>0</v>
      </c>
      <c r="M53" s="654">
        <f>IF(SUM('Function Allocators'!$J82:$O82)=0,0,($F53*'Function Allocators'!J82/SUM('Function Allocators'!$J82:$O82)))</f>
        <v>12371863.718589544</v>
      </c>
      <c r="N53" s="654">
        <f>IF(SUM('Function Allocators'!$J82:$O82)=0,0,($F53*'Function Allocators'!K82/SUM('Function Allocators'!$J82:$O82)))</f>
        <v>2382076.9283379139</v>
      </c>
      <c r="O53" s="654">
        <f>IF(SUM('Function Allocators'!$J82:$O82)=0,0,($F53*'Function Allocators'!L82/SUM('Function Allocators'!$J82:$O82)))</f>
        <v>508028.32324454159</v>
      </c>
      <c r="P53" s="654">
        <f>IF(SUM('Function Allocators'!$J82:$O82)=0,0,($F53*'Function Allocators'!M82/SUM('Function Allocators'!$J82:$O82)))</f>
        <v>0</v>
      </c>
      <c r="Q53" s="654">
        <f>IF(SUM('Function Allocators'!$J82:$O82)=0,0,($F53*'Function Allocators'!N82/SUM('Function Allocators'!$J82:$O82)))</f>
        <v>0</v>
      </c>
      <c r="R53" s="654">
        <f>IF(SUM('Function Allocators'!$J82:$O82)=0,0,($F53*'Function Allocators'!O82/SUM('Function Allocators'!$J82:$O82)))</f>
        <v>0</v>
      </c>
      <c r="S53" s="654"/>
      <c r="T53" s="456" t="s">
        <v>426</v>
      </c>
      <c r="U53" s="52">
        <f>C53-SUM(D53:F53)</f>
        <v>0</v>
      </c>
      <c r="V53" s="361">
        <f>'G-3 COST OF SERVICE'!G50-SUM('Functionalization RES'!G53:J53)</f>
        <v>0</v>
      </c>
      <c r="W53" s="361">
        <f>'G-3 COST OF SERVICE'!H50-SUM('Functionalization RES'!K53:L53)</f>
        <v>0</v>
      </c>
      <c r="X53" s="361">
        <f>'G-3 COST OF SERVICE'!I50-SUM('Functionalization RES'!M53:R53)</f>
        <v>0</v>
      </c>
    </row>
    <row r="54" spans="1:24">
      <c r="A54" s="381"/>
      <c r="B54" s="381"/>
      <c r="C54" s="653"/>
      <c r="D54" s="653"/>
      <c r="E54" s="653"/>
      <c r="F54" s="653"/>
      <c r="G54" s="654"/>
      <c r="H54" s="653"/>
      <c r="I54" s="653"/>
      <c r="J54" s="653"/>
      <c r="K54" s="653"/>
      <c r="L54" s="653"/>
      <c r="M54" s="653"/>
      <c r="N54" s="653"/>
      <c r="O54" s="653"/>
      <c r="P54" s="653"/>
      <c r="Q54" s="653"/>
      <c r="R54" s="653"/>
      <c r="T54" s="456"/>
      <c r="V54" s="361"/>
      <c r="W54" s="361"/>
      <c r="X54" s="361"/>
    </row>
    <row r="55" spans="1:24">
      <c r="A55" s="381"/>
      <c r="B55" s="377" t="s">
        <v>468</v>
      </c>
      <c r="C55" s="654">
        <f>SUM(G55:R55)</f>
        <v>183280109.44763499</v>
      </c>
      <c r="D55" s="654">
        <f t="shared" ref="D55:R55" si="10">+D35+D36+D51+D53</f>
        <v>38916316.660340466</v>
      </c>
      <c r="E55" s="654">
        <f t="shared" si="10"/>
        <v>0</v>
      </c>
      <c r="F55" s="654">
        <f t="shared" si="10"/>
        <v>144363792.78729448</v>
      </c>
      <c r="G55" s="654">
        <f t="shared" si="10"/>
        <v>0</v>
      </c>
      <c r="H55" s="654">
        <f t="shared" si="10"/>
        <v>35779216.962341294</v>
      </c>
      <c r="I55" s="654">
        <f t="shared" si="10"/>
        <v>2317148.875106005</v>
      </c>
      <c r="J55" s="654">
        <f t="shared" si="10"/>
        <v>819950.82289316994</v>
      </c>
      <c r="K55" s="654">
        <f t="shared" si="10"/>
        <v>0</v>
      </c>
      <c r="L55" s="654">
        <f t="shared" si="10"/>
        <v>0</v>
      </c>
      <c r="M55" s="654">
        <f t="shared" si="10"/>
        <v>129260983.8749125</v>
      </c>
      <c r="N55" s="654">
        <f t="shared" si="10"/>
        <v>10733918.310135212</v>
      </c>
      <c r="O55" s="654">
        <f t="shared" si="10"/>
        <v>4368890.6022467874</v>
      </c>
      <c r="P55" s="654">
        <f t="shared" si="10"/>
        <v>0</v>
      </c>
      <c r="Q55" s="654">
        <f t="shared" si="10"/>
        <v>0</v>
      </c>
      <c r="R55" s="654">
        <f t="shared" si="10"/>
        <v>0</v>
      </c>
      <c r="T55" s="456"/>
      <c r="U55" s="52">
        <f>C55-SUM(D55:F55)</f>
        <v>0</v>
      </c>
      <c r="V55" s="361">
        <f>'G-3 COST OF SERVICE'!G52-SUM('Functionalization RES'!G55:J55)</f>
        <v>0</v>
      </c>
      <c r="W55" s="361">
        <f>'G-3 COST OF SERVICE'!H52-SUM('Functionalization RES'!K55:L55)</f>
        <v>0</v>
      </c>
      <c r="X55" s="361">
        <f>'G-3 COST OF SERVICE'!I52-SUM('Functionalization RES'!M55:R55)</f>
        <v>0</v>
      </c>
    </row>
    <row r="56" spans="1:24">
      <c r="A56" s="381"/>
      <c r="B56" s="381"/>
      <c r="C56" s="638"/>
      <c r="D56" s="638"/>
      <c r="E56" s="638"/>
      <c r="F56" s="638"/>
      <c r="G56" s="654"/>
      <c r="H56" s="653"/>
      <c r="I56" s="653"/>
      <c r="J56" s="653"/>
      <c r="K56" s="653"/>
      <c r="L56" s="653"/>
      <c r="M56" s="653"/>
      <c r="N56" s="653"/>
      <c r="O56" s="653"/>
      <c r="P56" s="653"/>
      <c r="Q56" s="653"/>
      <c r="R56" s="653"/>
      <c r="T56" s="456"/>
      <c r="V56" s="361"/>
      <c r="W56" s="361"/>
      <c r="X56" s="361"/>
    </row>
    <row r="57" spans="1:24">
      <c r="A57" s="390"/>
      <c r="B57" s="377" t="s">
        <v>114</v>
      </c>
      <c r="C57" s="638"/>
      <c r="D57" s="638"/>
      <c r="E57" s="638"/>
      <c r="F57" s="638"/>
      <c r="G57" s="654"/>
      <c r="H57" s="653"/>
      <c r="I57" s="653"/>
      <c r="J57" s="653"/>
      <c r="K57" s="653"/>
      <c r="L57" s="653"/>
      <c r="M57" s="653"/>
      <c r="N57" s="653"/>
      <c r="O57" s="653"/>
      <c r="P57" s="653"/>
      <c r="Q57" s="653"/>
      <c r="R57" s="653"/>
      <c r="T57" s="456"/>
      <c r="V57" s="361"/>
      <c r="W57" s="361"/>
      <c r="X57" s="361"/>
    </row>
    <row r="58" spans="1:24">
      <c r="A58" s="390" t="s">
        <v>115</v>
      </c>
      <c r="B58" s="379" t="s">
        <v>16</v>
      </c>
      <c r="C58" s="653">
        <f>SUM(G58:R58)</f>
        <v>-4240519.6673911894</v>
      </c>
      <c r="D58" s="653">
        <f>'G-3 COST OF SERVICE'!G57</f>
        <v>-824006.98975825962</v>
      </c>
      <c r="E58" s="653">
        <f>'G-3 COST OF SERVICE'!H57</f>
        <v>0</v>
      </c>
      <c r="F58" s="653">
        <f>'G-3 COST OF SERVICE'!I57</f>
        <v>-3416512.6776329298</v>
      </c>
      <c r="G58" s="654">
        <f>IF(SUM('Function Allocators'!$D95:$G95)=0,0,($D58*'Function Allocators'!D95/SUM('Function Allocators'!$D95:$G95)))</f>
        <v>0</v>
      </c>
      <c r="H58" s="654">
        <f>IF(SUM('Function Allocators'!$D95:$G95)=0,0,($D58*'Function Allocators'!E95/SUM('Function Allocators'!$D95:$G95)))</f>
        <v>-755610.32972805353</v>
      </c>
      <c r="I58" s="654">
        <f>IF(SUM('Function Allocators'!$D95:$G95)=0,0,($D58*'Function Allocators'!F95/SUM('Function Allocators'!$D95:$G95)))</f>
        <v>-53568.642441359007</v>
      </c>
      <c r="J58" s="654">
        <f>IF(SUM('Function Allocators'!$D95:$G95)=0,0,($D58*'Function Allocators'!G95/SUM('Function Allocators'!$D95:$G95)))</f>
        <v>-14828.017588847024</v>
      </c>
      <c r="K58" s="653">
        <f>IF(SUM('Function Allocators'!$H95:$I95)=0,0,($E58*'Function Allocators'!H95/SUM('Function Allocators'!$H95:$I95)))</f>
        <v>0</v>
      </c>
      <c r="L58" s="653">
        <f>IF(SUM('Function Allocators'!$H95:$I95)=0,0,($E58*'Function Allocators'!I95/SUM('Function Allocators'!$H95:$I95)))</f>
        <v>0</v>
      </c>
      <c r="M58" s="653">
        <f>IF(SUM('Function Allocators'!$J95:$O95)=0,0,($F58*'Function Allocators'!J95/SUM('Function Allocators'!$J95:$O95)))</f>
        <v>-2769539.7181790825</v>
      </c>
      <c r="N58" s="653">
        <f>IF(SUM('Function Allocators'!$J95:$O95)=0,0,($F58*'Function Allocators'!K95/SUM('Function Allocators'!$J95:$O95)))</f>
        <v>-533246.79408463452</v>
      </c>
      <c r="O58" s="653">
        <f>IF(SUM('Function Allocators'!$J95:$O95)=0,0,($F58*'Function Allocators'!L95/SUM('Function Allocators'!$J95:$O95)))</f>
        <v>-113726.16536921287</v>
      </c>
      <c r="P58" s="653">
        <f>IF(SUM('Function Allocators'!$J95:$O95)=0,0,($F58*'Function Allocators'!M95/SUM('Function Allocators'!$J95:$O95)))</f>
        <v>0</v>
      </c>
      <c r="Q58" s="653">
        <f>IF(SUM('Function Allocators'!$J95:$O95)=0,0,($F58*'Function Allocators'!N95/SUM('Function Allocators'!$J95:$O95)))</f>
        <v>0</v>
      </c>
      <c r="R58" s="653">
        <f>IF(SUM('Function Allocators'!$J95:$O95)=0,0,($F58*'Function Allocators'!O95/SUM('Function Allocators'!$J95:$O95)))</f>
        <v>0</v>
      </c>
      <c r="T58" s="456" t="s">
        <v>469</v>
      </c>
      <c r="U58" s="52">
        <f>C58-SUM(D58:F58)</f>
        <v>0</v>
      </c>
      <c r="V58" s="361">
        <f>'G-3 COST OF SERVICE'!G57-SUM('Functionalization RES'!G58:J58)</f>
        <v>0</v>
      </c>
      <c r="W58" s="361">
        <f>'G-3 COST OF SERVICE'!H57-SUM('Functionalization RES'!K58:L58)</f>
        <v>0</v>
      </c>
      <c r="X58" s="361">
        <f>'G-3 COST OF SERVICE'!I57-SUM('Functionalization RES'!M58:R58)</f>
        <v>0</v>
      </c>
    </row>
    <row r="59" spans="1:24">
      <c r="A59" s="390" t="s">
        <v>116</v>
      </c>
      <c r="B59" s="379" t="s">
        <v>17</v>
      </c>
      <c r="C59" s="653">
        <f>SUM(G59:R59)</f>
        <v>2072696.3494219829</v>
      </c>
      <c r="D59" s="653">
        <f>'G-3 COST OF SERVICE'!G58</f>
        <v>402761.07966287754</v>
      </c>
      <c r="E59" s="653">
        <f>'G-3 COST OF SERVICE'!H58</f>
        <v>0</v>
      </c>
      <c r="F59" s="653">
        <f>'G-3 COST OF SERVICE'!I58</f>
        <v>1669935.2697591053</v>
      </c>
      <c r="G59" s="654">
        <f>IF(SUM('Function Allocators'!$D96:$G96)=0,0,($D59*'Function Allocators'!D96/SUM('Function Allocators'!$D96:$G96)))</f>
        <v>0</v>
      </c>
      <c r="H59" s="654">
        <f>IF(SUM('Function Allocators'!$D96:$G96)=0,0,($D59*'Function Allocators'!E96/SUM('Function Allocators'!$D96:$G96)))</f>
        <v>369329.9158724075</v>
      </c>
      <c r="I59" s="654">
        <f>IF(SUM('Function Allocators'!$D96:$G96)=0,0,($D59*'Function Allocators'!F96/SUM('Function Allocators'!$D96:$G96)))</f>
        <v>26183.472390308249</v>
      </c>
      <c r="J59" s="654">
        <f>IF(SUM('Function Allocators'!$D96:$G96)=0,0,($D59*'Function Allocators'!G96/SUM('Function Allocators'!$D96:$G96)))</f>
        <v>7247.6914001618179</v>
      </c>
      <c r="K59" s="653">
        <f>IF(SUM('Function Allocators'!$H96:$I96)=0,0,($E59*'Function Allocators'!H96/SUM('Function Allocators'!$H96:$I96)))</f>
        <v>0</v>
      </c>
      <c r="L59" s="653">
        <f>IF(SUM('Function Allocators'!$H96:$I96)=0,0,($E59*'Function Allocators'!I96/SUM('Function Allocators'!$H96:$I96)))</f>
        <v>0</v>
      </c>
      <c r="M59" s="653">
        <f>IF(SUM('Function Allocators'!$J96:$O96)=0,0,($F59*'Function Allocators'!J96/SUM('Function Allocators'!$J96:$O96)))</f>
        <v>1353705.5157630085</v>
      </c>
      <c r="N59" s="653">
        <f>IF(SUM('Function Allocators'!$J96:$O96)=0,0,($F59*'Function Allocators'!K96/SUM('Function Allocators'!$J96:$O96)))</f>
        <v>260642.27267696275</v>
      </c>
      <c r="O59" s="653">
        <f>IF(SUM('Function Allocators'!$J96:$O96)=0,0,($F59*'Function Allocators'!L96/SUM('Function Allocators'!$J96:$O96)))</f>
        <v>55587.481319134044</v>
      </c>
      <c r="P59" s="653">
        <f>IF(SUM('Function Allocators'!$J96:$O96)=0,0,($F59*'Function Allocators'!M96/SUM('Function Allocators'!$J96:$O96)))</f>
        <v>0</v>
      </c>
      <c r="Q59" s="653">
        <f>IF(SUM('Function Allocators'!$J96:$O96)=0,0,($F59*'Function Allocators'!N96/SUM('Function Allocators'!$J96:$O96)))</f>
        <v>0</v>
      </c>
      <c r="R59" s="653">
        <f>IF(SUM('Function Allocators'!$J96:$O96)=0,0,($F59*'Function Allocators'!O96/SUM('Function Allocators'!$J96:$O96)))</f>
        <v>0</v>
      </c>
      <c r="T59" s="456" t="s">
        <v>127</v>
      </c>
      <c r="U59" s="52">
        <f>C59-SUM(D59:F59)</f>
        <v>0</v>
      </c>
      <c r="V59" s="361">
        <f>'G-3 COST OF SERVICE'!G58-SUM('Functionalization RES'!G59:J59)</f>
        <v>0</v>
      </c>
      <c r="W59" s="361">
        <f>'G-3 COST OF SERVICE'!H58-SUM('Functionalization RES'!K59:L59)</f>
        <v>0</v>
      </c>
      <c r="X59" s="361">
        <f>'G-3 COST OF SERVICE'!I58-SUM('Functionalization RES'!M59:R59)</f>
        <v>0</v>
      </c>
    </row>
    <row r="60" spans="1:24">
      <c r="A60" s="385">
        <v>165</v>
      </c>
      <c r="B60" s="381" t="s">
        <v>18</v>
      </c>
      <c r="C60" s="661">
        <f>SUM(G60:R60)</f>
        <v>387733.11493243312</v>
      </c>
      <c r="D60" s="653">
        <f>'G-3 COST OF SERVICE'!G59</f>
        <v>75343.31212325774</v>
      </c>
      <c r="E60" s="653">
        <f>'G-3 COST OF SERVICE'!H59</f>
        <v>0</v>
      </c>
      <c r="F60" s="653">
        <f>'G-3 COST OF SERVICE'!I59</f>
        <v>312389.80280917534</v>
      </c>
      <c r="G60" s="654">
        <f>IF(SUM('Function Allocators'!$D97:$G97)=0,0,($D60*'Function Allocators'!D97/SUM('Function Allocators'!$D97:$G97)))</f>
        <v>0</v>
      </c>
      <c r="H60" s="654">
        <f>IF(SUM('Function Allocators'!$D97:$G97)=0,0,($D60*'Function Allocators'!E97/SUM('Function Allocators'!$D97:$G97)))</f>
        <v>69089.444172021089</v>
      </c>
      <c r="I60" s="654">
        <f>IF(SUM('Function Allocators'!$D97:$G97)=0,0,($D60*'Function Allocators'!F97/SUM('Function Allocators'!$D97:$G97)))</f>
        <v>4898.0639698973473</v>
      </c>
      <c r="J60" s="654">
        <f>IF(SUM('Function Allocators'!$D97:$G97)=0,0,($D60*'Function Allocators'!G97/SUM('Function Allocators'!$D97:$G97)))</f>
        <v>1355.8039813392961</v>
      </c>
      <c r="K60" s="653">
        <f>IF(SUM('Function Allocators'!$H97:$I97)=0,0,($E60*'Function Allocators'!H97/SUM('Function Allocators'!$H97:$I97)))</f>
        <v>0</v>
      </c>
      <c r="L60" s="653">
        <f>IF(SUM('Function Allocators'!$H97:$I97)=0,0,($E60*'Function Allocators'!I97/SUM('Function Allocators'!$H97:$I97)))</f>
        <v>0</v>
      </c>
      <c r="M60" s="653">
        <f>IF(SUM('Function Allocators'!$J97:$O97)=0,0,($F60*'Function Allocators'!J97/SUM('Function Allocators'!$J97:$O97)))</f>
        <v>253233.64730891748</v>
      </c>
      <c r="N60" s="653">
        <f>IF(SUM('Function Allocators'!$J97:$O97)=0,0,($F60*'Function Allocators'!K97/SUM('Function Allocators'!$J97:$O97)))</f>
        <v>48757.571409960794</v>
      </c>
      <c r="O60" s="653">
        <f>IF(SUM('Function Allocators'!$J97:$O97)=0,0,($F60*'Function Allocators'!L97/SUM('Function Allocators'!$J97:$O97)))</f>
        <v>10398.584090297085</v>
      </c>
      <c r="P60" s="653">
        <f>IF(SUM('Function Allocators'!$J97:$O97)=0,0,($F60*'Function Allocators'!M97/SUM('Function Allocators'!$J97:$O97)))</f>
        <v>0</v>
      </c>
      <c r="Q60" s="653">
        <f>IF(SUM('Function Allocators'!$J97:$O97)=0,0,($F60*'Function Allocators'!N97/SUM('Function Allocators'!$J97:$O97)))</f>
        <v>0</v>
      </c>
      <c r="R60" s="653">
        <f>IF(SUM('Function Allocators'!$J97:$O97)=0,0,($F60*'Function Allocators'!O97/SUM('Function Allocators'!$J97:$O97)))</f>
        <v>0</v>
      </c>
      <c r="T60" s="456" t="s">
        <v>127</v>
      </c>
      <c r="U60" s="52">
        <f>C60-SUM(D60:F60)</f>
        <v>0</v>
      </c>
      <c r="V60" s="361">
        <f>'G-3 COST OF SERVICE'!G59-SUM('Functionalization RES'!G60:J60)</f>
        <v>0</v>
      </c>
      <c r="W60" s="361">
        <f>'G-3 COST OF SERVICE'!H59-SUM('Functionalization RES'!K60:L60)</f>
        <v>0</v>
      </c>
      <c r="X60" s="361">
        <f>'G-3 COST OF SERVICE'!I59-SUM('Functionalization RES'!M60:R60)</f>
        <v>0</v>
      </c>
    </row>
    <row r="61" spans="1:24">
      <c r="A61" s="374"/>
      <c r="B61" s="387" t="s">
        <v>117</v>
      </c>
      <c r="C61" s="653">
        <f t="shared" ref="C61:R61" si="11">SUM(C58:C60)</f>
        <v>-1780090.2030367735</v>
      </c>
      <c r="D61" s="655">
        <f t="shared" si="11"/>
        <v>-345902.59797212435</v>
      </c>
      <c r="E61" s="655">
        <f t="shared" si="11"/>
        <v>0</v>
      </c>
      <c r="F61" s="655">
        <f t="shared" si="11"/>
        <v>-1434187.6050646491</v>
      </c>
      <c r="G61" s="655">
        <f t="shared" si="11"/>
        <v>0</v>
      </c>
      <c r="H61" s="655">
        <f t="shared" si="11"/>
        <v>-317190.96968362492</v>
      </c>
      <c r="I61" s="655">
        <f t="shared" si="11"/>
        <v>-22487.106081153412</v>
      </c>
      <c r="J61" s="655">
        <f t="shared" si="11"/>
        <v>-6224.5222073459099</v>
      </c>
      <c r="K61" s="655">
        <f t="shared" si="11"/>
        <v>0</v>
      </c>
      <c r="L61" s="655">
        <f t="shared" si="11"/>
        <v>0</v>
      </c>
      <c r="M61" s="655">
        <f t="shared" si="11"/>
        <v>-1162600.5551071565</v>
      </c>
      <c r="N61" s="655">
        <f t="shared" si="11"/>
        <v>-223846.94999771094</v>
      </c>
      <c r="O61" s="655">
        <f t="shared" si="11"/>
        <v>-47740.099959781743</v>
      </c>
      <c r="P61" s="655">
        <f t="shared" si="11"/>
        <v>0</v>
      </c>
      <c r="Q61" s="655">
        <f t="shared" si="11"/>
        <v>0</v>
      </c>
      <c r="R61" s="655">
        <f t="shared" si="11"/>
        <v>0</v>
      </c>
      <c r="T61" s="456"/>
      <c r="U61" s="52">
        <f>C61-SUM(D61:F61)</f>
        <v>0</v>
      </c>
      <c r="V61" s="361">
        <f>'G-3 COST OF SERVICE'!G60-SUM('Functionalization RES'!G61:J61)</f>
        <v>0</v>
      </c>
      <c r="W61" s="361">
        <f>'G-3 COST OF SERVICE'!H60-SUM('Functionalization RES'!K61:L61)</f>
        <v>0</v>
      </c>
      <c r="X61" s="361">
        <f>'G-3 COST OF SERVICE'!I60-SUM('Functionalization RES'!M61:R61)</f>
        <v>0</v>
      </c>
    </row>
    <row r="62" spans="1:24">
      <c r="A62" s="374"/>
      <c r="B62" s="387"/>
      <c r="C62" s="638"/>
      <c r="D62" s="638"/>
      <c r="E62" s="638"/>
      <c r="F62" s="638"/>
      <c r="G62" s="654"/>
      <c r="H62" s="653"/>
      <c r="I62" s="653"/>
      <c r="J62" s="653"/>
      <c r="K62" s="653"/>
      <c r="L62" s="653"/>
      <c r="M62" s="653"/>
      <c r="N62" s="653"/>
      <c r="O62" s="653"/>
      <c r="P62" s="653"/>
      <c r="Q62" s="653"/>
      <c r="R62" s="653"/>
      <c r="T62" s="456"/>
      <c r="V62" s="361"/>
      <c r="W62" s="361"/>
      <c r="X62" s="361"/>
    </row>
    <row r="63" spans="1:24">
      <c r="A63" s="386"/>
      <c r="B63" s="377" t="s">
        <v>118</v>
      </c>
      <c r="C63" s="638"/>
      <c r="D63" s="638"/>
      <c r="E63" s="638"/>
      <c r="F63" s="638"/>
      <c r="G63" s="654"/>
      <c r="H63" s="653"/>
      <c r="I63" s="653"/>
      <c r="J63" s="653"/>
      <c r="K63" s="653"/>
      <c r="L63" s="653"/>
      <c r="M63" s="653"/>
      <c r="N63" s="653"/>
      <c r="O63" s="653"/>
      <c r="P63" s="653"/>
      <c r="Q63" s="653"/>
      <c r="R63" s="653"/>
      <c r="T63" s="456"/>
      <c r="V63" s="361"/>
      <c r="W63" s="361"/>
      <c r="X63" s="361"/>
    </row>
    <row r="64" spans="1:24">
      <c r="A64" s="385">
        <v>252</v>
      </c>
      <c r="B64" s="381" t="s">
        <v>119</v>
      </c>
      <c r="C64" s="653">
        <f>SUM(G64:R64)</f>
        <v>-5018511.550863049</v>
      </c>
      <c r="D64" s="653">
        <f>'G-3 COST OF SERVICE'!G63</f>
        <v>0</v>
      </c>
      <c r="E64" s="653">
        <f>'G-3 COST OF SERVICE'!H63</f>
        <v>0</v>
      </c>
      <c r="F64" s="653">
        <f>'G-3 COST OF SERVICE'!I63</f>
        <v>-5018511.550863049</v>
      </c>
      <c r="G64" s="654">
        <f>IF(SUM('Function Allocators'!$D101:$G101)=0,0,($D64*'Function Allocators'!D101/SUM('Function Allocators'!$D101:$G101)))</f>
        <v>0</v>
      </c>
      <c r="H64" s="654">
        <f>IF(SUM('Function Allocators'!$D101:$G101)=0,0,($D64*'Function Allocators'!E101/SUM('Function Allocators'!$D101:$G101)))</f>
        <v>0</v>
      </c>
      <c r="I64" s="654">
        <f>IF(SUM('Function Allocators'!$D101:$G101)=0,0,($D64*'Function Allocators'!F101/SUM('Function Allocators'!$D101:$G101)))</f>
        <v>0</v>
      </c>
      <c r="J64" s="654">
        <f>IF(SUM('Function Allocators'!$D101:$G101)=0,0,($D64*'Function Allocators'!G101/SUM('Function Allocators'!$D101:$G101)))</f>
        <v>0</v>
      </c>
      <c r="K64" s="653">
        <f>IF(SUM('Function Allocators'!$H101:$I101)=0,0,($E64*'Function Allocators'!H101/SUM('Function Allocators'!$H101:$I101)))</f>
        <v>0</v>
      </c>
      <c r="L64" s="653">
        <f>IF(SUM('Function Allocators'!$H101:$I101)=0,0,($E64*'Function Allocators'!I101/SUM('Function Allocators'!$H101:$I101)))</f>
        <v>0</v>
      </c>
      <c r="M64" s="653">
        <f>IF(SUM('Function Allocators'!$J101:$O101)=0,0,($F64*'Function Allocators'!J101/SUM('Function Allocators'!$J101:$O101)))</f>
        <v>-5018511.550863049</v>
      </c>
      <c r="N64" s="653">
        <f>IF(SUM('Function Allocators'!$J101:$O101)=0,0,($F64*'Function Allocators'!K101/SUM('Function Allocators'!$J101:$O101)))</f>
        <v>0</v>
      </c>
      <c r="O64" s="653">
        <f>IF(SUM('Function Allocators'!$J101:$O101)=0,0,($F64*'Function Allocators'!L101/SUM('Function Allocators'!$J101:$O101)))</f>
        <v>0</v>
      </c>
      <c r="P64" s="653">
        <f>IF(SUM('Function Allocators'!$J101:$O101)=0,0,($F64*'Function Allocators'!M101/SUM('Function Allocators'!$J101:$O101)))</f>
        <v>0</v>
      </c>
      <c r="Q64" s="653">
        <f>IF(SUM('Function Allocators'!$J101:$O101)=0,0,($F64*'Function Allocators'!N101/SUM('Function Allocators'!$J101:$O101)))</f>
        <v>0</v>
      </c>
      <c r="R64" s="653">
        <f>IF(SUM('Function Allocators'!$J101:$O101)=0,0,($F64*'Function Allocators'!O101/SUM('Function Allocators'!$J101:$O101)))</f>
        <v>0</v>
      </c>
      <c r="T64" s="456" t="s">
        <v>127</v>
      </c>
      <c r="U64" s="52">
        <f>C64-SUM(D64:F64)</f>
        <v>0</v>
      </c>
      <c r="V64" s="361">
        <f>'G-3 COST OF SERVICE'!G63-SUM('Functionalization RES'!G64:J64)</f>
        <v>0</v>
      </c>
      <c r="W64" s="361">
        <f>'G-3 COST OF SERVICE'!H63-SUM('Functionalization RES'!K64:L64)</f>
        <v>0</v>
      </c>
      <c r="X64" s="361">
        <f>'G-3 COST OF SERVICE'!I63-SUM('Functionalization RES'!M64:R64)</f>
        <v>0</v>
      </c>
    </row>
    <row r="65" spans="1:24">
      <c r="A65" s="385">
        <v>235</v>
      </c>
      <c r="B65" s="381" t="s">
        <v>20</v>
      </c>
      <c r="C65" s="653">
        <f>SUM(G65:R65)</f>
        <v>-1473551.7641336804</v>
      </c>
      <c r="D65" s="653">
        <f>'G-3 COST OF SERVICE'!G64</f>
        <v>0</v>
      </c>
      <c r="E65" s="653">
        <f>'G-3 COST OF SERVICE'!H64</f>
        <v>0</v>
      </c>
      <c r="F65" s="653">
        <f>'G-3 COST OF SERVICE'!I64</f>
        <v>-1473551.7641336804</v>
      </c>
      <c r="G65" s="654">
        <f>IF(SUM('Function Allocators'!$D102:$G102)=0,0,($D65*'Function Allocators'!D102/SUM('Function Allocators'!$D102:$G102)))</f>
        <v>0</v>
      </c>
      <c r="H65" s="654">
        <f>IF(SUM('Function Allocators'!$D102:$G102)=0,0,($D65*'Function Allocators'!E102/SUM('Function Allocators'!$D102:$G102)))</f>
        <v>0</v>
      </c>
      <c r="I65" s="654">
        <f>IF(SUM('Function Allocators'!$D102:$G102)=0,0,($D65*'Function Allocators'!F102/SUM('Function Allocators'!$D102:$G102)))</f>
        <v>0</v>
      </c>
      <c r="J65" s="654">
        <f>IF(SUM('Function Allocators'!$D102:$G102)=0,0,($D65*'Function Allocators'!G102/SUM('Function Allocators'!$D102:$G102)))</f>
        <v>0</v>
      </c>
      <c r="K65" s="653">
        <f>IF(SUM('Function Allocators'!$H102:$I102)=0,0,($E65*'Function Allocators'!H102/SUM('Function Allocators'!$H102:$I102)))</f>
        <v>0</v>
      </c>
      <c r="L65" s="653">
        <f>IF(SUM('Function Allocators'!$H102:$I102)=0,0,($E65*'Function Allocators'!I102/SUM('Function Allocators'!$H102:$I102)))</f>
        <v>0</v>
      </c>
      <c r="M65" s="653">
        <f>IF(SUM('Function Allocators'!$J102:$O102)=0,0,($F65*'Function Allocators'!J102/SUM('Function Allocators'!$J102:$O102)))</f>
        <v>-1473551.7641336804</v>
      </c>
      <c r="N65" s="653">
        <f>IF(SUM('Function Allocators'!$J102:$O102)=0,0,($F65*'Function Allocators'!K102/SUM('Function Allocators'!$J102:$O102)))</f>
        <v>0</v>
      </c>
      <c r="O65" s="653">
        <f>IF(SUM('Function Allocators'!$J102:$O102)=0,0,($F65*'Function Allocators'!L102/SUM('Function Allocators'!$J102:$O102)))</f>
        <v>0</v>
      </c>
      <c r="P65" s="653">
        <f>IF(SUM('Function Allocators'!$J102:$O102)=0,0,($F65*'Function Allocators'!M102/SUM('Function Allocators'!$J102:$O102)))</f>
        <v>0</v>
      </c>
      <c r="Q65" s="653">
        <f>IF(SUM('Function Allocators'!$J102:$O102)=0,0,($F65*'Function Allocators'!N102/SUM('Function Allocators'!$J102:$O102)))</f>
        <v>0</v>
      </c>
      <c r="R65" s="653">
        <f>IF(SUM('Function Allocators'!$J102:$O102)=0,0,($F65*'Function Allocators'!O102/SUM('Function Allocators'!$J102:$O102)))</f>
        <v>0</v>
      </c>
      <c r="T65" s="456" t="s">
        <v>127</v>
      </c>
      <c r="U65" s="52">
        <f>C65-SUM(D65:F65)</f>
        <v>0</v>
      </c>
      <c r="V65" s="361">
        <f>'G-3 COST OF SERVICE'!G64-SUM('Functionalization RES'!G65:J65)</f>
        <v>0</v>
      </c>
      <c r="W65" s="361">
        <f>'G-3 COST OF SERVICE'!H64-SUM('Functionalization RES'!K65:L65)</f>
        <v>0</v>
      </c>
      <c r="X65" s="361">
        <f>'G-3 COST OF SERVICE'!I64-SUM('Functionalization RES'!M65:R65)</f>
        <v>0</v>
      </c>
    </row>
    <row r="66" spans="1:24">
      <c r="A66" s="374"/>
      <c r="B66" s="377" t="s">
        <v>121</v>
      </c>
      <c r="C66" s="655">
        <f t="shared" ref="C66:R66" si="12">SUM(C64:C65)</f>
        <v>-6492063.3149967296</v>
      </c>
      <c r="D66" s="655">
        <f t="shared" si="12"/>
        <v>0</v>
      </c>
      <c r="E66" s="655">
        <f t="shared" si="12"/>
        <v>0</v>
      </c>
      <c r="F66" s="655">
        <f t="shared" si="12"/>
        <v>-6492063.3149967296</v>
      </c>
      <c r="G66" s="655">
        <f t="shared" si="12"/>
        <v>0</v>
      </c>
      <c r="H66" s="655">
        <f t="shared" si="12"/>
        <v>0</v>
      </c>
      <c r="I66" s="655">
        <f t="shared" si="12"/>
        <v>0</v>
      </c>
      <c r="J66" s="655">
        <f t="shared" si="12"/>
        <v>0</v>
      </c>
      <c r="K66" s="655">
        <f t="shared" si="12"/>
        <v>0</v>
      </c>
      <c r="L66" s="655">
        <f t="shared" si="12"/>
        <v>0</v>
      </c>
      <c r="M66" s="655">
        <f t="shared" si="12"/>
        <v>-6492063.3149967296</v>
      </c>
      <c r="N66" s="655">
        <f t="shared" si="12"/>
        <v>0</v>
      </c>
      <c r="O66" s="655">
        <f t="shared" si="12"/>
        <v>0</v>
      </c>
      <c r="P66" s="655">
        <f t="shared" si="12"/>
        <v>0</v>
      </c>
      <c r="Q66" s="655">
        <f t="shared" si="12"/>
        <v>0</v>
      </c>
      <c r="R66" s="655">
        <f t="shared" si="12"/>
        <v>0</v>
      </c>
      <c r="T66" s="456"/>
      <c r="U66" s="52">
        <f>C66-SUM(D66:F66)</f>
        <v>0</v>
      </c>
      <c r="V66" s="361">
        <f>'G-3 COST OF SERVICE'!G65-SUM('Functionalization RES'!G66:J66)</f>
        <v>0</v>
      </c>
      <c r="W66" s="361">
        <f>'G-3 COST OF SERVICE'!H65-SUM('Functionalization RES'!K66:L66)</f>
        <v>0</v>
      </c>
      <c r="X66" s="361">
        <f>'G-3 COST OF SERVICE'!I65-SUM('Functionalization RES'!M66:R66)</f>
        <v>0</v>
      </c>
    </row>
    <row r="67" spans="1:24">
      <c r="A67" s="374"/>
      <c r="B67" s="377"/>
      <c r="C67" s="653"/>
      <c r="D67" s="637"/>
      <c r="E67" s="637"/>
      <c r="F67" s="637"/>
      <c r="G67" s="654"/>
      <c r="H67" s="653"/>
      <c r="I67" s="653"/>
      <c r="J67" s="653"/>
      <c r="K67" s="653"/>
      <c r="L67" s="653"/>
      <c r="M67" s="653"/>
      <c r="N67" s="653"/>
      <c r="O67" s="653"/>
      <c r="P67" s="653"/>
      <c r="Q67" s="653"/>
      <c r="R67" s="653"/>
      <c r="T67" s="456"/>
      <c r="V67" s="361"/>
      <c r="W67" s="361"/>
      <c r="X67" s="361"/>
    </row>
    <row r="68" spans="1:24">
      <c r="B68" s="360" t="s">
        <v>123</v>
      </c>
      <c r="C68" s="654">
        <f>SUM(G68:R68)</f>
        <v>0</v>
      </c>
      <c r="D68" s="654">
        <f>'G-3 COST OF SERVICE'!G68</f>
        <v>0</v>
      </c>
      <c r="E68" s="654">
        <f>'G-3 COST OF SERVICE'!H68</f>
        <v>0</v>
      </c>
      <c r="F68" s="654">
        <f>'G-3 COST OF SERVICE'!I68</f>
        <v>0</v>
      </c>
      <c r="G68" s="654">
        <f>IF(SUM('Function Allocators'!$D106:$G106)=0,0,($D68*'Function Allocators'!D106/SUM('Function Allocators'!$D106:$G106)))</f>
        <v>0</v>
      </c>
      <c r="H68" s="654">
        <f>IF(SUM('Function Allocators'!$D106:$G106)=0,0,($D68*'Function Allocators'!E106/SUM('Function Allocators'!$D106:$G106)))</f>
        <v>0</v>
      </c>
      <c r="I68" s="654">
        <f>IF(SUM('Function Allocators'!$D106:$G106)=0,0,($D68*'Function Allocators'!F106/SUM('Function Allocators'!$D106:$G106)))</f>
        <v>0</v>
      </c>
      <c r="J68" s="654">
        <f>IF(SUM('Function Allocators'!$D106:$G106)=0,0,($D68*'Function Allocators'!G106/SUM('Function Allocators'!$D106:$G106)))</f>
        <v>0</v>
      </c>
      <c r="K68" s="654">
        <f>IF(SUM('Function Allocators'!$H106:$I106)=0,0,($E68*'Function Allocators'!H106/SUM('Function Allocators'!$H106:$I106)))</f>
        <v>0</v>
      </c>
      <c r="L68" s="654">
        <f>IF(SUM('Function Allocators'!$H106:$I106)=0,0,($E68*'Function Allocators'!I106/SUM('Function Allocators'!$H106:$I106)))</f>
        <v>0</v>
      </c>
      <c r="M68" s="654">
        <f>IF(SUM('Function Allocators'!$J106:$O106)=0,0,($F68*'Function Allocators'!J106/SUM('Function Allocators'!$J106:$O106)))</f>
        <v>0</v>
      </c>
      <c r="N68" s="654">
        <f>IF(SUM('Function Allocators'!$J106:$O106)=0,0,($F68*'Function Allocators'!K106/SUM('Function Allocators'!$J106:$O106)))</f>
        <v>0</v>
      </c>
      <c r="O68" s="654">
        <f>IF(SUM('Function Allocators'!$J106:$O106)=0,0,($F68*'Function Allocators'!L106/SUM('Function Allocators'!$J106:$O106)))</f>
        <v>0</v>
      </c>
      <c r="P68" s="654">
        <f>IF(SUM('Function Allocators'!$J106:$O106)=0,0,($F68*'Function Allocators'!M106/SUM('Function Allocators'!$J106:$O106)))</f>
        <v>0</v>
      </c>
      <c r="Q68" s="654">
        <f>IF(SUM('Function Allocators'!$J106:$O106)=0,0,($F68*'Function Allocators'!N106/SUM('Function Allocators'!$J106:$O106)))</f>
        <v>0</v>
      </c>
      <c r="R68" s="654">
        <f>IF(SUM('Function Allocators'!$J106:$O106)=0,0,($F68*'Function Allocators'!O106/SUM('Function Allocators'!$J106:$O106)))</f>
        <v>0</v>
      </c>
      <c r="U68" s="52">
        <f>C68-SUM(D68:F68)</f>
        <v>0</v>
      </c>
      <c r="V68" s="361">
        <f>'G-3 COST OF SERVICE'!G68-SUM('Functionalization RES'!G68:J68)</f>
        <v>0</v>
      </c>
      <c r="W68" s="361">
        <f>'G-3 COST OF SERVICE'!H68-SUM('Functionalization RES'!K68:L68)</f>
        <v>0</v>
      </c>
      <c r="X68" s="361">
        <f>'G-3 COST OF SERVICE'!I68-SUM('Functionalization RES'!M68:R68)</f>
        <v>0</v>
      </c>
    </row>
    <row r="69" spans="1:24">
      <c r="A69" s="663">
        <v>182.3</v>
      </c>
      <c r="B69" s="360" t="s">
        <v>125</v>
      </c>
      <c r="C69" s="654">
        <f>SUM(G69:R69)</f>
        <v>930547.76473033801</v>
      </c>
      <c r="D69" s="654">
        <f>'G-3 COST OF SERVICE'!G69</f>
        <v>112643.22064926007</v>
      </c>
      <c r="E69" s="654">
        <f>'G-3 COST OF SERVICE'!H69</f>
        <v>1750.3535433472123</v>
      </c>
      <c r="F69" s="654">
        <f>'G-3 COST OF SERVICE'!I69</f>
        <v>816154.19053773081</v>
      </c>
      <c r="G69" s="654">
        <f>IF(SUM('Function Allocators'!$D107:$G107)=0,0,($D69*'Function Allocators'!D107/SUM('Function Allocators'!$D107:$G107)))</f>
        <v>0</v>
      </c>
      <c r="H69" s="654">
        <f>IF(SUM('Function Allocators'!$D107:$G107)=0,0,($D69*'Function Allocators'!E107/SUM('Function Allocators'!$D107:$G107)))</f>
        <v>79189.993120673898</v>
      </c>
      <c r="I69" s="654">
        <f>IF(SUM('Function Allocators'!$D107:$G107)=0,0,($D69*'Function Allocators'!F107/SUM('Function Allocators'!$D107:$G107)))</f>
        <v>32418.053066285913</v>
      </c>
      <c r="J69" s="654">
        <f>IF(SUM('Function Allocators'!$D107:$G107)=0,0,($D69*'Function Allocators'!G107/SUM('Function Allocators'!$D107:$G107)))</f>
        <v>1035.1744623002478</v>
      </c>
      <c r="K69" s="654">
        <f>IF(SUM('Function Allocators'!$H107:$I107)=0,0,($E69*'Function Allocators'!H107/SUM('Function Allocators'!$H107:$I107)))</f>
        <v>1750.3535433472123</v>
      </c>
      <c r="L69" s="654">
        <f>IF(SUM('Function Allocators'!$H107:$I107)=0,0,($E69*'Function Allocators'!I107/SUM('Function Allocators'!$H107:$I107)))</f>
        <v>0</v>
      </c>
      <c r="M69" s="654">
        <f>IF(SUM('Function Allocators'!$J107:$O107)=0,0,($F69*'Function Allocators'!J107/SUM('Function Allocators'!$J107:$O107)))</f>
        <v>341527.51733764261</v>
      </c>
      <c r="N69" s="654">
        <f>IF(SUM('Function Allocators'!$J107:$O107)=0,0,($F69*'Function Allocators'!K107/SUM('Function Allocators'!$J107:$O107)))</f>
        <v>411600.720953357</v>
      </c>
      <c r="O69" s="654">
        <f>IF(SUM('Function Allocators'!$J107:$O107)=0,0,($F69*'Function Allocators'!L107/SUM('Function Allocators'!$J107:$O107)))</f>
        <v>63025.952246731125</v>
      </c>
      <c r="P69" s="654">
        <f>IF(SUM('Function Allocators'!$J107:$O107)=0,0,($F69*'Function Allocators'!M107/SUM('Function Allocators'!$J107:$O107)))</f>
        <v>0</v>
      </c>
      <c r="Q69" s="654">
        <f>IF(SUM('Function Allocators'!$J107:$O107)=0,0,($F69*'Function Allocators'!N107/SUM('Function Allocators'!$J107:$O107)))</f>
        <v>0</v>
      </c>
      <c r="R69" s="654">
        <f>IF(SUM('Function Allocators'!$J107:$O107)=0,0,($F69*'Function Allocators'!O107/SUM('Function Allocators'!$J107:$O107)))</f>
        <v>0</v>
      </c>
      <c r="T69" s="456"/>
      <c r="U69" s="52">
        <f>C69-SUM(D69:F69)</f>
        <v>0</v>
      </c>
      <c r="V69" s="361">
        <f>'G-3 COST OF SERVICE'!G69-SUM('Functionalization RES'!G69:J69)</f>
        <v>0</v>
      </c>
      <c r="W69" s="361">
        <f>'G-3 COST OF SERVICE'!H69-SUM('Functionalization RES'!K69:L69)</f>
        <v>0</v>
      </c>
      <c r="X69" s="361">
        <f>'G-3 COST OF SERVICE'!I69-SUM('Functionalization RES'!M69:R69)</f>
        <v>0</v>
      </c>
    </row>
    <row r="70" spans="1:24">
      <c r="A70" s="390">
        <v>254</v>
      </c>
      <c r="B70" s="360" t="s">
        <v>126</v>
      </c>
      <c r="C70" s="654">
        <f>SUM(G70:R70)</f>
        <v>-19924441.094440941</v>
      </c>
      <c r="D70" s="654">
        <f>'G-3 COST OF SERVICE'!G70</f>
        <v>-3871666.6946976827</v>
      </c>
      <c r="E70" s="654">
        <f>'G-3 COST OF SERVICE'!H70</f>
        <v>0</v>
      </c>
      <c r="F70" s="654">
        <f>'G-3 COST OF SERVICE'!I70</f>
        <v>-16052774.399743261</v>
      </c>
      <c r="G70" s="654">
        <f>IF(SUM('Function Allocators'!$D108:$G108)=0,0,($D70*'Function Allocators'!D108/SUM('Function Allocators'!$D108:$G108)))</f>
        <v>0</v>
      </c>
      <c r="H70" s="654">
        <f>IF(SUM('Function Allocators'!$D108:$G108)=0,0,($D70*'Function Allocators'!E108/SUM('Function Allocators'!$D108:$G108)))</f>
        <v>-3550299.1893744613</v>
      </c>
      <c r="I70" s="654">
        <f>IF(SUM('Function Allocators'!$D108:$G108)=0,0,($D70*'Function Allocators'!F108/SUM('Function Allocators'!$D108:$G108)))</f>
        <v>-251696.80767055598</v>
      </c>
      <c r="J70" s="654">
        <f>IF(SUM('Function Allocators'!$D108:$G108)=0,0,($D70*'Function Allocators'!G108/SUM('Function Allocators'!$D108:$G108)))</f>
        <v>-69670.697652665156</v>
      </c>
      <c r="K70" s="654">
        <f>IF(SUM('Function Allocators'!$H108:$I108)=0,0,($E70*'Function Allocators'!H108/SUM('Function Allocators'!$H108:$I108)))</f>
        <v>0</v>
      </c>
      <c r="L70" s="654">
        <f>IF(SUM('Function Allocators'!$H108:$I108)=0,0,($E70*'Function Allocators'!I108/SUM('Function Allocators'!$H108:$I108)))</f>
        <v>0</v>
      </c>
      <c r="M70" s="654">
        <f>IF(SUM('Function Allocators'!$J108:$O108)=0,0,($F70*'Function Allocators'!J108/SUM('Function Allocators'!$J108:$O108)))</f>
        <v>-13012917.112270113</v>
      </c>
      <c r="N70" s="654">
        <f>IF(SUM('Function Allocators'!$J108:$O108)=0,0,($F70*'Function Allocators'!K108/SUM('Function Allocators'!$J108:$O108)))</f>
        <v>-2505505.2600471233</v>
      </c>
      <c r="O70" s="654">
        <f>IF(SUM('Function Allocators'!$J108:$O108)=0,0,($F70*'Function Allocators'!L108/SUM('Function Allocators'!$J108:$O108)))</f>
        <v>-534352.02742602373</v>
      </c>
      <c r="P70" s="654">
        <f>IF(SUM('Function Allocators'!$J108:$O108)=0,0,($F70*'Function Allocators'!M108/SUM('Function Allocators'!$J108:$O108)))</f>
        <v>0</v>
      </c>
      <c r="Q70" s="654">
        <f>IF(SUM('Function Allocators'!$J108:$O108)=0,0,($F70*'Function Allocators'!N108/SUM('Function Allocators'!$J108:$O108)))</f>
        <v>0</v>
      </c>
      <c r="R70" s="654">
        <f>IF(SUM('Function Allocators'!$J108:$O108)=0,0,($F70*'Function Allocators'!O108/SUM('Function Allocators'!$J108:$O108)))</f>
        <v>0</v>
      </c>
      <c r="T70" s="456"/>
      <c r="U70" s="52">
        <f>C70-SUM(D70:F70)</f>
        <v>0</v>
      </c>
      <c r="V70" s="361">
        <f>'G-3 COST OF SERVICE'!G70-SUM('Functionalization RES'!G70:J70)</f>
        <v>0</v>
      </c>
      <c r="W70" s="361">
        <f>'G-3 COST OF SERVICE'!H70-SUM('Functionalization RES'!K70:L70)</f>
        <v>0</v>
      </c>
      <c r="X70" s="361">
        <f>'G-3 COST OF SERVICE'!I70-SUM('Functionalization RES'!M70:R70)</f>
        <v>0</v>
      </c>
    </row>
    <row r="71" spans="1:24">
      <c r="A71" s="390"/>
      <c r="B71" s="379" t="s">
        <v>272</v>
      </c>
      <c r="C71" s="654">
        <f>SUM(G71:R71)</f>
        <v>-30093903.143791027</v>
      </c>
      <c r="D71" s="654">
        <f>'G-3 COST OF SERVICE'!G73</f>
        <v>-5847770.6834035954</v>
      </c>
      <c r="E71" s="654">
        <f>'G-3 COST OF SERVICE'!H73</f>
        <v>0</v>
      </c>
      <c r="F71" s="654">
        <f>'G-3 COST OF SERVICE'!I73</f>
        <v>-24246132.460387427</v>
      </c>
      <c r="G71" s="654">
        <f>IF(SUM('Function Allocators'!$D114:$G114)=0,0,($D71*'Function Allocators'!D114/SUM('Function Allocators'!$D$114:$G$114)))</f>
        <v>0</v>
      </c>
      <c r="H71" s="654">
        <f>IF(SUM('Function Allocators'!$D114:$G114)=0,0,($D71*'Function Allocators'!E114/SUM('Function Allocators'!$D$114:$G$114)))</f>
        <v>-5362376.7627953487</v>
      </c>
      <c r="I71" s="654">
        <f>IF(SUM('Function Allocators'!$D114:$G114)=0,0,($D71*'Function Allocators'!F114/SUM('Function Allocators'!$D$114:$G$114)))</f>
        <v>-380163.20336094435</v>
      </c>
      <c r="J71" s="654">
        <f>IF(SUM('Function Allocators'!$D114:$G114)=0,0,($D71*'Function Allocators'!G114/SUM('Function Allocators'!$D$114:$G$114)))</f>
        <v>-105230.71724730273</v>
      </c>
      <c r="K71" s="654">
        <f>IF(SUM('Function Allocators'!$H114:$I114)=0,0,($D71*'Function Allocators'!H114/SUM('Function Allocators'!$H114:$I114)))</f>
        <v>0</v>
      </c>
      <c r="L71" s="654">
        <f>IF(SUM('Function Allocators'!$H114:$I114)=0,0,($D71*'Function Allocators'!I114/SUM('Function Allocators'!$H114:$I114)))</f>
        <v>0</v>
      </c>
      <c r="M71" s="654">
        <f>IF(SUM('Function Allocators'!$J114:$O114)=0,0,($F71*'Function Allocators'!J114/SUM('Function Allocators'!$J114:$O114)))</f>
        <v>-19654727.845997114</v>
      </c>
      <c r="N71" s="654">
        <f>IF(SUM('Function Allocators'!$J114:$O114)=0,0,($F71*'Function Allocators'!K114/SUM('Function Allocators'!$J114:$O114)))</f>
        <v>-3784318.5796139752</v>
      </c>
      <c r="O71" s="654">
        <f>IF(SUM('Function Allocators'!$J114:$O114)=0,0,($F71*'Function Allocators'!L114/SUM('Function Allocators'!$J114:$O114)))</f>
        <v>-807086.03477634094</v>
      </c>
      <c r="P71" s="654">
        <f>IF(SUM('Function Allocators'!$J114:$O114)=0,0,($F71*'Function Allocators'!M114/SUM('Function Allocators'!$J114:$O114)))</f>
        <v>0</v>
      </c>
      <c r="Q71" s="654">
        <f>IF(SUM('Function Allocators'!$J114:$O114)=0,0,($F71*'Function Allocators'!N114/SUM('Function Allocators'!$J114:$O114)))</f>
        <v>0</v>
      </c>
      <c r="R71" s="654">
        <f>IF(SUM('Function Allocators'!$J114:$O114)=0,0,($F71*'Function Allocators'!O114/SUM('Function Allocators'!$J114:$O114)))</f>
        <v>0</v>
      </c>
      <c r="T71" s="456"/>
      <c r="V71" s="361">
        <f>'G-3 COST OF SERVICE'!G73-SUM('Functionalization RES'!G71:J71)</f>
        <v>0</v>
      </c>
      <c r="W71" s="361">
        <f>'G-3 COST OF SERVICE'!H73-SUM('Functionalization RES'!K71:L71)</f>
        <v>0</v>
      </c>
      <c r="X71" s="361">
        <f>'G-3 COST OF SERVICE'!I73-SUM('Functionalization RES'!M71:R71)</f>
        <v>0</v>
      </c>
    </row>
    <row r="72" spans="1:24">
      <c r="A72" s="374"/>
      <c r="B72" s="377"/>
      <c r="C72" s="661"/>
      <c r="D72" s="661"/>
      <c r="E72" s="661"/>
      <c r="F72" s="661"/>
      <c r="G72" s="662"/>
      <c r="H72" s="661"/>
      <c r="I72" s="661"/>
      <c r="J72" s="661"/>
      <c r="K72" s="661"/>
      <c r="L72" s="661"/>
      <c r="M72" s="661"/>
      <c r="N72" s="661"/>
      <c r="O72" s="661"/>
      <c r="P72" s="661"/>
      <c r="Q72" s="661"/>
      <c r="R72" s="661"/>
      <c r="T72" s="456"/>
      <c r="V72" s="361"/>
      <c r="W72" s="361"/>
      <c r="X72" s="361"/>
    </row>
    <row r="73" spans="1:24">
      <c r="A73" s="390"/>
      <c r="B73" s="377" t="s">
        <v>470</v>
      </c>
      <c r="C73" s="660">
        <f>SUM(G73:R73)</f>
        <v>233052557.00383681</v>
      </c>
      <c r="D73" s="654">
        <f>'G-3 COST OF SERVICE'!G75</f>
        <v>43177730.584235393</v>
      </c>
      <c r="E73" s="654">
        <f>'G-3 COST OF SERVICE'!H75</f>
        <v>1750.3535433472123</v>
      </c>
      <c r="F73" s="654">
        <f>'G-3 COST OF SERVICE'!I75</f>
        <v>189873076.62305117</v>
      </c>
      <c r="G73" s="660">
        <f t="shared" ref="G73:R73" si="13">+G32-G55+SUM(G61,G66,G68:G71)</f>
        <v>0</v>
      </c>
      <c r="H73" s="660">
        <f t="shared" si="13"/>
        <v>39476514.326446421</v>
      </c>
      <c r="I73" s="660">
        <f t="shared" si="13"/>
        <v>3044875.0637016967</v>
      </c>
      <c r="J73" s="660">
        <f t="shared" si="13"/>
        <v>656340.88624623825</v>
      </c>
      <c r="K73" s="660">
        <f t="shared" si="13"/>
        <v>1750.3535433472123</v>
      </c>
      <c r="L73" s="660">
        <f t="shared" si="13"/>
        <v>0</v>
      </c>
      <c r="M73" s="660">
        <f t="shared" si="13"/>
        <v>147020468.61485565</v>
      </c>
      <c r="N73" s="660">
        <f t="shared" si="13"/>
        <v>38401721.368070155</v>
      </c>
      <c r="O73" s="660">
        <f t="shared" si="13"/>
        <v>4450886.3909732969</v>
      </c>
      <c r="P73" s="660">
        <f t="shared" si="13"/>
        <v>0</v>
      </c>
      <c r="Q73" s="660">
        <f t="shared" si="13"/>
        <v>0</v>
      </c>
      <c r="R73" s="660">
        <f t="shared" si="13"/>
        <v>0</v>
      </c>
      <c r="T73" s="456"/>
      <c r="U73" s="52">
        <f>C73-SUM(D73:F73)</f>
        <v>-0.55699309706687927</v>
      </c>
      <c r="V73" s="361">
        <f>'G-3 COST OF SERVICE'!G75-SUM('Functionalization RES'!G73:J73)</f>
        <v>0.30784103274345398</v>
      </c>
      <c r="W73" s="361">
        <f>'G-3 COST OF SERVICE'!H75-SUM('Functionalization RES'!K73:L73)</f>
        <v>0</v>
      </c>
      <c r="X73" s="361">
        <f>'G-3 COST OF SERVICE'!I75-SUM('Functionalization RES'!M73:R73)</f>
        <v>0.24915206432342529</v>
      </c>
    </row>
    <row r="74" spans="1:24">
      <c r="A74" s="374"/>
      <c r="B74" s="377"/>
      <c r="C74" s="637"/>
      <c r="D74" s="637"/>
      <c r="E74" s="637"/>
      <c r="F74" s="637"/>
      <c r="G74" s="654"/>
      <c r="H74" s="653"/>
      <c r="I74" s="653"/>
      <c r="J74" s="653"/>
      <c r="K74" s="653"/>
      <c r="L74" s="653"/>
      <c r="M74" s="653"/>
      <c r="N74" s="653"/>
      <c r="O74" s="653"/>
      <c r="P74" s="653"/>
      <c r="Q74" s="653"/>
      <c r="R74" s="653"/>
      <c r="T74" s="456"/>
      <c r="V74" s="361"/>
      <c r="W74" s="361"/>
      <c r="X74" s="361"/>
    </row>
    <row r="75" spans="1:24" ht="11.25">
      <c r="G75" s="456"/>
      <c r="H75" s="456"/>
      <c r="I75" s="456"/>
      <c r="J75" s="456"/>
      <c r="K75" s="456"/>
      <c r="L75" s="456"/>
      <c r="M75" s="456"/>
      <c r="N75" s="456"/>
      <c r="O75" s="456"/>
      <c r="P75" s="456"/>
      <c r="Q75" s="456"/>
      <c r="R75" s="456"/>
      <c r="U75" s="360"/>
      <c r="V75" s="361"/>
      <c r="W75" s="361"/>
      <c r="X75" s="361"/>
    </row>
    <row r="76" spans="1:24" ht="12.75">
      <c r="B76" s="465" t="s">
        <v>437</v>
      </c>
      <c r="C76" s="457"/>
      <c r="D76" s="457"/>
      <c r="E76" s="457"/>
      <c r="F76" s="457"/>
      <c r="G76" s="659"/>
      <c r="H76" s="657"/>
      <c r="I76" s="657"/>
      <c r="J76" s="657"/>
      <c r="K76" s="657"/>
      <c r="L76" s="657"/>
      <c r="M76" s="657"/>
      <c r="N76" s="657"/>
      <c r="O76" s="658"/>
      <c r="P76" s="657"/>
      <c r="Q76" s="657"/>
      <c r="R76" s="657"/>
      <c r="U76" s="360"/>
      <c r="V76" s="361"/>
      <c r="W76" s="361"/>
      <c r="X76" s="361"/>
    </row>
    <row r="77" spans="1:24">
      <c r="A77" s="385">
        <v>807</v>
      </c>
      <c r="B77" s="379" t="s">
        <v>471</v>
      </c>
      <c r="C77" s="654">
        <f>SUM(G77:R77)</f>
        <v>119588.28534821837</v>
      </c>
      <c r="D77" s="654">
        <f>'G-4 COST OF SERVICE'!G7</f>
        <v>0</v>
      </c>
      <c r="E77" s="654">
        <f>'G-4 COST OF SERVICE'!H7</f>
        <v>119588.28534821837</v>
      </c>
      <c r="F77" s="654">
        <f>'G-4 COST OF SERVICE'!I7</f>
        <v>0</v>
      </c>
      <c r="G77" s="654">
        <f>IF(SUM('Function Allocators'!$D123:$G123)=0,0,($D77*'Function Allocators'!D123/SUM('Function Allocators'!$D123:$G123)))</f>
        <v>0</v>
      </c>
      <c r="H77" s="654">
        <f>IF(SUM('Function Allocators'!$D123:$G123)=0,0,($D77*'Function Allocators'!E123/SUM('Function Allocators'!$D123:$G123)))</f>
        <v>0</v>
      </c>
      <c r="I77" s="654">
        <f>IF(SUM('Function Allocators'!$D123:$G123)=0,0,($D77*'Function Allocators'!F123/SUM('Function Allocators'!$D123:$G123)))</f>
        <v>0</v>
      </c>
      <c r="J77" s="654">
        <f>IF(SUM('Function Allocators'!$D123:$G123)=0,0,($D77*'Function Allocators'!G123/SUM('Function Allocators'!$D123:$G123)))</f>
        <v>0</v>
      </c>
      <c r="K77" s="654">
        <f>IF(SUM('Function Allocators'!$H123:$I123)=0,0,($E77*'Function Allocators'!H123/SUM('Function Allocators'!$H$123:$I$123)))</f>
        <v>119588.28534821837</v>
      </c>
      <c r="L77" s="654">
        <f>IF(SUM('Function Allocators'!$H123:$I123)=0,0,($E77*'Function Allocators'!I123/SUM('Function Allocators'!$H$123:$I$123)))</f>
        <v>0</v>
      </c>
      <c r="M77" s="654">
        <f>IF(SUM('Function Allocators'!$J123:$O123)=0,0,($F77*'Function Allocators'!J123/SUM('Function Allocators'!$J123:$O123)))</f>
        <v>0</v>
      </c>
      <c r="N77" s="654">
        <f>IF(SUM('Function Allocators'!$J123:$O123)=0,0,($F77*'Function Allocators'!K123/SUM('Function Allocators'!$J123:$O123)))</f>
        <v>0</v>
      </c>
      <c r="O77" s="654">
        <f>IF(SUM('Function Allocators'!$J123:$O123)=0,0,($F77*'Function Allocators'!L123/SUM('Function Allocators'!$J123:$O123)))</f>
        <v>0</v>
      </c>
      <c r="P77" s="654">
        <f>IF(SUM('Function Allocators'!$J123:$O123)=0,0,($F77*'Function Allocators'!M123/SUM('Function Allocators'!$J123:$O123)))</f>
        <v>0</v>
      </c>
      <c r="Q77" s="654">
        <f>IF(SUM('Function Allocators'!$J123:$O123)=0,0,($F77*'Function Allocators'!N123/SUM('Function Allocators'!$J123:$O123)))</f>
        <v>0</v>
      </c>
      <c r="R77" s="654">
        <f>IF(SUM('Function Allocators'!$J123:$O123)=0,0,($F77*'Function Allocators'!O123/SUM('Function Allocators'!$J123:$O123)))</f>
        <v>0</v>
      </c>
      <c r="U77" s="52">
        <f>C77-SUM(D77:F77)</f>
        <v>0</v>
      </c>
      <c r="V77" s="361">
        <f>'G-4 COST OF SERVICE'!G7-SUM('Functionalization RES'!G77:J77)</f>
        <v>0</v>
      </c>
      <c r="W77" s="361">
        <f>'G-4 COST OF SERVICE'!H7-SUM('Functionalization RES'!K77:L77)</f>
        <v>0</v>
      </c>
      <c r="X77" s="361">
        <f>'G-4 COST OF SERVICE'!I7-SUM('Functionalization RES'!M77:R77)</f>
        <v>0</v>
      </c>
    </row>
    <row r="78" spans="1:24">
      <c r="A78" s="385"/>
      <c r="B78" s="379" t="s">
        <v>277</v>
      </c>
      <c r="C78" s="653">
        <f>SUM(G78:R78)</f>
        <v>115904.02285506992</v>
      </c>
      <c r="D78" s="653">
        <f>'G-4 COST OF SERVICE'!G10</f>
        <v>115904.02285506992</v>
      </c>
      <c r="E78" s="653">
        <f>'G-4 COST OF SERVICE'!H10</f>
        <v>0</v>
      </c>
      <c r="F78" s="653">
        <f>'G-4 COST OF SERVICE'!I10</f>
        <v>0</v>
      </c>
      <c r="G78" s="654">
        <f>IF(SUM('Function Allocators'!$D127:$G127)=0,0,($D78*'Function Allocators'!D127/SUM('Function Allocators'!$D127:$G127)))</f>
        <v>0</v>
      </c>
      <c r="H78" s="654">
        <f>IF(SUM('Function Allocators'!$D127:$G127)=0,0,($D78*'Function Allocators'!E127/SUM('Function Allocators'!$D127:$G127)))</f>
        <v>115904.02285506992</v>
      </c>
      <c r="I78" s="654">
        <f>IF(SUM('Function Allocators'!$D127:$G127)=0,0,($D78*'Function Allocators'!F127/SUM('Function Allocators'!$D127:$G127)))</f>
        <v>0</v>
      </c>
      <c r="J78" s="654">
        <f>IF(SUM('Function Allocators'!$D127:$G127)=0,0,($D78*'Function Allocators'!G127/SUM('Function Allocators'!$D127:$G127)))</f>
        <v>0</v>
      </c>
      <c r="K78" s="654">
        <f>IF(SUM('Function Allocators'!$H127:$I127)=0,0,($E78*'Function Allocators'!H127/SUM('Function Allocators'!$H$127:$I$127)))</f>
        <v>0</v>
      </c>
      <c r="L78" s="654">
        <f>IF(SUM('Function Allocators'!$H127:$I127)=0,0,($E78*'Function Allocators'!I127/SUM('Function Allocators'!$H$127:$I$127)))</f>
        <v>0</v>
      </c>
      <c r="M78" s="654">
        <f>IF(SUM('Function Allocators'!$J127:$O127)=0,0,($F78*'Function Allocators'!J127/SUM('Function Allocators'!$J127:$O127)))</f>
        <v>0</v>
      </c>
      <c r="N78" s="654">
        <f>IF(SUM('Function Allocators'!$J127:$O127)=0,0,($F78*'Function Allocators'!K127/SUM('Function Allocators'!$J127:$O127)))</f>
        <v>0</v>
      </c>
      <c r="O78" s="654">
        <f>IF(SUM('Function Allocators'!$J127:$O127)=0,0,($F78*'Function Allocators'!L127/SUM('Function Allocators'!$J127:$O127)))</f>
        <v>0</v>
      </c>
      <c r="P78" s="654">
        <f>IF(SUM('Function Allocators'!$J127:$O127)=0,0,($F78*'Function Allocators'!M127/SUM('Function Allocators'!$J127:$O127)))</f>
        <v>0</v>
      </c>
      <c r="Q78" s="654">
        <f>IF(SUM('Function Allocators'!$J127:$O127)=0,0,($F78*'Function Allocators'!N127/SUM('Function Allocators'!$J127:$O127)))</f>
        <v>0</v>
      </c>
      <c r="R78" s="654">
        <f>IF(SUM('Function Allocators'!$J127:$O127)=0,0,($F78*'Function Allocators'!O127/SUM('Function Allocators'!$J127:$O127)))</f>
        <v>0</v>
      </c>
      <c r="U78" s="52">
        <f>C78-SUM(D78:F78)</f>
        <v>0</v>
      </c>
      <c r="V78" s="361">
        <f>'G-4 COST OF SERVICE'!G10-SUM('Functionalization RES'!G78:J78)</f>
        <v>0</v>
      </c>
      <c r="W78" s="361">
        <f>'G-4 COST OF SERVICE'!H10-SUM('Functionalization RES'!K78:L78)</f>
        <v>0</v>
      </c>
      <c r="X78" s="361">
        <f>'G-4 COST OF SERVICE'!I8-SUM('Functionalization RES'!M78:R78)</f>
        <v>0</v>
      </c>
    </row>
    <row r="79" spans="1:24" ht="11.25">
      <c r="A79" s="390"/>
      <c r="C79" s="653"/>
      <c r="D79" s="653"/>
      <c r="E79" s="653"/>
      <c r="F79" s="653"/>
      <c r="G79" s="654"/>
      <c r="H79" s="654"/>
      <c r="I79" s="654"/>
      <c r="J79" s="654"/>
      <c r="K79" s="654"/>
      <c r="L79" s="654"/>
      <c r="M79" s="654"/>
      <c r="N79" s="654"/>
      <c r="O79" s="654"/>
      <c r="P79" s="654"/>
      <c r="Q79" s="654"/>
      <c r="R79" s="654"/>
      <c r="U79" s="360"/>
    </row>
    <row r="80" spans="1:24" ht="11.25">
      <c r="A80" s="463"/>
      <c r="B80" s="377" t="s">
        <v>138</v>
      </c>
      <c r="C80" s="653"/>
      <c r="D80" s="653"/>
      <c r="E80" s="653"/>
      <c r="F80" s="653"/>
      <c r="G80" s="654"/>
      <c r="H80" s="654"/>
      <c r="I80" s="654"/>
      <c r="J80" s="654"/>
      <c r="K80" s="654"/>
      <c r="L80" s="654"/>
      <c r="M80" s="654"/>
      <c r="N80" s="654"/>
      <c r="O80" s="654"/>
      <c r="P80" s="654"/>
      <c r="Q80" s="654"/>
      <c r="R80" s="654"/>
      <c r="U80" s="360"/>
      <c r="V80" s="361"/>
      <c r="W80" s="361"/>
      <c r="X80" s="361"/>
    </row>
    <row r="81" spans="1:24">
      <c r="A81" s="385">
        <v>871</v>
      </c>
      <c r="B81" s="379" t="s">
        <v>139</v>
      </c>
      <c r="C81" s="653">
        <f t="shared" ref="C81:C95" si="14">SUM(G81:R81)</f>
        <v>0</v>
      </c>
      <c r="D81" s="653">
        <f>'G-4 COST OF SERVICE'!G13</f>
        <v>0</v>
      </c>
      <c r="E81" s="653">
        <f>'G-4 COST OF SERVICE'!H13</f>
        <v>0</v>
      </c>
      <c r="F81" s="653">
        <f>'G-4 COST OF SERVICE'!I13</f>
        <v>0</v>
      </c>
      <c r="G81" s="654">
        <f>IF(SUM('Function Allocators'!$D134:$G134)=0,0,($D81*'Function Allocators'!D134/SUM('Function Allocators'!$D134:$G134)))</f>
        <v>0</v>
      </c>
      <c r="H81" s="654">
        <f>IF(SUM('Function Allocators'!$D134:$G134)=0,0,($D81*'Function Allocators'!E134/SUM('Function Allocators'!$D134:$G134)))</f>
        <v>0</v>
      </c>
      <c r="I81" s="654">
        <f>IF(SUM('Function Allocators'!$D134:$G134)=0,0,($D81*'Function Allocators'!F134/SUM('Function Allocators'!$D134:$G134)))</f>
        <v>0</v>
      </c>
      <c r="J81" s="654">
        <f>IF(SUM('Function Allocators'!$D134:$G134)=0,0,($D81*'Function Allocators'!G134/SUM('Function Allocators'!$D134:$G134)))</f>
        <v>0</v>
      </c>
      <c r="K81" s="654">
        <f>IF(SUM('Function Allocators'!$H134:$I134)=0,0,($E81*'Function Allocators'!H134/SUM('Function Allocators'!$H134:$I134)))</f>
        <v>0</v>
      </c>
      <c r="L81" s="654">
        <f>IF(SUM('Function Allocators'!$H134:$I134)=0,0,($E81*'Function Allocators'!I134/SUM('Function Allocators'!$H$134:$I$134)))</f>
        <v>0</v>
      </c>
      <c r="M81" s="654">
        <f>IF(SUM('Function Allocators'!$J134:$O134)=0,0,($F81*'Function Allocators'!J134/SUM('Function Allocators'!$J134:$O134)))</f>
        <v>0</v>
      </c>
      <c r="N81" s="654">
        <f>IF(SUM('Function Allocators'!$J134:$O134)=0,0,($F81*'Function Allocators'!K134/SUM('Function Allocators'!$J134:$O134)))</f>
        <v>0</v>
      </c>
      <c r="O81" s="654">
        <f>IF(SUM('Function Allocators'!$J134:$O134)=0,0,($F81*'Function Allocators'!L134/SUM('Function Allocators'!$J134:$O134)))</f>
        <v>0</v>
      </c>
      <c r="P81" s="654">
        <f>IF(SUM('Function Allocators'!$J134:$O134)=0,0,($F81*'Function Allocators'!M134/SUM('Function Allocators'!$J134:$O134)))</f>
        <v>0</v>
      </c>
      <c r="Q81" s="654">
        <f>IF(SUM('Function Allocators'!$J134:$O134)=0,0,($F81*'Function Allocators'!N134/SUM('Function Allocators'!$J134:$O134)))</f>
        <v>0</v>
      </c>
      <c r="R81" s="654">
        <f>IF(SUM('Function Allocators'!$J134:$O134)=0,0,($F81*'Function Allocators'!O134/SUM('Function Allocators'!$J134:$O134)))</f>
        <v>0</v>
      </c>
      <c r="T81" s="360" t="s">
        <v>228</v>
      </c>
      <c r="U81" s="52">
        <f t="shared" ref="U81:U96" si="15">C81-SUM(D81:F81)</f>
        <v>0</v>
      </c>
      <c r="V81" s="361">
        <f>'G-4 COST OF SERVICE'!G13-SUM('Functionalization RES'!G81:J81)</f>
        <v>0</v>
      </c>
      <c r="W81" s="361">
        <f>'G-4 COST OF SERVICE'!H13-SUM('Functionalization RES'!K81:L81)</f>
        <v>0</v>
      </c>
      <c r="X81" s="361">
        <f>'G-4 COST OF SERVICE'!I13-SUM('Functionalization RES'!M81:R81)</f>
        <v>0</v>
      </c>
    </row>
    <row r="82" spans="1:24">
      <c r="A82" s="385">
        <v>874</v>
      </c>
      <c r="B82" s="379" t="s">
        <v>140</v>
      </c>
      <c r="C82" s="653">
        <f t="shared" si="14"/>
        <v>1849580.9026992931</v>
      </c>
      <c r="D82" s="653">
        <f>'G-4 COST OF SERVICE'!G14</f>
        <v>345232.4147056592</v>
      </c>
      <c r="E82" s="653">
        <f>'G-4 COST OF SERVICE'!H14</f>
        <v>0</v>
      </c>
      <c r="F82" s="653">
        <f>'G-4 COST OF SERVICE'!I14</f>
        <v>1504348.4879936338</v>
      </c>
      <c r="G82" s="654">
        <f>IF(SUM('Function Allocators'!$D135:$G135)=0,0,($D82*'Function Allocators'!D135/SUM('Function Allocators'!$D135:$G135)))</f>
        <v>0</v>
      </c>
      <c r="H82" s="654">
        <f>IF(SUM('Function Allocators'!$D135:$G135)=0,0,($D82*'Function Allocators'!E135/SUM('Function Allocators'!$D135:$G135)))</f>
        <v>345232.4147056592</v>
      </c>
      <c r="I82" s="654">
        <f>IF(SUM('Function Allocators'!$D135:$G135)=0,0,($D82*'Function Allocators'!F135/SUM('Function Allocators'!$D135:$G135)))</f>
        <v>0</v>
      </c>
      <c r="J82" s="654">
        <f>IF(SUM('Function Allocators'!$D135:$G135)=0,0,($D82*'Function Allocators'!G135/SUM('Function Allocators'!$D135:$G135)))</f>
        <v>0</v>
      </c>
      <c r="K82" s="654">
        <f>IF(SUM('Function Allocators'!$H135:$I135)=0,0,($E82*'Function Allocators'!H135/SUM('Function Allocators'!$H135:$I135)))</f>
        <v>0</v>
      </c>
      <c r="L82" s="654">
        <f>IF(SUM('Function Allocators'!$H135:$I135)=0,0,($E82*'Function Allocators'!I135/SUM('Function Allocators'!$H$134:$I$134)))</f>
        <v>0</v>
      </c>
      <c r="M82" s="654">
        <f>IF(SUM('Function Allocators'!$J135:$O135)=0,0,($F82*'Function Allocators'!J135/SUM('Function Allocators'!$J135:$O135)))</f>
        <v>1504348.4879936338</v>
      </c>
      <c r="N82" s="654">
        <f>IF(SUM('Function Allocators'!$J135:$O135)=0,0,($F82*'Function Allocators'!K135/SUM('Function Allocators'!$J135:$O135)))</f>
        <v>0</v>
      </c>
      <c r="O82" s="654">
        <f>IF(SUM('Function Allocators'!$J135:$O135)=0,0,($F82*'Function Allocators'!L135/SUM('Function Allocators'!$J135:$O135)))</f>
        <v>0</v>
      </c>
      <c r="P82" s="654">
        <f>IF(SUM('Function Allocators'!$J135:$O135)=0,0,($F82*'Function Allocators'!M135/SUM('Function Allocators'!$J135:$O135)))</f>
        <v>0</v>
      </c>
      <c r="Q82" s="654">
        <f>IF(SUM('Function Allocators'!$J135:$O135)=0,0,($F82*'Function Allocators'!N135/SUM('Function Allocators'!$J135:$O135)))</f>
        <v>0</v>
      </c>
      <c r="R82" s="654">
        <f>IF(SUM('Function Allocators'!$J135:$O135)=0,0,($F82*'Function Allocators'!O135/SUM('Function Allocators'!$J135:$O135)))</f>
        <v>0</v>
      </c>
      <c r="T82" s="360" t="s">
        <v>438</v>
      </c>
      <c r="U82" s="52">
        <f t="shared" si="15"/>
        <v>0</v>
      </c>
      <c r="V82" s="361">
        <f>'G-4 COST OF SERVICE'!G14-SUM('Functionalization RES'!G82:J82)</f>
        <v>0</v>
      </c>
      <c r="W82" s="361">
        <f>'G-4 COST OF SERVICE'!H14-SUM('Functionalization RES'!K82:L82)</f>
        <v>0</v>
      </c>
      <c r="X82" s="361">
        <f>'G-4 COST OF SERVICE'!I14-SUM('Functionalization RES'!M82:R82)</f>
        <v>0</v>
      </c>
    </row>
    <row r="83" spans="1:24">
      <c r="A83" s="385">
        <v>875</v>
      </c>
      <c r="B83" s="379" t="s">
        <v>142</v>
      </c>
      <c r="C83" s="653">
        <f t="shared" si="14"/>
        <v>229056.67867376524</v>
      </c>
      <c r="D83" s="653">
        <f>'G-4 COST OF SERVICE'!G15</f>
        <v>229056.67867376524</v>
      </c>
      <c r="E83" s="653">
        <f>'G-4 COST OF SERVICE'!H15</f>
        <v>0</v>
      </c>
      <c r="F83" s="653">
        <f>'G-4 COST OF SERVICE'!I15</f>
        <v>0</v>
      </c>
      <c r="G83" s="654">
        <f>IF(SUM('Function Allocators'!$D136:$G136)=0,0,($D83*'Function Allocators'!D136/SUM('Function Allocators'!$D136:$G136)))</f>
        <v>0</v>
      </c>
      <c r="H83" s="654">
        <f>IF(SUM('Function Allocators'!$D136:$G136)=0,0,($D83*'Function Allocators'!E136/SUM('Function Allocators'!$D136:$G136)))</f>
        <v>0</v>
      </c>
      <c r="I83" s="654">
        <f>IF(SUM('Function Allocators'!$D136:$G136)=0,0,($D83*'Function Allocators'!F136/SUM('Function Allocators'!$D136:$G136)))</f>
        <v>229056.67867376524</v>
      </c>
      <c r="J83" s="654">
        <f>IF(SUM('Function Allocators'!$D136:$G136)=0,0,($D83*'Function Allocators'!G136/SUM('Function Allocators'!$D136:$G136)))</f>
        <v>0</v>
      </c>
      <c r="K83" s="654">
        <f>IF(SUM('Function Allocators'!$H136:$I136)=0,0,($E83*'Function Allocators'!H136/SUM('Function Allocators'!$H136:$I136)))</f>
        <v>0</v>
      </c>
      <c r="L83" s="654">
        <f>IF(SUM('Function Allocators'!$H136:$I136)=0,0,($E83*'Function Allocators'!I136/SUM('Function Allocators'!$H$134:$I$134)))</f>
        <v>0</v>
      </c>
      <c r="M83" s="654">
        <f>IF(SUM('Function Allocators'!$J136:$O136)=0,0,($F83*'Function Allocators'!J136/SUM('Function Allocators'!$J136:$O136)))</f>
        <v>0</v>
      </c>
      <c r="N83" s="654">
        <f>IF(SUM('Function Allocators'!$J136:$O136)=0,0,($F83*'Function Allocators'!K136/SUM('Function Allocators'!$J136:$O136)))</f>
        <v>0</v>
      </c>
      <c r="O83" s="654">
        <f>IF(SUM('Function Allocators'!$J136:$O136)=0,0,($F83*'Function Allocators'!L136/SUM('Function Allocators'!$J136:$O136)))</f>
        <v>0</v>
      </c>
      <c r="P83" s="654">
        <f>IF(SUM('Function Allocators'!$J136:$O136)=0,0,($F83*'Function Allocators'!M136/SUM('Function Allocators'!$J136:$O136)))</f>
        <v>0</v>
      </c>
      <c r="Q83" s="654">
        <f>IF(SUM('Function Allocators'!$J136:$O136)=0,0,($F83*'Function Allocators'!N136/SUM('Function Allocators'!$J136:$O136)))</f>
        <v>0</v>
      </c>
      <c r="R83" s="654">
        <f>IF(SUM('Function Allocators'!$J136:$O136)=0,0,($F83*'Function Allocators'!O136/SUM('Function Allocators'!$J136:$O136)))</f>
        <v>0</v>
      </c>
      <c r="T83" s="360" t="s">
        <v>431</v>
      </c>
      <c r="U83" s="52">
        <f t="shared" si="15"/>
        <v>0</v>
      </c>
      <c r="V83" s="361">
        <f>'G-4 COST OF SERVICE'!G15-SUM('Functionalization RES'!G83:J83)</f>
        <v>0</v>
      </c>
      <c r="W83" s="361">
        <f>'G-4 COST OF SERVICE'!H15-SUM('Functionalization RES'!K83:L83)</f>
        <v>0</v>
      </c>
      <c r="X83" s="361">
        <f>'G-4 COST OF SERVICE'!I15-SUM('Functionalization RES'!M83:R83)</f>
        <v>0</v>
      </c>
    </row>
    <row r="84" spans="1:24">
      <c r="A84" s="385">
        <v>876</v>
      </c>
      <c r="B84" s="379" t="s">
        <v>144</v>
      </c>
      <c r="C84" s="653">
        <f t="shared" si="14"/>
        <v>68318.821362039598</v>
      </c>
      <c r="D84" s="653">
        <f>'G-4 COST OF SERVICE'!G16</f>
        <v>68318.821362039598</v>
      </c>
      <c r="E84" s="653">
        <f>'G-4 COST OF SERVICE'!H16</f>
        <v>0</v>
      </c>
      <c r="F84" s="653">
        <f>'G-4 COST OF SERVICE'!I16</f>
        <v>0</v>
      </c>
      <c r="G84" s="654">
        <f>IF(SUM('Function Allocators'!$D137:$G137)=0,0,($D84*'Function Allocators'!D137/SUM('Function Allocators'!$D137:$G137)))</f>
        <v>0</v>
      </c>
      <c r="H84" s="654">
        <f>IF(SUM('Function Allocators'!$D137:$G137)=0,0,($D84*'Function Allocators'!E137/SUM('Function Allocators'!$D137:$G137)))</f>
        <v>0</v>
      </c>
      <c r="I84" s="654">
        <f>IF(SUM('Function Allocators'!$D137:$G137)=0,0,($D84*'Function Allocators'!F137/SUM('Function Allocators'!$D137:$G137)))</f>
        <v>68318.821362039598</v>
      </c>
      <c r="J84" s="654">
        <f>IF(SUM('Function Allocators'!$D137:$G137)=0,0,($D84*'Function Allocators'!G137/SUM('Function Allocators'!$D137:$G137)))</f>
        <v>0</v>
      </c>
      <c r="K84" s="654">
        <f>IF(SUM('Function Allocators'!$H137:$I137)=0,0,($E84*'Function Allocators'!H137/SUM('Function Allocators'!$H137:$I137)))</f>
        <v>0</v>
      </c>
      <c r="L84" s="654">
        <f>IF(SUM('Function Allocators'!$H137:$I137)=0,0,($E84*'Function Allocators'!I137/SUM('Function Allocators'!$H$134:$I$134)))</f>
        <v>0</v>
      </c>
      <c r="M84" s="654">
        <f>IF(SUM('Function Allocators'!$J137:$O137)=0,0,($F84*'Function Allocators'!J137/SUM('Function Allocators'!$J137:$O137)))</f>
        <v>0</v>
      </c>
      <c r="N84" s="654">
        <f>IF(SUM('Function Allocators'!$J137:$O137)=0,0,($F84*'Function Allocators'!K137/SUM('Function Allocators'!$J137:$O137)))</f>
        <v>0</v>
      </c>
      <c r="O84" s="654">
        <f>IF(SUM('Function Allocators'!$J137:$O137)=0,0,($F84*'Function Allocators'!L137/SUM('Function Allocators'!$J137:$O137)))</f>
        <v>0</v>
      </c>
      <c r="P84" s="654">
        <f>IF(SUM('Function Allocators'!$J137:$O137)=0,0,($F84*'Function Allocators'!M137/SUM('Function Allocators'!$J137:$O137)))</f>
        <v>0</v>
      </c>
      <c r="Q84" s="654">
        <f>IF(SUM('Function Allocators'!$J137:$O137)=0,0,($F84*'Function Allocators'!N137/SUM('Function Allocators'!$J137:$O137)))</f>
        <v>0</v>
      </c>
      <c r="R84" s="654">
        <f>IF(SUM('Function Allocators'!$J137:$O137)=0,0,($F84*'Function Allocators'!O137/SUM('Function Allocators'!$J137:$O137)))</f>
        <v>0</v>
      </c>
      <c r="T84" s="360" t="s">
        <v>431</v>
      </c>
      <c r="U84" s="52">
        <f t="shared" si="15"/>
        <v>0</v>
      </c>
      <c r="V84" s="361">
        <f>'G-4 COST OF SERVICE'!G16-SUM('Functionalization RES'!G84:J84)</f>
        <v>0</v>
      </c>
      <c r="W84" s="361">
        <f>'G-4 COST OF SERVICE'!H16-SUM('Functionalization RES'!K84:L84)</f>
        <v>0</v>
      </c>
      <c r="X84" s="361">
        <f>'G-4 COST OF SERVICE'!I16-SUM('Functionalization RES'!M84:R84)</f>
        <v>0</v>
      </c>
    </row>
    <row r="85" spans="1:24">
      <c r="A85" s="385">
        <v>877</v>
      </c>
      <c r="B85" s="379" t="s">
        <v>145</v>
      </c>
      <c r="C85" s="653">
        <f t="shared" si="14"/>
        <v>42318.870352768288</v>
      </c>
      <c r="D85" s="653">
        <f>'G-4 COST OF SERVICE'!G17</f>
        <v>42318.870352768288</v>
      </c>
      <c r="E85" s="653">
        <f>'G-4 COST OF SERVICE'!H17</f>
        <v>0</v>
      </c>
      <c r="F85" s="653">
        <f>'G-4 COST OF SERVICE'!I17</f>
        <v>0</v>
      </c>
      <c r="G85" s="654">
        <f>IF(SUM('Function Allocators'!$D138:$G138)=0,0,($D85*'Function Allocators'!D138/SUM('Function Allocators'!$D138:$G138)))</f>
        <v>0</v>
      </c>
      <c r="H85" s="654">
        <f>IF(SUM('Function Allocators'!$D138:$G138)=0,0,($D85*'Function Allocators'!E138/SUM('Function Allocators'!$D138:$G138)))</f>
        <v>0</v>
      </c>
      <c r="I85" s="654">
        <f>IF(SUM('Function Allocators'!$D138:$G138)=0,0,($D85*'Function Allocators'!F138/SUM('Function Allocators'!$D138:$G138)))</f>
        <v>42318.870352768288</v>
      </c>
      <c r="J85" s="654">
        <f>IF(SUM('Function Allocators'!$D138:$G138)=0,0,($D85*'Function Allocators'!G138/SUM('Function Allocators'!$D138:$G138)))</f>
        <v>0</v>
      </c>
      <c r="K85" s="654">
        <f>IF(SUM('Function Allocators'!$H138:$I138)=0,0,($E85*'Function Allocators'!H138/SUM('Function Allocators'!$H138:$I138)))</f>
        <v>0</v>
      </c>
      <c r="L85" s="654">
        <f>IF(SUM('Function Allocators'!$H138:$I138)=0,0,($E85*'Function Allocators'!I138/SUM('Function Allocators'!$H$134:$I$134)))</f>
        <v>0</v>
      </c>
      <c r="M85" s="654">
        <f>IF(SUM('Function Allocators'!$J138:$O138)=0,0,($F85*'Function Allocators'!J138/SUM('Function Allocators'!$J138:$O138)))</f>
        <v>0</v>
      </c>
      <c r="N85" s="654">
        <f>IF(SUM('Function Allocators'!$J138:$O138)=0,0,($F85*'Function Allocators'!K138/SUM('Function Allocators'!$J138:$O138)))</f>
        <v>0</v>
      </c>
      <c r="O85" s="654">
        <f>IF(SUM('Function Allocators'!$J138:$O138)=0,0,($F85*'Function Allocators'!L138/SUM('Function Allocators'!$J138:$O138)))</f>
        <v>0</v>
      </c>
      <c r="P85" s="654">
        <f>IF(SUM('Function Allocators'!$J138:$O138)=0,0,($F85*'Function Allocators'!M138/SUM('Function Allocators'!$J138:$O138)))</f>
        <v>0</v>
      </c>
      <c r="Q85" s="654">
        <f>IF(SUM('Function Allocators'!$J138:$O138)=0,0,($F85*'Function Allocators'!N138/SUM('Function Allocators'!$J138:$O138)))</f>
        <v>0</v>
      </c>
      <c r="R85" s="654">
        <f>IF(SUM('Function Allocators'!$J138:$O138)=0,0,($F85*'Function Allocators'!O138/SUM('Function Allocators'!$J138:$O138)))</f>
        <v>0</v>
      </c>
      <c r="T85" s="360" t="s">
        <v>431</v>
      </c>
      <c r="U85" s="52">
        <f t="shared" si="15"/>
        <v>0</v>
      </c>
      <c r="V85" s="361">
        <f>'G-4 COST OF SERVICE'!G17-SUM('Functionalization RES'!G85:J85)</f>
        <v>0</v>
      </c>
      <c r="W85" s="361">
        <f>'G-4 COST OF SERVICE'!H17-SUM('Functionalization RES'!K85:L85)</f>
        <v>0</v>
      </c>
      <c r="X85" s="361">
        <f>'G-4 COST OF SERVICE'!I17-SUM('Functionalization RES'!M85:R85)</f>
        <v>0</v>
      </c>
    </row>
    <row r="86" spans="1:24">
      <c r="A86" s="385">
        <v>878</v>
      </c>
      <c r="B86" s="379" t="s">
        <v>146</v>
      </c>
      <c r="C86" s="653">
        <f t="shared" si="14"/>
        <v>1358391.6706793942</v>
      </c>
      <c r="D86" s="653">
        <f>'G-4 COST OF SERVICE'!G18</f>
        <v>0</v>
      </c>
      <c r="E86" s="653">
        <f>'G-4 COST OF SERVICE'!H18</f>
        <v>0</v>
      </c>
      <c r="F86" s="653">
        <f>'G-4 COST OF SERVICE'!I18</f>
        <v>1358391.6706793939</v>
      </c>
      <c r="G86" s="654">
        <f>IF(SUM('Function Allocators'!$D139:$G139)=0,0,($D86*'Function Allocators'!D139/SUM('Function Allocators'!$D139:$G139)))</f>
        <v>0</v>
      </c>
      <c r="H86" s="654">
        <f>IF(SUM('Function Allocators'!$D139:$G139)=0,0,($D86*'Function Allocators'!E139/SUM('Function Allocators'!$D139:$G139)))</f>
        <v>0</v>
      </c>
      <c r="I86" s="654">
        <f>IF(SUM('Function Allocators'!$D139:$G139)=0,0,($D86*'Function Allocators'!F139/SUM('Function Allocators'!$D139:$G139)))</f>
        <v>0</v>
      </c>
      <c r="J86" s="654">
        <f>IF(SUM('Function Allocators'!$D139:$G139)=0,0,($D86*'Function Allocators'!G139/SUM('Function Allocators'!$D139:$G139)))</f>
        <v>0</v>
      </c>
      <c r="K86" s="654">
        <f>IF(SUM('Function Allocators'!$H139:$I139)=0,0,($E86*'Function Allocators'!H139/SUM('Function Allocators'!$H139:$I139)))</f>
        <v>0</v>
      </c>
      <c r="L86" s="654">
        <f>IF(SUM('Function Allocators'!$H139:$I139)=0,0,($E86*'Function Allocators'!I139/SUM('Function Allocators'!$H$134:$I$134)))</f>
        <v>0</v>
      </c>
      <c r="M86" s="654">
        <f>IF(SUM('Function Allocators'!$J139:$O139)=0,0,($F86*'Function Allocators'!J139/SUM('Function Allocators'!$J139:$O139)))</f>
        <v>0</v>
      </c>
      <c r="N86" s="654">
        <f>IF(SUM('Function Allocators'!$J139:$O139)=0,0,($F86*'Function Allocators'!K139/SUM('Function Allocators'!$J139:$O139)))</f>
        <v>1179653.5731779232</v>
      </c>
      <c r="O86" s="654">
        <f>IF(SUM('Function Allocators'!$J139:$O139)=0,0,($F86*'Function Allocators'!L139/SUM('Function Allocators'!$J139:$O139)))</f>
        <v>178738.09750147082</v>
      </c>
      <c r="P86" s="654">
        <f>IF(SUM('Function Allocators'!$J139:$O139)=0,0,($F86*'Function Allocators'!M139/SUM('Function Allocators'!$J139:$O139)))</f>
        <v>0</v>
      </c>
      <c r="Q86" s="654">
        <f>IF(SUM('Function Allocators'!$J139:$O139)=0,0,($F86*'Function Allocators'!N139/SUM('Function Allocators'!$J139:$O139)))</f>
        <v>0</v>
      </c>
      <c r="R86" s="654">
        <f>IF(SUM('Function Allocators'!$J139:$O139)=0,0,($F86*'Function Allocators'!O139/SUM('Function Allocators'!$J139:$O139)))</f>
        <v>0</v>
      </c>
      <c r="T86" s="360" t="s">
        <v>439</v>
      </c>
      <c r="U86" s="52">
        <f t="shared" si="15"/>
        <v>0</v>
      </c>
      <c r="V86" s="361">
        <f>'G-4 COST OF SERVICE'!G18-SUM('Functionalization RES'!G86:J86)</f>
        <v>0</v>
      </c>
      <c r="W86" s="361">
        <f>'G-4 COST OF SERVICE'!H18-SUM('Functionalization RES'!K86:L86)</f>
        <v>0</v>
      </c>
      <c r="X86" s="361">
        <f>'G-4 COST OF SERVICE'!I18-SUM('Functionalization RES'!M86:R86)</f>
        <v>0</v>
      </c>
    </row>
    <row r="87" spans="1:24">
      <c r="A87" s="385">
        <v>879</v>
      </c>
      <c r="B87" s="379" t="s">
        <v>148</v>
      </c>
      <c r="C87" s="653">
        <f t="shared" si="14"/>
        <v>1263033.8007896838</v>
      </c>
      <c r="D87" s="653">
        <f>'G-4 COST OF SERVICE'!G19</f>
        <v>0</v>
      </c>
      <c r="E87" s="653">
        <f>'G-4 COST OF SERVICE'!H19</f>
        <v>0</v>
      </c>
      <c r="F87" s="653">
        <f>'G-4 COST OF SERVICE'!I19</f>
        <v>1263033.8007896838</v>
      </c>
      <c r="G87" s="654">
        <f>IF(SUM('Function Allocators'!$D140:$G140)=0,0,($D87*'Function Allocators'!D140/SUM('Function Allocators'!$D140:$G140)))</f>
        <v>0</v>
      </c>
      <c r="H87" s="654">
        <f>IF(SUM('Function Allocators'!$D140:$G140)=0,0,($D87*'Function Allocators'!E140/SUM('Function Allocators'!$D140:$G140)))</f>
        <v>0</v>
      </c>
      <c r="I87" s="654">
        <f>IF(SUM('Function Allocators'!$D140:$G140)=0,0,($D87*'Function Allocators'!F140/SUM('Function Allocators'!$D140:$G140)))</f>
        <v>0</v>
      </c>
      <c r="J87" s="654">
        <f>IF(SUM('Function Allocators'!$D140:$G140)=0,0,($D87*'Function Allocators'!G140/SUM('Function Allocators'!$D140:$G140)))</f>
        <v>0</v>
      </c>
      <c r="K87" s="654">
        <f>IF(SUM('Function Allocators'!$H140:$I140)=0,0,($E87*'Function Allocators'!H140/SUM('Function Allocators'!$H140:$I140)))</f>
        <v>0</v>
      </c>
      <c r="L87" s="654">
        <f>IF(SUM('Function Allocators'!$H140:$I140)=0,0,($E87*'Function Allocators'!I140/SUM('Function Allocators'!$H$134:$I$134)))</f>
        <v>0</v>
      </c>
      <c r="M87" s="654">
        <f>IF(SUM('Function Allocators'!$J140:$O140)=0,0,($F87*'Function Allocators'!J140/SUM('Function Allocators'!$J140:$O140)))</f>
        <v>0</v>
      </c>
      <c r="N87" s="654">
        <f>IF(SUM('Function Allocators'!$J140:$O140)=0,0,($F87*'Function Allocators'!K140/SUM('Function Allocators'!$J140:$O140)))</f>
        <v>1096842.9564949078</v>
      </c>
      <c r="O87" s="654">
        <f>IF(SUM('Function Allocators'!$J140:$O140)=0,0,($F87*'Function Allocators'!L140/SUM('Function Allocators'!$J140:$O140)))</f>
        <v>166190.844294776</v>
      </c>
      <c r="P87" s="654">
        <f>IF(SUM('Function Allocators'!$J140:$O140)=0,0,($F87*'Function Allocators'!M140/SUM('Function Allocators'!$J140:$O140)))</f>
        <v>0</v>
      </c>
      <c r="Q87" s="654">
        <f>IF(SUM('Function Allocators'!$J140:$O140)=0,0,($F87*'Function Allocators'!N140/SUM('Function Allocators'!$J140:$O140)))</f>
        <v>0</v>
      </c>
      <c r="R87" s="654">
        <f>IF(SUM('Function Allocators'!$J140:$O140)=0,0,($F87*'Function Allocators'!O140/SUM('Function Allocators'!$J140:$O140)))</f>
        <v>0</v>
      </c>
      <c r="T87" s="360" t="s">
        <v>439</v>
      </c>
      <c r="U87" s="52">
        <f t="shared" si="15"/>
        <v>0</v>
      </c>
      <c r="V87" s="361">
        <f>'G-4 COST OF SERVICE'!G19-SUM('Functionalization RES'!G87:J87)</f>
        <v>0</v>
      </c>
      <c r="W87" s="361">
        <f>'G-4 COST OF SERVICE'!H19-SUM('Functionalization RES'!K87:L87)</f>
        <v>0</v>
      </c>
      <c r="X87" s="361">
        <f>'G-4 COST OF SERVICE'!I19-SUM('Functionalization RES'!M87:R87)</f>
        <v>0</v>
      </c>
    </row>
    <row r="88" spans="1:24" ht="12" customHeight="1">
      <c r="A88" s="385">
        <v>880</v>
      </c>
      <c r="B88" s="379" t="s">
        <v>149</v>
      </c>
      <c r="C88" s="653">
        <f t="shared" si="14"/>
        <v>1881594.5832520472</v>
      </c>
      <c r="D88" s="653">
        <f>'G-4 COST OF SERVICE'!G20</f>
        <v>327491.28946360963</v>
      </c>
      <c r="E88" s="653">
        <f>'G-4 COST OF SERVICE'!H20</f>
        <v>0</v>
      </c>
      <c r="F88" s="653">
        <f>'G-4 COST OF SERVICE'!I20</f>
        <v>1554103.2937884375</v>
      </c>
      <c r="G88" s="654">
        <f>IF(SUM('Function Allocators'!$D141:$G141)=0,0,($D88*'Function Allocators'!D141/SUM('Function Allocators'!$D141:$G141)))</f>
        <v>0</v>
      </c>
      <c r="H88" s="654">
        <f>IF(SUM('Function Allocators'!$D141:$G141)=0,0,($D88*'Function Allocators'!E141/SUM('Function Allocators'!$D141:$G141)))</f>
        <v>296379.0166091983</v>
      </c>
      <c r="I88" s="654">
        <f>IF(SUM('Function Allocators'!$D141:$G141)=0,0,($D88*'Function Allocators'!F141/SUM('Function Allocators'!$D141:$G141)))</f>
        <v>24367.304183273285</v>
      </c>
      <c r="J88" s="654">
        <f>IF(SUM('Function Allocators'!$D141:$G141)=0,0,($D88*'Function Allocators'!G141/SUM('Function Allocators'!$D141:$G141)))</f>
        <v>6744.9686711380373</v>
      </c>
      <c r="K88" s="654">
        <f>IF(SUM('Function Allocators'!$H141:$I141)=0,0,($E88*'Function Allocators'!H141/SUM('Function Allocators'!$H141:$I141)))</f>
        <v>0</v>
      </c>
      <c r="L88" s="654">
        <f>IF(SUM('Function Allocators'!$H141:$I141)=0,0,($E88*'Function Allocators'!I141/SUM('Function Allocators'!$H$134:$I$134)))</f>
        <v>0</v>
      </c>
      <c r="M88" s="654">
        <f>IF(SUM('Function Allocators'!$J141:$O141)=0,0,($F88*'Function Allocators'!J141/SUM('Function Allocators'!$J141:$O141)))</f>
        <v>1259808.2326690112</v>
      </c>
      <c r="N88" s="654">
        <f>IF(SUM('Function Allocators'!$J141:$O141)=0,0,($F88*'Function Allocators'!K141/SUM('Function Allocators'!$J141:$O141)))</f>
        <v>242563.30278370852</v>
      </c>
      <c r="O88" s="654">
        <f>IF(SUM('Function Allocators'!$J141:$O141)=0,0,($F88*'Function Allocators'!L141/SUM('Function Allocators'!$J141:$O141)))</f>
        <v>51731.758335717619</v>
      </c>
      <c r="P88" s="654">
        <f>IF(SUM('Function Allocators'!$J141:$O141)=0,0,($F88*'Function Allocators'!M141/SUM('Function Allocators'!$J141:$O141)))</f>
        <v>0</v>
      </c>
      <c r="Q88" s="654">
        <f>IF(SUM('Function Allocators'!$J141:$O141)=0,0,($F88*'Function Allocators'!N141/SUM('Function Allocators'!$J141:$O141)))</f>
        <v>0</v>
      </c>
      <c r="R88" s="654">
        <f>IF(SUM('Function Allocators'!$J141:$O141)=0,0,($F88*'Function Allocators'!O141/SUM('Function Allocators'!$J141:$O141)))</f>
        <v>0</v>
      </c>
      <c r="T88" s="360" t="s">
        <v>441</v>
      </c>
      <c r="U88" s="52">
        <f t="shared" si="15"/>
        <v>0</v>
      </c>
      <c r="V88" s="361">
        <f>'G-4 COST OF SERVICE'!G20-SUM('Functionalization RES'!G88:J88)</f>
        <v>0</v>
      </c>
      <c r="W88" s="361">
        <f>'G-4 COST OF SERVICE'!H20-SUM('Functionalization RES'!K88:L88)</f>
        <v>0</v>
      </c>
      <c r="X88" s="361">
        <f>'G-4 COST OF SERVICE'!I20-SUM('Functionalization RES'!M88:R88)</f>
        <v>0</v>
      </c>
    </row>
    <row r="89" spans="1:24">
      <c r="A89" s="385">
        <v>881</v>
      </c>
      <c r="B89" s="379" t="s">
        <v>151</v>
      </c>
      <c r="C89" s="653">
        <f t="shared" si="14"/>
        <v>11665.77383955527</v>
      </c>
      <c r="D89" s="653">
        <f>'G-4 COST OF SERVICE'!G21</f>
        <v>11665.77383955527</v>
      </c>
      <c r="E89" s="653">
        <f>'G-4 COST OF SERVICE'!H21</f>
        <v>0</v>
      </c>
      <c r="F89" s="653">
        <f>'G-4 COST OF SERVICE'!I21</f>
        <v>0</v>
      </c>
      <c r="G89" s="654">
        <f>IF(SUM('Function Allocators'!$D142:$G142)=0,0,($D89*'Function Allocators'!D142/SUM('Function Allocators'!$D142:$G142)))</f>
        <v>0</v>
      </c>
      <c r="H89" s="654">
        <f>IF(SUM('Function Allocators'!$D142:$G142)=0,0,($D89*'Function Allocators'!E142/SUM('Function Allocators'!$D142:$G142)))</f>
        <v>10847.781116700591</v>
      </c>
      <c r="I89" s="654">
        <f>IF(SUM('Function Allocators'!$D142:$G142)=0,0,($D89*'Function Allocators'!F142/SUM('Function Allocators'!$D142:$G142)))</f>
        <v>817.99272285467862</v>
      </c>
      <c r="J89" s="654">
        <f>IF(SUM('Function Allocators'!$D142:$G142)=0,0,($D89*'Function Allocators'!G142/SUM('Function Allocators'!$D142:$G142)))</f>
        <v>0</v>
      </c>
      <c r="K89" s="654">
        <f>IF(SUM('Function Allocators'!$H142:$I142)=0,0,($E89*'Function Allocators'!H142/SUM('Function Allocators'!$H142:$I142)))</f>
        <v>0</v>
      </c>
      <c r="L89" s="654">
        <f>IF(SUM('Function Allocators'!$H142:$I142)=0,0,($E89*'Function Allocators'!I142/SUM('Function Allocators'!$H$134:$I$134)))</f>
        <v>0</v>
      </c>
      <c r="M89" s="654">
        <f>IF(SUM('Function Allocators'!$J142:$O142)=0,0,($F89*'Function Allocators'!J142/SUM('Function Allocators'!$J142:$O142)))</f>
        <v>0</v>
      </c>
      <c r="N89" s="654">
        <f>IF(SUM('Function Allocators'!$J142:$O142)=0,0,($F89*'Function Allocators'!K142/SUM('Function Allocators'!$J142:$O142)))</f>
        <v>0</v>
      </c>
      <c r="O89" s="654">
        <f>IF(SUM('Function Allocators'!$J142:$O142)=0,0,($F89*'Function Allocators'!L142/SUM('Function Allocators'!$J142:$O142)))</f>
        <v>0</v>
      </c>
      <c r="P89" s="654">
        <f>IF(SUM('Function Allocators'!$J142:$O142)=0,0,($F89*'Function Allocators'!M142/SUM('Function Allocators'!$J142:$O142)))</f>
        <v>0</v>
      </c>
      <c r="Q89" s="654">
        <f>IF(SUM('Function Allocators'!$J142:$O142)=0,0,($F89*'Function Allocators'!N142/SUM('Function Allocators'!$J142:$O142)))</f>
        <v>0</v>
      </c>
      <c r="R89" s="654">
        <f>IF(SUM('Function Allocators'!$J142:$O142)=0,0,($F89*'Function Allocators'!O142/SUM('Function Allocators'!$J142:$O142)))</f>
        <v>0</v>
      </c>
      <c r="T89" s="360" t="s">
        <v>441</v>
      </c>
      <c r="U89" s="52">
        <f t="shared" si="15"/>
        <v>0</v>
      </c>
      <c r="V89" s="361">
        <f>'G-4 COST OF SERVICE'!G21-SUM('Functionalization RES'!G89:J89)</f>
        <v>0</v>
      </c>
      <c r="W89" s="361">
        <f>'G-4 COST OF SERVICE'!H21-SUM('Functionalization RES'!K89:L89)</f>
        <v>0</v>
      </c>
      <c r="X89" s="361">
        <f>'G-4 COST OF SERVICE'!I21-SUM('Functionalization RES'!M89:R89)</f>
        <v>0</v>
      </c>
    </row>
    <row r="90" spans="1:24">
      <c r="A90" s="385">
        <v>885</v>
      </c>
      <c r="B90" s="379" t="s">
        <v>152</v>
      </c>
      <c r="C90" s="653">
        <f t="shared" si="14"/>
        <v>174653.98562750011</v>
      </c>
      <c r="D90" s="653">
        <f>'G-4 COST OF SERVICE'!G22</f>
        <v>21181.785396202391</v>
      </c>
      <c r="E90" s="653">
        <f>'G-4 COST OF SERVICE'!H22</f>
        <v>0</v>
      </c>
      <c r="F90" s="653">
        <f>'G-4 COST OF SERVICE'!I22</f>
        <v>153472.20023129767</v>
      </c>
      <c r="G90" s="654">
        <f>IF(SUM('Function Allocators'!$D143:$G143)=0,0,($D90*'Function Allocators'!D143/SUM('Function Allocators'!$D143:$G143)))</f>
        <v>0</v>
      </c>
      <c r="H90" s="654">
        <f>IF(SUM('Function Allocators'!$D143:$G143)=0,0,($D90*'Function Allocators'!E143/SUM('Function Allocators'!$D143:$G143)))</f>
        <v>14891.135304376408</v>
      </c>
      <c r="I90" s="654">
        <f>IF(SUM('Function Allocators'!$D143:$G143)=0,0,($D90*'Function Allocators'!F143/SUM('Function Allocators'!$D143:$G143)))</f>
        <v>6095.9926310246137</v>
      </c>
      <c r="J90" s="654">
        <f>IF(SUM('Function Allocators'!$D143:$G143)=0,0,($D90*'Function Allocators'!G143/SUM('Function Allocators'!$D143:$G143)))</f>
        <v>194.6574608013668</v>
      </c>
      <c r="K90" s="654">
        <f>IF(SUM('Function Allocators'!$H143:$I143)=0,0,($E90*'Function Allocators'!H143/SUM('Function Allocators'!$H143:$I143)))</f>
        <v>0</v>
      </c>
      <c r="L90" s="654">
        <f>IF(SUM('Function Allocators'!$H143:$I143)=0,0,($E90*'Function Allocators'!I143/SUM('Function Allocators'!$H$134:$I$134)))</f>
        <v>0</v>
      </c>
      <c r="M90" s="654">
        <f>IF(SUM('Function Allocators'!$J143:$O143)=0,0,($F90*'Function Allocators'!J143/SUM('Function Allocators'!$J143:$O143)))</f>
        <v>64221.908228893109</v>
      </c>
      <c r="N90" s="654">
        <f>IF(SUM('Function Allocators'!$J143:$O143)=0,0,($F90*'Function Allocators'!K143/SUM('Function Allocators'!$J143:$O143)))</f>
        <v>77398.693768735582</v>
      </c>
      <c r="O90" s="654">
        <f>IF(SUM('Function Allocators'!$J143:$O143)=0,0,($F90*'Function Allocators'!L143/SUM('Function Allocators'!$J143:$O143)))</f>
        <v>11851.598233669003</v>
      </c>
      <c r="P90" s="654">
        <f>IF(SUM('Function Allocators'!$J143:$O143)=0,0,($F90*'Function Allocators'!M143/SUM('Function Allocators'!$J143:$O143)))</f>
        <v>0</v>
      </c>
      <c r="Q90" s="654">
        <f>IF(SUM('Function Allocators'!$J143:$O143)=0,0,($F90*'Function Allocators'!N143/SUM('Function Allocators'!$J143:$O143)))</f>
        <v>0</v>
      </c>
      <c r="R90" s="654">
        <f>IF(SUM('Function Allocators'!$J143:$O143)=0,0,($F90*'Function Allocators'!O143/SUM('Function Allocators'!$J143:$O143)))</f>
        <v>0</v>
      </c>
      <c r="T90" s="360" t="s">
        <v>441</v>
      </c>
      <c r="U90" s="52">
        <f t="shared" si="15"/>
        <v>0</v>
      </c>
      <c r="V90" s="361">
        <f>'G-4 COST OF SERVICE'!G22-SUM('Functionalization RES'!G90:J90)</f>
        <v>0</v>
      </c>
      <c r="W90" s="361">
        <f>'G-4 COST OF SERVICE'!H22-SUM('Functionalization RES'!K90:L90)</f>
        <v>0</v>
      </c>
      <c r="X90" s="361">
        <f>'G-4 COST OF SERVICE'!I22-SUM('Functionalization RES'!M90:R90)</f>
        <v>0</v>
      </c>
    </row>
    <row r="91" spans="1:24">
      <c r="A91" s="385">
        <v>887</v>
      </c>
      <c r="B91" s="379" t="s">
        <v>154</v>
      </c>
      <c r="C91" s="653">
        <f t="shared" si="14"/>
        <v>434619.28041325527</v>
      </c>
      <c r="D91" s="653">
        <f>'G-4 COST OF SERVICE'!G23</f>
        <v>155937.90739078316</v>
      </c>
      <c r="E91" s="653">
        <f>'G-4 COST OF SERVICE'!H23</f>
        <v>0</v>
      </c>
      <c r="F91" s="653">
        <f>'G-4 COST OF SERVICE'!I23</f>
        <v>278681.37302247214</v>
      </c>
      <c r="G91" s="654">
        <f>IF(SUM('Function Allocators'!$D144:$G144)=0,0,($D91*'Function Allocators'!D144/SUM('Function Allocators'!$D144:$G144)))</f>
        <v>0</v>
      </c>
      <c r="H91" s="654">
        <f>IF(SUM('Function Allocators'!$D144:$G144)=0,0,($D91*'Function Allocators'!E144/SUM('Function Allocators'!$D144:$G144)))</f>
        <v>155937.90739078313</v>
      </c>
      <c r="I91" s="654">
        <f>IF(SUM('Function Allocators'!$D144:$G144)=0,0,($D91*'Function Allocators'!F144/SUM('Function Allocators'!$D144:$G144)))</f>
        <v>0</v>
      </c>
      <c r="J91" s="654">
        <f>IF(SUM('Function Allocators'!$D144:$G144)=0,0,($D91*'Function Allocators'!G144/SUM('Function Allocators'!$D144:$G144)))</f>
        <v>0</v>
      </c>
      <c r="K91" s="654">
        <f>IF(SUM('Function Allocators'!$H144:$I144)=0,0,($E91*'Function Allocators'!H144/SUM('Function Allocators'!$H144:$I144)))</f>
        <v>0</v>
      </c>
      <c r="L91" s="654">
        <f>IF(SUM('Function Allocators'!$H144:$I144)=0,0,($E91*'Function Allocators'!I144/SUM('Function Allocators'!$H$134:$I$134)))</f>
        <v>0</v>
      </c>
      <c r="M91" s="654">
        <f>IF(SUM('Function Allocators'!$J144:$O144)=0,0,($F91*'Function Allocators'!J144/SUM('Function Allocators'!$J144:$O144)))</f>
        <v>278681.37302247214</v>
      </c>
      <c r="N91" s="654">
        <f>IF(SUM('Function Allocators'!$J144:$O144)=0,0,($F91*'Function Allocators'!K144/SUM('Function Allocators'!$J144:$O144)))</f>
        <v>0</v>
      </c>
      <c r="O91" s="654">
        <f>IF(SUM('Function Allocators'!$J144:$O144)=0,0,($F91*'Function Allocators'!L144/SUM('Function Allocators'!$J144:$O144)))</f>
        <v>0</v>
      </c>
      <c r="P91" s="654">
        <f>IF(SUM('Function Allocators'!$J144:$O144)=0,0,($F91*'Function Allocators'!M144/SUM('Function Allocators'!$J144:$O144)))</f>
        <v>0</v>
      </c>
      <c r="Q91" s="654">
        <f>IF(SUM('Function Allocators'!$J144:$O144)=0,0,($F91*'Function Allocators'!N144/SUM('Function Allocators'!$J144:$O144)))</f>
        <v>0</v>
      </c>
      <c r="R91" s="654">
        <f>IF(SUM('Function Allocators'!$J144:$O144)=0,0,($F91*'Function Allocators'!O144/SUM('Function Allocators'!$J144:$O144)))</f>
        <v>0</v>
      </c>
      <c r="T91" s="360" t="s">
        <v>442</v>
      </c>
      <c r="U91" s="52">
        <f t="shared" si="15"/>
        <v>0</v>
      </c>
      <c r="V91" s="361">
        <f>'G-4 COST OF SERVICE'!G23-SUM('Functionalization RES'!G91:J91)</f>
        <v>0</v>
      </c>
      <c r="W91" s="361">
        <f>'G-4 COST OF SERVICE'!H23-SUM('Functionalization RES'!K91:L91)</f>
        <v>0</v>
      </c>
      <c r="X91" s="361">
        <f>'G-4 COST OF SERVICE'!I23-SUM('Functionalization RES'!M91:R91)</f>
        <v>0</v>
      </c>
    </row>
    <row r="92" spans="1:24">
      <c r="A92" s="385">
        <v>889</v>
      </c>
      <c r="B92" s="379" t="s">
        <v>156</v>
      </c>
      <c r="C92" s="653">
        <f t="shared" si="14"/>
        <v>4054.4418704641157</v>
      </c>
      <c r="D92" s="653">
        <f>'G-4 COST OF SERVICE'!G24</f>
        <v>4054.4418704641157</v>
      </c>
      <c r="E92" s="653">
        <f>'G-4 COST OF SERVICE'!H24</f>
        <v>0</v>
      </c>
      <c r="F92" s="653">
        <f>'G-4 COST OF SERVICE'!I24</f>
        <v>0</v>
      </c>
      <c r="G92" s="654">
        <f>IF(SUM('Function Allocators'!$D145:$G145)=0,0,($D92*'Function Allocators'!D145/SUM('Function Allocators'!$D145:$G145)))</f>
        <v>0</v>
      </c>
      <c r="H92" s="654">
        <f>IF(SUM('Function Allocators'!$D145:$G145)=0,0,($D92*'Function Allocators'!E145/SUM('Function Allocators'!$D145:$G145)))</f>
        <v>0</v>
      </c>
      <c r="I92" s="654">
        <f>IF(SUM('Function Allocators'!$D145:$G145)=0,0,($D92*'Function Allocators'!F145/SUM('Function Allocators'!$D145:$G145)))</f>
        <v>4054.4418704641157</v>
      </c>
      <c r="J92" s="654">
        <f>IF(SUM('Function Allocators'!$D145:$G145)=0,0,($D92*'Function Allocators'!G145/SUM('Function Allocators'!$D145:$G145)))</f>
        <v>0</v>
      </c>
      <c r="K92" s="654">
        <f>IF(SUM('Function Allocators'!$H145:$I145)=0,0,($E92*'Function Allocators'!H145/SUM('Function Allocators'!$H145:$I145)))</f>
        <v>0</v>
      </c>
      <c r="L92" s="654">
        <f>IF(SUM('Function Allocators'!$H145:$I145)=0,0,($E92*'Function Allocators'!I145/SUM('Function Allocators'!$H$134:$I$134)))</f>
        <v>0</v>
      </c>
      <c r="M92" s="654">
        <f>IF(SUM('Function Allocators'!$J145:$O145)=0,0,($F92*'Function Allocators'!J145/SUM('Function Allocators'!$J145:$O145)))</f>
        <v>0</v>
      </c>
      <c r="N92" s="654">
        <f>IF(SUM('Function Allocators'!$J145:$O145)=0,0,($F92*'Function Allocators'!K145/SUM('Function Allocators'!$J145:$O145)))</f>
        <v>0</v>
      </c>
      <c r="O92" s="654">
        <f>IF(SUM('Function Allocators'!$J145:$O145)=0,0,($F92*'Function Allocators'!L145/SUM('Function Allocators'!$J145:$O145)))</f>
        <v>0</v>
      </c>
      <c r="P92" s="654">
        <f>IF(SUM('Function Allocators'!$J145:$O145)=0,0,($F92*'Function Allocators'!M145/SUM('Function Allocators'!$J145:$O145)))</f>
        <v>0</v>
      </c>
      <c r="Q92" s="654">
        <f>IF(SUM('Function Allocators'!$J145:$O145)=0,0,($F92*'Function Allocators'!N145/SUM('Function Allocators'!$J145:$O145)))</f>
        <v>0</v>
      </c>
      <c r="R92" s="654">
        <f>IF(SUM('Function Allocators'!$J145:$O145)=0,0,($F92*'Function Allocators'!O145/SUM('Function Allocators'!$J145:$O145)))</f>
        <v>0</v>
      </c>
      <c r="T92" s="360" t="s">
        <v>431</v>
      </c>
      <c r="U92" s="52">
        <f t="shared" si="15"/>
        <v>0</v>
      </c>
      <c r="V92" s="361">
        <f>'G-4 COST OF SERVICE'!G24-SUM('Functionalization RES'!G92:J92)</f>
        <v>0</v>
      </c>
      <c r="W92" s="361">
        <f>'G-4 COST OF SERVICE'!H24-SUM('Functionalization RES'!K92:L92)</f>
        <v>0</v>
      </c>
      <c r="X92" s="361">
        <f>'G-4 COST OF SERVICE'!I24-SUM('Functionalization RES'!M92:R92)</f>
        <v>0</v>
      </c>
    </row>
    <row r="93" spans="1:24">
      <c r="A93" s="385">
        <v>892</v>
      </c>
      <c r="B93" s="379" t="s">
        <v>157</v>
      </c>
      <c r="C93" s="654">
        <f t="shared" si="14"/>
        <v>287488.88992023334</v>
      </c>
      <c r="D93" s="654">
        <f>'G-4 COST OF SERVICE'!G25</f>
        <v>0</v>
      </c>
      <c r="E93" s="654">
        <f>'G-4 COST OF SERVICE'!H25</f>
        <v>0</v>
      </c>
      <c r="F93" s="654">
        <f>'G-4 COST OF SERVICE'!I25</f>
        <v>287488.88992023334</v>
      </c>
      <c r="G93" s="654">
        <f>IF(SUM('Function Allocators'!$D146:$G146)=0,0,($D93*'Function Allocators'!D146/SUM('Function Allocators'!$D146:$G146)))</f>
        <v>0</v>
      </c>
      <c r="H93" s="654">
        <f>IF(SUM('Function Allocators'!$D146:$G146)=0,0,($D93*'Function Allocators'!E146/SUM('Function Allocators'!$D146:$G146)))</f>
        <v>0</v>
      </c>
      <c r="I93" s="654">
        <f>IF(SUM('Function Allocators'!$D146:$G146)=0,0,($D93*'Function Allocators'!F146/SUM('Function Allocators'!$D146:$G146)))</f>
        <v>0</v>
      </c>
      <c r="J93" s="654">
        <f>IF(SUM('Function Allocators'!$D146:$G146)=0,0,($D93*'Function Allocators'!G146/SUM('Function Allocators'!$D146:$G146)))</f>
        <v>0</v>
      </c>
      <c r="K93" s="654">
        <f>IF(SUM('Function Allocators'!$H146:$I146)=0,0,($E93*'Function Allocators'!H146/SUM('Function Allocators'!$H146:$I146)))</f>
        <v>0</v>
      </c>
      <c r="L93" s="654">
        <f>IF(SUM('Function Allocators'!$H146:$I146)=0,0,($E93*'Function Allocators'!I146/SUM('Function Allocators'!$H$134:$I$134)))</f>
        <v>0</v>
      </c>
      <c r="M93" s="654">
        <f>IF(SUM('Function Allocators'!$J146:$O146)=0,0,($F93*'Function Allocators'!J146/SUM('Function Allocators'!$J146:$O146)))</f>
        <v>287488.88992023334</v>
      </c>
      <c r="N93" s="654">
        <f>IF(SUM('Function Allocators'!$J146:$O146)=0,0,($F93*'Function Allocators'!K146/SUM('Function Allocators'!$J146:$O146)))</f>
        <v>0</v>
      </c>
      <c r="O93" s="654">
        <f>IF(SUM('Function Allocators'!$J146:$O146)=0,0,($F93*'Function Allocators'!L146/SUM('Function Allocators'!$J146:$O146)))</f>
        <v>0</v>
      </c>
      <c r="P93" s="654">
        <f>IF(SUM('Function Allocators'!$J146:$O146)=0,0,($F93*'Function Allocators'!M146/SUM('Function Allocators'!$J146:$O146)))</f>
        <v>0</v>
      </c>
      <c r="Q93" s="654">
        <f>IF(SUM('Function Allocators'!$J146:$O146)=0,0,($F93*'Function Allocators'!N146/SUM('Function Allocators'!$J146:$O146)))</f>
        <v>0</v>
      </c>
      <c r="R93" s="654">
        <f>IF(SUM('Function Allocators'!$J146:$O146)=0,0,($F93*'Function Allocators'!O146/SUM('Function Allocators'!$J146:$O146)))</f>
        <v>0</v>
      </c>
      <c r="T93" s="360" t="s">
        <v>449</v>
      </c>
      <c r="U93" s="52">
        <f t="shared" si="15"/>
        <v>0</v>
      </c>
      <c r="V93" s="361">
        <f>'G-4 COST OF SERVICE'!G25-SUM('Functionalization RES'!G93:J93)</f>
        <v>0</v>
      </c>
      <c r="W93" s="361">
        <f>'G-4 COST OF SERVICE'!H25-SUM('Functionalization RES'!K93:L93)</f>
        <v>0</v>
      </c>
      <c r="X93" s="361">
        <f>'G-4 COST OF SERVICE'!I25-SUM('Functionalization RES'!M93:R93)</f>
        <v>0</v>
      </c>
    </row>
    <row r="94" spans="1:24">
      <c r="A94" s="385">
        <v>893</v>
      </c>
      <c r="B94" s="379" t="s">
        <v>158</v>
      </c>
      <c r="C94" s="654">
        <f t="shared" si="14"/>
        <v>274053.4463436564</v>
      </c>
      <c r="D94" s="654">
        <f>'G-4 COST OF SERVICE'!G26</f>
        <v>0</v>
      </c>
      <c r="E94" s="654">
        <f>'G-4 COST OF SERVICE'!H26</f>
        <v>0</v>
      </c>
      <c r="F94" s="654">
        <f>'G-4 COST OF SERVICE'!I26</f>
        <v>274053.4463436564</v>
      </c>
      <c r="G94" s="654">
        <f>IF(SUM('Function Allocators'!$D147:$G147)=0,0,($D94*'Function Allocators'!D147/SUM('Function Allocators'!$D147:$G147)))</f>
        <v>0</v>
      </c>
      <c r="H94" s="654">
        <f>IF(SUM('Function Allocators'!$D147:$G147)=0,0,($D94*'Function Allocators'!E147/SUM('Function Allocators'!$D147:$G147)))</f>
        <v>0</v>
      </c>
      <c r="I94" s="654">
        <f>IF(SUM('Function Allocators'!$D147:$G147)=0,0,($D94*'Function Allocators'!F147/SUM('Function Allocators'!$D147:$G147)))</f>
        <v>0</v>
      </c>
      <c r="J94" s="654">
        <f>IF(SUM('Function Allocators'!$D147:$G147)=0,0,($D94*'Function Allocators'!G147/SUM('Function Allocators'!$D147:$G147)))</f>
        <v>0</v>
      </c>
      <c r="K94" s="654">
        <f>IF(SUM('Function Allocators'!$H147:$I147)=0,0,($E94*'Function Allocators'!H147/SUM('Function Allocators'!$H147:$I147)))</f>
        <v>0</v>
      </c>
      <c r="L94" s="654">
        <f>IF(SUM('Function Allocators'!$H147:$I147)=0,0,($E94*'Function Allocators'!I147/SUM('Function Allocators'!$H$134:$I$134)))</f>
        <v>0</v>
      </c>
      <c r="M94" s="654">
        <f>IF(SUM('Function Allocators'!$J147:$O147)=0,0,($F94*'Function Allocators'!J147/SUM('Function Allocators'!$J147:$O147)))</f>
        <v>0</v>
      </c>
      <c r="N94" s="654">
        <f>IF(SUM('Function Allocators'!$J147:$O147)=0,0,($F94*'Function Allocators'!K147/SUM('Function Allocators'!$J147:$O147)))</f>
        <v>237993.30796789067</v>
      </c>
      <c r="O94" s="654">
        <f>IF(SUM('Function Allocators'!$J147:$O147)=0,0,($F94*'Function Allocators'!L147/SUM('Function Allocators'!$J147:$O147)))</f>
        <v>36060.138375765753</v>
      </c>
      <c r="P94" s="654">
        <f>IF(SUM('Function Allocators'!$J147:$O147)=0,0,($F94*'Function Allocators'!M147/SUM('Function Allocators'!$J147:$O147)))</f>
        <v>0</v>
      </c>
      <c r="Q94" s="654">
        <f>IF(SUM('Function Allocators'!$J147:$O147)=0,0,($F94*'Function Allocators'!N147/SUM('Function Allocators'!$J147:$O147)))</f>
        <v>0</v>
      </c>
      <c r="R94" s="654">
        <f>IF(SUM('Function Allocators'!$J147:$O147)=0,0,($F94*'Function Allocators'!O147/SUM('Function Allocators'!$J147:$O147)))</f>
        <v>0</v>
      </c>
      <c r="T94" s="360" t="s">
        <v>439</v>
      </c>
      <c r="U94" s="52">
        <f t="shared" si="15"/>
        <v>0</v>
      </c>
      <c r="V94" s="361">
        <f>'G-4 COST OF SERVICE'!G26-SUM('Functionalization RES'!G94:J94)</f>
        <v>0</v>
      </c>
      <c r="W94" s="361">
        <f>'G-4 COST OF SERVICE'!H26-SUM('Functionalization RES'!K94:L94)</f>
        <v>0</v>
      </c>
      <c r="X94" s="361">
        <f>'G-4 COST OF SERVICE'!I26-SUM('Functionalization RES'!M94:R94)</f>
        <v>0</v>
      </c>
    </row>
    <row r="95" spans="1:24">
      <c r="A95" s="385">
        <v>894</v>
      </c>
      <c r="B95" s="379" t="s">
        <v>159</v>
      </c>
      <c r="C95" s="653">
        <f t="shared" si="14"/>
        <v>46722.864744679297</v>
      </c>
      <c r="D95" s="653">
        <f>'G-4 COST OF SERVICE'!G27</f>
        <v>46722.864744679297</v>
      </c>
      <c r="E95" s="653">
        <f>'G-4 COST OF SERVICE'!H27</f>
        <v>0</v>
      </c>
      <c r="F95" s="653">
        <f>'G-4 COST OF SERVICE'!I27</f>
        <v>0</v>
      </c>
      <c r="G95" s="654">
        <f>IF(SUM('Function Allocators'!$D148:$G148)=0,0,($D95*'Function Allocators'!D148/SUM('Function Allocators'!$D148:$G148)))</f>
        <v>0</v>
      </c>
      <c r="H95" s="654">
        <f>IF(SUM('Function Allocators'!$D148:$G148)=0,0,($D95*'Function Allocators'!E148/SUM('Function Allocators'!$D148:$G148)))</f>
        <v>0</v>
      </c>
      <c r="I95" s="654">
        <f>IF(SUM('Function Allocators'!$D148:$G148)=0,0,($D95*'Function Allocators'!F148/SUM('Function Allocators'!$D148:$G148)))</f>
        <v>0</v>
      </c>
      <c r="J95" s="654">
        <f>IF(SUM('Function Allocators'!$D148:$G148)=0,0,($D95*'Function Allocators'!G148/SUM('Function Allocators'!$D148:$G148)))</f>
        <v>46722.864744679297</v>
      </c>
      <c r="K95" s="654">
        <f>IF(SUM('Function Allocators'!$H148:$I148)=0,0,($E95*'Function Allocators'!H148/SUM('Function Allocators'!$H148:$I148)))</f>
        <v>0</v>
      </c>
      <c r="L95" s="654">
        <f>IF(SUM('Function Allocators'!$H148:$I148)=0,0,($E95*'Function Allocators'!I148/SUM('Function Allocators'!$H$134:$I$134)))</f>
        <v>0</v>
      </c>
      <c r="M95" s="654">
        <f>IF(SUM('Function Allocators'!$J148:$O148)=0,0,($F95*'Function Allocators'!J148/SUM('Function Allocators'!$J148:$O148)))</f>
        <v>0</v>
      </c>
      <c r="N95" s="654">
        <f>IF(SUM('Function Allocators'!$J148:$O148)=0,0,($F95*'Function Allocators'!K148/SUM('Function Allocators'!$J148:$O148)))</f>
        <v>0</v>
      </c>
      <c r="O95" s="654">
        <f>IF(SUM('Function Allocators'!$J148:$O148)=0,0,($F95*'Function Allocators'!L148/SUM('Function Allocators'!$J148:$O148)))</f>
        <v>0</v>
      </c>
      <c r="P95" s="654">
        <f>IF(SUM('Function Allocators'!$J148:$O148)=0,0,($F95*'Function Allocators'!M148/SUM('Function Allocators'!$J148:$O148)))</f>
        <v>0</v>
      </c>
      <c r="Q95" s="654">
        <f>IF(SUM('Function Allocators'!$J148:$O148)=0,0,($F95*'Function Allocators'!N148/SUM('Function Allocators'!$J148:$O148)))</f>
        <v>0</v>
      </c>
      <c r="R95" s="654">
        <f>IF(SUM('Function Allocators'!$J148:$O148)=0,0,($F95*'Function Allocators'!O148/SUM('Function Allocators'!$J148:$O148)))</f>
        <v>0</v>
      </c>
      <c r="T95" s="360" t="s">
        <v>428</v>
      </c>
      <c r="U95" s="52">
        <f t="shared" si="15"/>
        <v>0</v>
      </c>
      <c r="V95" s="361">
        <f>'G-4 COST OF SERVICE'!G27-SUM('Functionalization RES'!G95:J95)</f>
        <v>0</v>
      </c>
      <c r="W95" s="361">
        <f>'G-4 COST OF SERVICE'!H27-SUM('Functionalization RES'!K95:L95)</f>
        <v>0</v>
      </c>
      <c r="X95" s="361">
        <f>'G-4 COST OF SERVICE'!I27-SUM('Functionalization RES'!M95:R95)</f>
        <v>0</v>
      </c>
    </row>
    <row r="96" spans="1:24">
      <c r="A96" s="385"/>
      <c r="B96" s="377" t="s">
        <v>282</v>
      </c>
      <c r="C96" s="655">
        <f t="shared" ref="C96:R96" si="16">SUM(C81:C95)</f>
        <v>7925554.0105683357</v>
      </c>
      <c r="D96" s="655">
        <f t="shared" si="16"/>
        <v>1251980.8477995261</v>
      </c>
      <c r="E96" s="655">
        <f t="shared" si="16"/>
        <v>0</v>
      </c>
      <c r="F96" s="655">
        <f t="shared" si="16"/>
        <v>6673573.1627688101</v>
      </c>
      <c r="G96" s="656">
        <f t="shared" si="16"/>
        <v>0</v>
      </c>
      <c r="H96" s="655">
        <f t="shared" si="16"/>
        <v>823288.2551267175</v>
      </c>
      <c r="I96" s="655">
        <f t="shared" si="16"/>
        <v>375030.10179618979</v>
      </c>
      <c r="J96" s="655">
        <f t="shared" si="16"/>
        <v>53662.4908766187</v>
      </c>
      <c r="K96" s="655">
        <f t="shared" si="16"/>
        <v>0</v>
      </c>
      <c r="L96" s="655">
        <f t="shared" si="16"/>
        <v>0</v>
      </c>
      <c r="M96" s="655">
        <f t="shared" si="16"/>
        <v>3394548.8918342437</v>
      </c>
      <c r="N96" s="655">
        <f t="shared" si="16"/>
        <v>2834451.8341931659</v>
      </c>
      <c r="O96" s="655">
        <f t="shared" si="16"/>
        <v>444572.43674139917</v>
      </c>
      <c r="P96" s="655">
        <f t="shared" si="16"/>
        <v>0</v>
      </c>
      <c r="Q96" s="655">
        <f t="shared" si="16"/>
        <v>0</v>
      </c>
      <c r="R96" s="655">
        <f t="shared" si="16"/>
        <v>0</v>
      </c>
      <c r="U96" s="52">
        <f t="shared" si="15"/>
        <v>0</v>
      </c>
      <c r="V96" s="361">
        <f>'G-4 COST OF SERVICE'!G28-SUM('Functionalization RES'!G96:J96)</f>
        <v>0</v>
      </c>
      <c r="W96" s="361">
        <f>'G-4 COST OF SERVICE'!H28-SUM('Functionalization RES'!K96:L96)</f>
        <v>0</v>
      </c>
      <c r="X96" s="361">
        <f>'G-4 COST OF SERVICE'!I28-SUM('Functionalization RES'!M96:R96)</f>
        <v>0</v>
      </c>
    </row>
    <row r="97" spans="1:24" ht="11.25">
      <c r="A97" s="452"/>
      <c r="B97" s="451"/>
      <c r="C97" s="653"/>
      <c r="D97" s="653"/>
      <c r="E97" s="653"/>
      <c r="F97" s="653"/>
      <c r="G97" s="654"/>
      <c r="H97" s="653"/>
      <c r="I97" s="653"/>
      <c r="J97" s="653"/>
      <c r="K97" s="653"/>
      <c r="L97" s="653"/>
      <c r="M97" s="653"/>
      <c r="N97" s="653"/>
      <c r="O97" s="653"/>
      <c r="P97" s="653"/>
      <c r="Q97" s="653"/>
      <c r="R97" s="653"/>
      <c r="U97" s="360"/>
      <c r="V97" s="361"/>
      <c r="W97" s="361"/>
      <c r="X97" s="361"/>
    </row>
    <row r="98" spans="1:24" ht="11.25">
      <c r="A98" s="385"/>
      <c r="B98" s="377" t="s">
        <v>161</v>
      </c>
      <c r="C98" s="653"/>
      <c r="D98" s="653"/>
      <c r="E98" s="653"/>
      <c r="F98" s="653"/>
      <c r="G98" s="654"/>
      <c r="H98" s="653"/>
      <c r="I98" s="653"/>
      <c r="J98" s="653"/>
      <c r="K98" s="653"/>
      <c r="L98" s="653"/>
      <c r="M98" s="653"/>
      <c r="N98" s="653"/>
      <c r="O98" s="653"/>
      <c r="P98" s="653"/>
      <c r="Q98" s="653"/>
      <c r="R98" s="653"/>
      <c r="U98" s="360"/>
      <c r="V98" s="361"/>
      <c r="W98" s="361"/>
      <c r="X98" s="361"/>
    </row>
    <row r="99" spans="1:24">
      <c r="A99" s="385">
        <v>901</v>
      </c>
      <c r="B99" s="379" t="s">
        <v>162</v>
      </c>
      <c r="C99" s="654">
        <f t="shared" ref="C99:C107" si="17">SUM(G99:R99)</f>
        <v>83263.079388445971</v>
      </c>
      <c r="D99" s="654">
        <f>'G-4 COST OF SERVICE'!G31</f>
        <v>0</v>
      </c>
      <c r="E99" s="654">
        <f>'G-4 COST OF SERVICE'!H31</f>
        <v>0</v>
      </c>
      <c r="F99" s="654">
        <f>'G-4 COST OF SERVICE'!I31</f>
        <v>83263.079388445971</v>
      </c>
      <c r="G99" s="654">
        <f>IF(SUM('Function Allocators'!$D152:$G152)=0,0,($D99*'Function Allocators'!D152/SUM('Function Allocators'!$D152:$G152)))</f>
        <v>0</v>
      </c>
      <c r="H99" s="654">
        <f>IF(SUM('Function Allocators'!$D152:$G152)=0,0,($D99*'Function Allocators'!E152/SUM('Function Allocators'!$D152:$G152)))</f>
        <v>0</v>
      </c>
      <c r="I99" s="654">
        <f>IF(SUM('Function Allocators'!$D152:$G152)=0,0,($D99*'Function Allocators'!F152/SUM('Function Allocators'!$D152:$G152)))</f>
        <v>0</v>
      </c>
      <c r="J99" s="654">
        <f>IF(SUM('Function Allocators'!$D152:$G152)=0,0,($D99*'Function Allocators'!G152/SUM('Function Allocators'!$D152:$G152)))</f>
        <v>0</v>
      </c>
      <c r="K99" s="654">
        <f>IF(SUM('Function Allocators'!$H152:$I152)=0,0,($E99*'Function Allocators'!H152/SUM('Function Allocators'!$H152:$I152)))</f>
        <v>0</v>
      </c>
      <c r="L99" s="654">
        <f>IF(SUM('Function Allocators'!$H152:$I152)=0,0,($E99*'Function Allocators'!I152/SUM('Function Allocators'!$H152:$I152)))</f>
        <v>0</v>
      </c>
      <c r="M99" s="654">
        <f>IF(SUM('Function Allocators'!$J152:$O152)=0,0,($F99*'Function Allocators'!J152/SUM('Function Allocators'!$J152:$O152)))</f>
        <v>63937.6009101612</v>
      </c>
      <c r="N99" s="654">
        <f>IF(SUM('Function Allocators'!$J152:$O152)=0,0,($F99*'Function Allocators'!K152/SUM('Function Allocators'!$J152:$O152)))</f>
        <v>16778.129059138217</v>
      </c>
      <c r="O99" s="654">
        <f>IF(SUM('Function Allocators'!$J152:$O152)=0,0,($F99*'Function Allocators'!L152/SUM('Function Allocators'!$J152:$O152)))</f>
        <v>2547.3494191465543</v>
      </c>
      <c r="P99" s="654">
        <f>IF(SUM('Function Allocators'!$J152:$O152)=0,0,($F99*'Function Allocators'!M152/SUM('Function Allocators'!$J152:$O152)))</f>
        <v>0</v>
      </c>
      <c r="Q99" s="654">
        <f>IF(SUM('Function Allocators'!$J152:$O152)=0,0,($F99*'Function Allocators'!N152/SUM('Function Allocators'!$J152:$O152)))</f>
        <v>0</v>
      </c>
      <c r="R99" s="654">
        <f>IF(SUM('Function Allocators'!$J152:$O152)=0,0,($F99*'Function Allocators'!O152/SUM('Function Allocators'!$J152:$O152)))</f>
        <v>0</v>
      </c>
      <c r="T99" s="360" t="s">
        <v>69</v>
      </c>
      <c r="U99" s="52">
        <f t="shared" ref="U99:U108" si="18">C99-SUM(D99:F99)</f>
        <v>0</v>
      </c>
      <c r="V99" s="361">
        <f>'G-4 COST OF SERVICE'!G31-SUM('Functionalization RES'!G99:J99)</f>
        <v>0</v>
      </c>
      <c r="W99" s="361">
        <f>'G-4 COST OF SERVICE'!H31-SUM('Functionalization RES'!K99:L99)</f>
        <v>0</v>
      </c>
      <c r="X99" s="361">
        <f>'G-4 COST OF SERVICE'!I31-SUM('Functionalization RES'!M99:R99)</f>
        <v>0</v>
      </c>
    </row>
    <row r="100" spans="1:24">
      <c r="A100" s="385">
        <v>902</v>
      </c>
      <c r="B100" s="379" t="s">
        <v>163</v>
      </c>
      <c r="C100" s="653">
        <f t="shared" si="17"/>
        <v>100410.38862623923</v>
      </c>
      <c r="D100" s="653">
        <f>'G-4 COST OF SERVICE'!G32</f>
        <v>0</v>
      </c>
      <c r="E100" s="653">
        <f>'G-4 COST OF SERVICE'!H32</f>
        <v>0</v>
      </c>
      <c r="F100" s="653">
        <f>'G-4 COST OF SERVICE'!I32</f>
        <v>100410.38862623923</v>
      </c>
      <c r="G100" s="654">
        <f>IF(SUM('Function Allocators'!$D153:$G153)=0,0,($D100*'Function Allocators'!D153/SUM('Function Allocators'!$D153:$G153)))</f>
        <v>0</v>
      </c>
      <c r="H100" s="654">
        <f>IF(SUM('Function Allocators'!$D153:$G153)=0,0,($D100*'Function Allocators'!E153/SUM('Function Allocators'!$D153:$G153)))</f>
        <v>0</v>
      </c>
      <c r="I100" s="654">
        <f>IF(SUM('Function Allocators'!$D153:$G153)=0,0,($D100*'Function Allocators'!F153/SUM('Function Allocators'!$D153:$G153)))</f>
        <v>0</v>
      </c>
      <c r="J100" s="654">
        <f>IF(SUM('Function Allocators'!$D153:$G153)=0,0,($D100*'Function Allocators'!G153/SUM('Function Allocators'!$D153:$G153)))</f>
        <v>0</v>
      </c>
      <c r="K100" s="654">
        <f>IF(SUM('Function Allocators'!$H153:$I153)=0,0,($E100*'Function Allocators'!H153/SUM('Function Allocators'!$H153:$I153)))</f>
        <v>0</v>
      </c>
      <c r="L100" s="654">
        <f>IF(SUM('Function Allocators'!$H153:$I153)=0,0,($E100*'Function Allocators'!I153/SUM('Function Allocators'!$H153:$I153)))</f>
        <v>0</v>
      </c>
      <c r="M100" s="654">
        <f>IF(SUM('Function Allocators'!$J153:$O153)=0,0,($F100*'Function Allocators'!J153/SUM('Function Allocators'!$J153:$O153)))</f>
        <v>0</v>
      </c>
      <c r="N100" s="654">
        <f>IF(SUM('Function Allocators'!$J153:$O153)=0,0,($F100*'Function Allocators'!K153/SUM('Function Allocators'!$J153:$O153)))</f>
        <v>0</v>
      </c>
      <c r="O100" s="654">
        <f>IF(SUM('Function Allocators'!$J153:$O153)=0,0,($F100*'Function Allocators'!L153/SUM('Function Allocators'!$J153:$O153)))</f>
        <v>0</v>
      </c>
      <c r="P100" s="654">
        <f>IF(SUM('Function Allocators'!$J153:$O153)=0,0,($F100*'Function Allocators'!M153/SUM('Function Allocators'!$J153:$O153)))</f>
        <v>100410.38862623923</v>
      </c>
      <c r="Q100" s="654">
        <f>IF(SUM('Function Allocators'!$J153:$O153)=0,0,($F100*'Function Allocators'!N153/SUM('Function Allocators'!$J153:$O153)))</f>
        <v>0</v>
      </c>
      <c r="R100" s="654">
        <f>IF(SUM('Function Allocators'!$J153:$O153)=0,0,($F100*'Function Allocators'!O153/SUM('Function Allocators'!$J153:$O153)))</f>
        <v>0</v>
      </c>
      <c r="T100" s="360" t="s">
        <v>443</v>
      </c>
      <c r="U100" s="52">
        <f t="shared" si="18"/>
        <v>0</v>
      </c>
      <c r="V100" s="361">
        <f>'G-4 COST OF SERVICE'!G32-SUM('Functionalization RES'!G100:J100)</f>
        <v>0</v>
      </c>
      <c r="W100" s="361">
        <f>'G-4 COST OF SERVICE'!H32-SUM('Functionalization RES'!K100:L100)</f>
        <v>0</v>
      </c>
      <c r="X100" s="361">
        <f>'G-4 COST OF SERVICE'!I32-SUM('Functionalization RES'!M100:R100)</f>
        <v>0</v>
      </c>
    </row>
    <row r="101" spans="1:24">
      <c r="A101" s="385">
        <v>903</v>
      </c>
      <c r="B101" s="379" t="s">
        <v>165</v>
      </c>
      <c r="C101" s="653">
        <f t="shared" si="17"/>
        <v>5322587.2008239264</v>
      </c>
      <c r="D101" s="653">
        <f>'G-4 COST OF SERVICE'!G33</f>
        <v>0</v>
      </c>
      <c r="E101" s="653">
        <f>'G-4 COST OF SERVICE'!H33</f>
        <v>0</v>
      </c>
      <c r="F101" s="653">
        <f>'G-4 COST OF SERVICE'!I33</f>
        <v>5322587.2008239264</v>
      </c>
      <c r="G101" s="654">
        <f>IF(SUM('Function Allocators'!$D154:$G154)=0,0,($D101*'Function Allocators'!D154/SUM('Function Allocators'!$D154:$G154)))</f>
        <v>0</v>
      </c>
      <c r="H101" s="654">
        <f>IF(SUM('Function Allocators'!$D154:$G154)=0,0,($D101*'Function Allocators'!E154/SUM('Function Allocators'!$D154:$G154)))</f>
        <v>0</v>
      </c>
      <c r="I101" s="654">
        <f>IF(SUM('Function Allocators'!$D154:$G154)=0,0,($D101*'Function Allocators'!F154/SUM('Function Allocators'!$D154:$G154)))</f>
        <v>0</v>
      </c>
      <c r="J101" s="654">
        <f>IF(SUM('Function Allocators'!$D154:$G154)=0,0,($D101*'Function Allocators'!G154/SUM('Function Allocators'!$D154:$G154)))</f>
        <v>0</v>
      </c>
      <c r="K101" s="654">
        <f>IF(SUM('Function Allocators'!$H154:$I154)=0,0,($E101*'Function Allocators'!H154/SUM('Function Allocators'!$H154:$I154)))</f>
        <v>0</v>
      </c>
      <c r="L101" s="654">
        <f>IF(SUM('Function Allocators'!$H154:$I154)=0,0,($E101*'Function Allocators'!I154/SUM('Function Allocators'!$H154:$I154)))</f>
        <v>0</v>
      </c>
      <c r="M101" s="654">
        <f>IF(SUM('Function Allocators'!$J154:$O154)=0,0,($F101*'Function Allocators'!J154/SUM('Function Allocators'!$J154:$O154)))</f>
        <v>0</v>
      </c>
      <c r="N101" s="654">
        <f>IF(SUM('Function Allocators'!$J154:$O154)=0,0,($F101*'Function Allocators'!K154/SUM('Function Allocators'!$J154:$O154)))</f>
        <v>0</v>
      </c>
      <c r="O101" s="654">
        <f>IF(SUM('Function Allocators'!$J154:$O154)=0,0,($F101*'Function Allocators'!L154/SUM('Function Allocators'!$J154:$O154)))</f>
        <v>0</v>
      </c>
      <c r="P101" s="654">
        <f>IF(SUM('Function Allocators'!$J154:$O154)=0,0,($F101*'Function Allocators'!M154/SUM('Function Allocators'!$J154:$O154)))</f>
        <v>0</v>
      </c>
      <c r="Q101" s="654">
        <f>IF(SUM('Function Allocators'!$J154:$O154)=0,0,($F101*'Function Allocators'!N154/SUM('Function Allocators'!$J154:$O154)))</f>
        <v>5322587.2008239264</v>
      </c>
      <c r="R101" s="654">
        <f>IF(SUM('Function Allocators'!$J154:$O154)=0,0,($F101*'Function Allocators'!O154/SUM('Function Allocators'!$J154:$O154)))</f>
        <v>0</v>
      </c>
      <c r="T101" s="360" t="s">
        <v>444</v>
      </c>
      <c r="U101" s="52">
        <f t="shared" si="18"/>
        <v>0</v>
      </c>
      <c r="V101" s="361">
        <f>'G-4 COST OF SERVICE'!G33-SUM('Functionalization RES'!G101:J101)</f>
        <v>0</v>
      </c>
      <c r="W101" s="361">
        <f>'G-4 COST OF SERVICE'!H33-SUM('Functionalization RES'!K101:L101)</f>
        <v>0</v>
      </c>
      <c r="X101" s="361">
        <f>'G-4 COST OF SERVICE'!I33-SUM('Functionalization RES'!M101:R101)</f>
        <v>0</v>
      </c>
    </row>
    <row r="102" spans="1:24">
      <c r="A102" s="385">
        <v>904</v>
      </c>
      <c r="B102" s="379" t="s">
        <v>167</v>
      </c>
      <c r="C102" s="653">
        <f t="shared" si="17"/>
        <v>197882.18794862845</v>
      </c>
      <c r="D102" s="653">
        <f>'G-4 COST OF SERVICE'!G34</f>
        <v>0</v>
      </c>
      <c r="E102" s="653">
        <f>'G-4 COST OF SERVICE'!H34</f>
        <v>0</v>
      </c>
      <c r="F102" s="653">
        <f>'G-4 COST OF SERVICE'!I34</f>
        <v>197882.18794862845</v>
      </c>
      <c r="G102" s="654">
        <f>IF(SUM('Function Allocators'!$D155:$G155)=0,0,($D102*'Function Allocators'!D155/SUM('Function Allocators'!$D155:$G155)))</f>
        <v>0</v>
      </c>
      <c r="H102" s="654">
        <f>IF(SUM('Function Allocators'!$D155:$G155)=0,0,($D102*'Function Allocators'!E155/SUM('Function Allocators'!$D155:$G155)))</f>
        <v>0</v>
      </c>
      <c r="I102" s="654">
        <f>IF(SUM('Function Allocators'!$D155:$G155)=0,0,($D102*'Function Allocators'!F155/SUM('Function Allocators'!$D155:$G155)))</f>
        <v>0</v>
      </c>
      <c r="J102" s="654">
        <f>IF(SUM('Function Allocators'!$D155:$G155)=0,0,($D102*'Function Allocators'!G155/SUM('Function Allocators'!$D155:$G155)))</f>
        <v>0</v>
      </c>
      <c r="K102" s="654">
        <f>IF(SUM('Function Allocators'!$H155:$I155)=0,0,($E102*'Function Allocators'!H155/SUM('Function Allocators'!$H155:$I155)))</f>
        <v>0</v>
      </c>
      <c r="L102" s="654">
        <f>IF(SUM('Function Allocators'!$H155:$I155)=0,0,($E102*'Function Allocators'!I155/SUM('Function Allocators'!$H155:$I155)))</f>
        <v>0</v>
      </c>
      <c r="M102" s="654">
        <f>IF(SUM('Function Allocators'!$J155:$O155)=0,0,($F102*'Function Allocators'!J155/SUM('Function Allocators'!$J155:$O155)))</f>
        <v>0</v>
      </c>
      <c r="N102" s="654">
        <f>IF(SUM('Function Allocators'!$J155:$O155)=0,0,($F102*'Function Allocators'!K155/SUM('Function Allocators'!$J155:$O155)))</f>
        <v>0</v>
      </c>
      <c r="O102" s="654">
        <f>IF(SUM('Function Allocators'!$J155:$O155)=0,0,($F102*'Function Allocators'!L155/SUM('Function Allocators'!$J155:$O155)))</f>
        <v>0</v>
      </c>
      <c r="P102" s="654">
        <f>IF(SUM('Function Allocators'!$J155:$O155)=0,0,($F102*'Function Allocators'!M155/SUM('Function Allocators'!$J155:$O155)))</f>
        <v>0</v>
      </c>
      <c r="Q102" s="654">
        <f>IF(SUM('Function Allocators'!$J155:$O155)=0,0,($F102*'Function Allocators'!N155/SUM('Function Allocators'!$J155:$O155)))</f>
        <v>0</v>
      </c>
      <c r="R102" s="654">
        <f>IF(SUM('Function Allocators'!$J155:$O155)=0,0,($F102*'Function Allocators'!O155/SUM('Function Allocators'!$J155:$O155)))</f>
        <v>197882.18794862845</v>
      </c>
      <c r="T102" s="360" t="s">
        <v>445</v>
      </c>
      <c r="U102" s="52">
        <f t="shared" si="18"/>
        <v>0</v>
      </c>
      <c r="V102" s="361">
        <f>'G-4 COST OF SERVICE'!G34-SUM('Functionalization RES'!G102:J102)</f>
        <v>0</v>
      </c>
      <c r="W102" s="361">
        <f>'G-4 COST OF SERVICE'!H34-SUM('Functionalization RES'!K102:L102)</f>
        <v>0</v>
      </c>
      <c r="X102" s="361">
        <f>'G-4 COST OF SERVICE'!I34-SUM('Functionalization RES'!M102:R102)</f>
        <v>0</v>
      </c>
    </row>
    <row r="103" spans="1:24">
      <c r="A103" s="385">
        <v>905</v>
      </c>
      <c r="B103" s="379" t="s">
        <v>169</v>
      </c>
      <c r="C103" s="653">
        <f t="shared" si="17"/>
        <v>0</v>
      </c>
      <c r="D103" s="653">
        <f>'G-4 COST OF SERVICE'!G35</f>
        <v>0</v>
      </c>
      <c r="E103" s="653">
        <f>'G-4 COST OF SERVICE'!H35</f>
        <v>0</v>
      </c>
      <c r="F103" s="653">
        <f>'G-4 COST OF SERVICE'!I35</f>
        <v>0</v>
      </c>
      <c r="G103" s="654">
        <f>IF(SUM('Function Allocators'!$D156:$G156)=0,0,($D103*'Function Allocators'!D156/SUM('Function Allocators'!$D156:$G156)))</f>
        <v>0</v>
      </c>
      <c r="H103" s="654">
        <f>IF(SUM('Function Allocators'!$D156:$G156)=0,0,($D103*'Function Allocators'!E156/SUM('Function Allocators'!$D156:$G156)))</f>
        <v>0</v>
      </c>
      <c r="I103" s="654">
        <f>IF(SUM('Function Allocators'!$D156:$G156)=0,0,($D103*'Function Allocators'!F156/SUM('Function Allocators'!$D156:$G156)))</f>
        <v>0</v>
      </c>
      <c r="J103" s="654">
        <f>IF(SUM('Function Allocators'!$D156:$G156)=0,0,($D103*'Function Allocators'!G156/SUM('Function Allocators'!$D156:$G156)))</f>
        <v>0</v>
      </c>
      <c r="K103" s="654">
        <f>IF(SUM('Function Allocators'!$H156:$I156)=0,0,($E103*'Function Allocators'!H156/SUM('Function Allocators'!$H156:$I156)))</f>
        <v>0</v>
      </c>
      <c r="L103" s="654">
        <f>IF(SUM('Function Allocators'!$H156:$I156)=0,0,($E103*'Function Allocators'!I156/SUM('Function Allocators'!$H156:$I156)))</f>
        <v>0</v>
      </c>
      <c r="M103" s="654">
        <f>IF(SUM('Function Allocators'!$J156:$O156)=0,0,($F103*'Function Allocators'!J156/SUM('Function Allocators'!$J156:$O156)))</f>
        <v>0</v>
      </c>
      <c r="N103" s="654">
        <f>IF(SUM('Function Allocators'!$J156:$O156)=0,0,($F103*'Function Allocators'!K156/SUM('Function Allocators'!$J156:$O156)))</f>
        <v>0</v>
      </c>
      <c r="O103" s="654">
        <f>IF(SUM('Function Allocators'!$J156:$O156)=0,0,($F103*'Function Allocators'!L156/SUM('Function Allocators'!$J156:$O156)))</f>
        <v>0</v>
      </c>
      <c r="P103" s="654">
        <f>IF(SUM('Function Allocators'!$J156:$O156)=0,0,($F103*'Function Allocators'!M156/SUM('Function Allocators'!$J156:$O156)))</f>
        <v>0</v>
      </c>
      <c r="Q103" s="654">
        <f>IF(SUM('Function Allocators'!$J156:$O156)=0,0,($F103*'Function Allocators'!N156/SUM('Function Allocators'!$J156:$O156)))</f>
        <v>0</v>
      </c>
      <c r="R103" s="654">
        <f>IF(SUM('Function Allocators'!$J156:$O156)=0,0,($F103*'Function Allocators'!O156/SUM('Function Allocators'!$J156:$O156)))</f>
        <v>0</v>
      </c>
      <c r="T103" s="360" t="s">
        <v>445</v>
      </c>
      <c r="U103" s="52">
        <f t="shared" si="18"/>
        <v>0</v>
      </c>
      <c r="V103" s="361">
        <f>'G-4 COST OF SERVICE'!G35-SUM('Functionalization RES'!G103:J103)</f>
        <v>0</v>
      </c>
      <c r="W103" s="361">
        <f>'G-4 COST OF SERVICE'!H35-SUM('Functionalization RES'!K103:L103)</f>
        <v>0</v>
      </c>
      <c r="X103" s="361">
        <f>'G-4 COST OF SERVICE'!I35-SUM('Functionalization RES'!M103:R103)</f>
        <v>0</v>
      </c>
    </row>
    <row r="104" spans="1:24">
      <c r="A104" s="385">
        <v>907</v>
      </c>
      <c r="B104" s="379" t="s">
        <v>171</v>
      </c>
      <c r="C104" s="654">
        <f t="shared" si="17"/>
        <v>49768.991441301834</v>
      </c>
      <c r="D104" s="654">
        <f>'G-4 COST OF SERVICE'!G36</f>
        <v>0</v>
      </c>
      <c r="E104" s="654">
        <f>'G-4 COST OF SERVICE'!H36</f>
        <v>0</v>
      </c>
      <c r="F104" s="654">
        <f>'G-4 COST OF SERVICE'!I36</f>
        <v>49768.991441301834</v>
      </c>
      <c r="G104" s="654">
        <f>IF(SUM('Function Allocators'!$D157:$G157)=0,0,($D104*'Function Allocators'!D157/SUM('Function Allocators'!$D157:$G157)))</f>
        <v>0</v>
      </c>
      <c r="H104" s="654">
        <f>IF(SUM('Function Allocators'!$D157:$G157)=0,0,($D104*'Function Allocators'!E157/SUM('Function Allocators'!$D157:$G157)))</f>
        <v>0</v>
      </c>
      <c r="I104" s="654">
        <f>IF(SUM('Function Allocators'!$D157:$G157)=0,0,($D104*'Function Allocators'!F157/SUM('Function Allocators'!$D157:$G157)))</f>
        <v>0</v>
      </c>
      <c r="J104" s="654">
        <f>IF(SUM('Function Allocators'!$D157:$G157)=0,0,($D104*'Function Allocators'!G157/SUM('Function Allocators'!$D157:$G157)))</f>
        <v>0</v>
      </c>
      <c r="K104" s="654">
        <f>IF(SUM('Function Allocators'!$H157:$I157)=0,0,($E104*'Function Allocators'!H157/SUM('Function Allocators'!$H157:$I157)))</f>
        <v>0</v>
      </c>
      <c r="L104" s="654">
        <f>IF(SUM('Function Allocators'!$H157:$I157)=0,0,($E104*'Function Allocators'!I157/SUM('Function Allocators'!$H157:$I157)))</f>
        <v>0</v>
      </c>
      <c r="M104" s="654">
        <f>IF(SUM('Function Allocators'!$J157:$O157)=0,0,($F104*'Function Allocators'!J157/SUM('Function Allocators'!$J157:$O157)))</f>
        <v>0</v>
      </c>
      <c r="N104" s="654">
        <f>IF(SUM('Function Allocators'!$J157:$O157)=0,0,($F104*'Function Allocators'!K157/SUM('Function Allocators'!$J157:$O157)))</f>
        <v>0</v>
      </c>
      <c r="O104" s="654">
        <f>IF(SUM('Function Allocators'!$J157:$O157)=0,0,($F104*'Function Allocators'!L157/SUM('Function Allocators'!$J157:$O157)))</f>
        <v>0</v>
      </c>
      <c r="P104" s="654">
        <f>IF(SUM('Function Allocators'!$J157:$O157)=0,0,($F104*'Function Allocators'!M157/SUM('Function Allocators'!$J157:$O157)))</f>
        <v>0</v>
      </c>
      <c r="Q104" s="654">
        <f>IF(SUM('Function Allocators'!$J157:$O157)=0,0,($F104*'Function Allocators'!N157/SUM('Function Allocators'!$J157:$O157)))</f>
        <v>0</v>
      </c>
      <c r="R104" s="654">
        <f>IF(SUM('Function Allocators'!$J157:$O157)=0,0,($F104*'Function Allocators'!O157/SUM('Function Allocators'!$J157:$O157)))</f>
        <v>49768.991441301834</v>
      </c>
      <c r="T104" s="360" t="s">
        <v>445</v>
      </c>
      <c r="U104" s="52">
        <f t="shared" si="18"/>
        <v>0</v>
      </c>
      <c r="V104" s="361">
        <f>'G-4 COST OF SERVICE'!G36-SUM('Functionalization RES'!G104:J104)</f>
        <v>0</v>
      </c>
      <c r="W104" s="361">
        <f>'G-4 COST OF SERVICE'!H36-SUM('Functionalization RES'!K104:L104)</f>
        <v>0</v>
      </c>
      <c r="X104" s="361">
        <f>'G-4 COST OF SERVICE'!I36-SUM('Functionalization RES'!M104:R104)</f>
        <v>0</v>
      </c>
    </row>
    <row r="105" spans="1:24">
      <c r="A105" s="385">
        <v>908</v>
      </c>
      <c r="B105" s="379" t="s">
        <v>172</v>
      </c>
      <c r="C105" s="653">
        <f t="shared" si="17"/>
        <v>105165.43179910176</v>
      </c>
      <c r="D105" s="653">
        <f>'G-4 COST OF SERVICE'!G37</f>
        <v>0</v>
      </c>
      <c r="E105" s="653">
        <f>'G-4 COST OF SERVICE'!H37</f>
        <v>0</v>
      </c>
      <c r="F105" s="653">
        <f>'G-4 COST OF SERVICE'!I37</f>
        <v>105165.43179910176</v>
      </c>
      <c r="G105" s="654">
        <f>IF(SUM('Function Allocators'!$D158:$G158)=0,0,($D105*'Function Allocators'!D158/SUM('Function Allocators'!$D158:$G158)))</f>
        <v>0</v>
      </c>
      <c r="H105" s="654">
        <f>IF(SUM('Function Allocators'!$D158:$G158)=0,0,($D105*'Function Allocators'!E158/SUM('Function Allocators'!$D158:$G158)))</f>
        <v>0</v>
      </c>
      <c r="I105" s="654">
        <f>IF(SUM('Function Allocators'!$D158:$G158)=0,0,($D105*'Function Allocators'!F158/SUM('Function Allocators'!$D158:$G158)))</f>
        <v>0</v>
      </c>
      <c r="J105" s="654">
        <f>IF(SUM('Function Allocators'!$D158:$G158)=0,0,($D105*'Function Allocators'!G158/SUM('Function Allocators'!$D158:$G158)))</f>
        <v>0</v>
      </c>
      <c r="K105" s="654">
        <f>IF(SUM('Function Allocators'!$H158:$I158)=0,0,($E105*'Function Allocators'!H158/SUM('Function Allocators'!$H158:$I158)))</f>
        <v>0</v>
      </c>
      <c r="L105" s="654">
        <f>IF(SUM('Function Allocators'!$H158:$I158)=0,0,($E105*'Function Allocators'!I158/SUM('Function Allocators'!$H158:$I158)))</f>
        <v>0</v>
      </c>
      <c r="M105" s="654">
        <f>IF(SUM('Function Allocators'!$J158:$O158)=0,0,($F105*'Function Allocators'!J158/SUM('Function Allocators'!$J158:$O158)))</f>
        <v>0</v>
      </c>
      <c r="N105" s="654">
        <f>IF(SUM('Function Allocators'!$J158:$O158)=0,0,($F105*'Function Allocators'!K158/SUM('Function Allocators'!$J158:$O158)))</f>
        <v>0</v>
      </c>
      <c r="O105" s="654">
        <f>IF(SUM('Function Allocators'!$J158:$O158)=0,0,($F105*'Function Allocators'!L158/SUM('Function Allocators'!$J158:$O158)))</f>
        <v>0</v>
      </c>
      <c r="P105" s="654">
        <f>IF(SUM('Function Allocators'!$J158:$O158)=0,0,($F105*'Function Allocators'!M158/SUM('Function Allocators'!$J158:$O158)))</f>
        <v>0</v>
      </c>
      <c r="Q105" s="654">
        <f>IF(SUM('Function Allocators'!$J158:$O158)=0,0,($F105*'Function Allocators'!N158/SUM('Function Allocators'!$J158:$O158)))</f>
        <v>0</v>
      </c>
      <c r="R105" s="654">
        <f>IF(SUM('Function Allocators'!$J158:$O158)=0,0,($F105*'Function Allocators'!O158/SUM('Function Allocators'!$J158:$O158)))</f>
        <v>105165.43179910176</v>
      </c>
      <c r="T105" s="360" t="s">
        <v>445</v>
      </c>
      <c r="U105" s="52">
        <f t="shared" si="18"/>
        <v>0</v>
      </c>
      <c r="V105" s="361">
        <f>'G-4 COST OF SERVICE'!G37-SUM('Functionalization RES'!G105:J105)</f>
        <v>0</v>
      </c>
      <c r="W105" s="361">
        <f>'G-4 COST OF SERVICE'!H37-SUM('Functionalization RES'!K105:L105)</f>
        <v>0</v>
      </c>
      <c r="X105" s="361">
        <f>'G-4 COST OF SERVICE'!I37-SUM('Functionalization RES'!M105:R105)</f>
        <v>0</v>
      </c>
    </row>
    <row r="106" spans="1:24">
      <c r="A106" s="385">
        <v>909</v>
      </c>
      <c r="B106" s="379" t="s">
        <v>173</v>
      </c>
      <c r="C106" s="653">
        <f t="shared" si="17"/>
        <v>342763.73524451308</v>
      </c>
      <c r="D106" s="653">
        <f>'G-4 COST OF SERVICE'!G38</f>
        <v>0</v>
      </c>
      <c r="E106" s="653">
        <f>'G-4 COST OF SERVICE'!H38</f>
        <v>0</v>
      </c>
      <c r="F106" s="653">
        <f>'G-4 COST OF SERVICE'!I38</f>
        <v>342763.73524451308</v>
      </c>
      <c r="G106" s="654">
        <f>IF(SUM('Function Allocators'!$D159:$G159)=0,0,($D106*'Function Allocators'!D159/SUM('Function Allocators'!$D159:$G159)))</f>
        <v>0</v>
      </c>
      <c r="H106" s="654">
        <f>IF(SUM('Function Allocators'!$D159:$G159)=0,0,($D106*'Function Allocators'!E159/SUM('Function Allocators'!$D159:$G159)))</f>
        <v>0</v>
      </c>
      <c r="I106" s="654">
        <f>IF(SUM('Function Allocators'!$D159:$G159)=0,0,($D106*'Function Allocators'!F159/SUM('Function Allocators'!$D159:$G159)))</f>
        <v>0</v>
      </c>
      <c r="J106" s="654">
        <f>IF(SUM('Function Allocators'!$D159:$G159)=0,0,($D106*'Function Allocators'!G159/SUM('Function Allocators'!$D159:$G159)))</f>
        <v>0</v>
      </c>
      <c r="K106" s="654">
        <f>IF(SUM('Function Allocators'!$H159:$I159)=0,0,($E106*'Function Allocators'!H159/SUM('Function Allocators'!$H159:$I159)))</f>
        <v>0</v>
      </c>
      <c r="L106" s="654">
        <f>IF(SUM('Function Allocators'!$H159:$I159)=0,0,($E106*'Function Allocators'!I159/SUM('Function Allocators'!$H159:$I159)))</f>
        <v>0</v>
      </c>
      <c r="M106" s="654">
        <f>IF(SUM('Function Allocators'!$J159:$O159)=0,0,($F106*'Function Allocators'!J159/SUM('Function Allocators'!$J159:$O159)))</f>
        <v>0</v>
      </c>
      <c r="N106" s="654">
        <f>IF(SUM('Function Allocators'!$J159:$O159)=0,0,($F106*'Function Allocators'!K159/SUM('Function Allocators'!$J159:$O159)))</f>
        <v>0</v>
      </c>
      <c r="O106" s="654">
        <f>IF(SUM('Function Allocators'!$J159:$O159)=0,0,($F106*'Function Allocators'!L159/SUM('Function Allocators'!$J159:$O159)))</f>
        <v>0</v>
      </c>
      <c r="P106" s="654">
        <f>IF(SUM('Function Allocators'!$J159:$O159)=0,0,($F106*'Function Allocators'!M159/SUM('Function Allocators'!$J159:$O159)))</f>
        <v>0</v>
      </c>
      <c r="Q106" s="654">
        <f>IF(SUM('Function Allocators'!$J159:$O159)=0,0,($F106*'Function Allocators'!N159/SUM('Function Allocators'!$J159:$O159)))</f>
        <v>0</v>
      </c>
      <c r="R106" s="654">
        <f>IF(SUM('Function Allocators'!$J159:$O159)=0,0,($F106*'Function Allocators'!O159/SUM('Function Allocators'!$J159:$O159)))</f>
        <v>342763.73524451308</v>
      </c>
      <c r="T106" s="360" t="s">
        <v>445</v>
      </c>
      <c r="U106" s="52">
        <f t="shared" si="18"/>
        <v>0</v>
      </c>
      <c r="V106" s="361">
        <f>'G-4 COST OF SERVICE'!G38-SUM('Functionalization RES'!G106:J106)</f>
        <v>0</v>
      </c>
      <c r="W106" s="361">
        <f>'G-4 COST OF SERVICE'!H38-SUM('Functionalization RES'!K106:L106)</f>
        <v>0</v>
      </c>
      <c r="X106" s="361">
        <f>'G-4 COST OF SERVICE'!I38-SUM('Functionalization RES'!M106:R106)</f>
        <v>0</v>
      </c>
    </row>
    <row r="107" spans="1:24">
      <c r="A107" s="385">
        <v>910</v>
      </c>
      <c r="B107" s="379" t="s">
        <v>174</v>
      </c>
      <c r="C107" s="653">
        <f t="shared" si="17"/>
        <v>23.852249972238731</v>
      </c>
      <c r="D107" s="653">
        <f>'G-4 COST OF SERVICE'!G39</f>
        <v>0</v>
      </c>
      <c r="E107" s="653">
        <f>'G-4 COST OF SERVICE'!H39</f>
        <v>0</v>
      </c>
      <c r="F107" s="653">
        <f>'G-4 COST OF SERVICE'!I39</f>
        <v>23.852249972238731</v>
      </c>
      <c r="G107" s="654">
        <f>IF(SUM('Function Allocators'!$D160:$G160)=0,0,($D107*'Function Allocators'!D160/SUM('Function Allocators'!$D160:$G160)))</f>
        <v>0</v>
      </c>
      <c r="H107" s="654">
        <f>IF(SUM('Function Allocators'!$D160:$G160)=0,0,($D107*'Function Allocators'!E160/SUM('Function Allocators'!$D160:$G160)))</f>
        <v>0</v>
      </c>
      <c r="I107" s="654">
        <f>IF(SUM('Function Allocators'!$D160:$G160)=0,0,($D107*'Function Allocators'!F160/SUM('Function Allocators'!$D160:$G160)))</f>
        <v>0</v>
      </c>
      <c r="J107" s="654">
        <f>IF(SUM('Function Allocators'!$D160:$G160)=0,0,($D107*'Function Allocators'!G160/SUM('Function Allocators'!$D160:$G160)))</f>
        <v>0</v>
      </c>
      <c r="K107" s="654">
        <f>IF(SUM('Function Allocators'!$H160:$I160)=0,0,($E107*'Function Allocators'!H160/SUM('Function Allocators'!$H160:$I160)))</f>
        <v>0</v>
      </c>
      <c r="L107" s="654">
        <f>IF(SUM('Function Allocators'!$H160:$I160)=0,0,($E107*'Function Allocators'!I160/SUM('Function Allocators'!$H160:$I160)))</f>
        <v>0</v>
      </c>
      <c r="M107" s="654">
        <f>IF(SUM('Function Allocators'!$J160:$O160)=0,0,($F107*'Function Allocators'!J160/SUM('Function Allocators'!$J160:$O160)))</f>
        <v>0</v>
      </c>
      <c r="N107" s="654">
        <f>IF(SUM('Function Allocators'!$J160:$O160)=0,0,($F107*'Function Allocators'!K160/SUM('Function Allocators'!$J160:$O160)))</f>
        <v>0</v>
      </c>
      <c r="O107" s="654">
        <f>IF(SUM('Function Allocators'!$J160:$O160)=0,0,($F107*'Function Allocators'!L160/SUM('Function Allocators'!$J160:$O160)))</f>
        <v>0</v>
      </c>
      <c r="P107" s="654">
        <f>IF(SUM('Function Allocators'!$J160:$O160)=0,0,($F107*'Function Allocators'!M160/SUM('Function Allocators'!$J160:$O160)))</f>
        <v>0</v>
      </c>
      <c r="Q107" s="654">
        <f>IF(SUM('Function Allocators'!$J160:$O160)=0,0,($F107*'Function Allocators'!N160/SUM('Function Allocators'!$J160:$O160)))</f>
        <v>0</v>
      </c>
      <c r="R107" s="654">
        <f>IF(SUM('Function Allocators'!$J160:$O160)=0,0,($F107*'Function Allocators'!O160/SUM('Function Allocators'!$J160:$O160)))</f>
        <v>23.852249972238731</v>
      </c>
      <c r="T107" s="360" t="s">
        <v>445</v>
      </c>
      <c r="U107" s="52">
        <f t="shared" si="18"/>
        <v>0</v>
      </c>
      <c r="V107" s="361">
        <f>'G-4 COST OF SERVICE'!G39-SUM('Functionalization RES'!G107:J107)</f>
        <v>0</v>
      </c>
      <c r="W107" s="361">
        <f>'G-4 COST OF SERVICE'!H39-SUM('Functionalization RES'!K107:L107)</f>
        <v>0</v>
      </c>
      <c r="X107" s="361">
        <f>'G-4 COST OF SERVICE'!I39-SUM('Functionalization RES'!M107:R107)</f>
        <v>0</v>
      </c>
    </row>
    <row r="108" spans="1:24">
      <c r="A108" s="385"/>
      <c r="B108" s="377" t="s">
        <v>175</v>
      </c>
      <c r="C108" s="656">
        <f t="shared" ref="C108:R108" si="19">SUM(C99:C107)</f>
        <v>6201864.8675221298</v>
      </c>
      <c r="D108" s="656">
        <f t="shared" si="19"/>
        <v>0</v>
      </c>
      <c r="E108" s="656">
        <f t="shared" si="19"/>
        <v>0</v>
      </c>
      <c r="F108" s="656">
        <f t="shared" si="19"/>
        <v>6201864.8675221298</v>
      </c>
      <c r="G108" s="656">
        <f t="shared" si="19"/>
        <v>0</v>
      </c>
      <c r="H108" s="656">
        <f t="shared" si="19"/>
        <v>0</v>
      </c>
      <c r="I108" s="656">
        <f t="shared" si="19"/>
        <v>0</v>
      </c>
      <c r="J108" s="656">
        <f t="shared" si="19"/>
        <v>0</v>
      </c>
      <c r="K108" s="656">
        <f t="shared" si="19"/>
        <v>0</v>
      </c>
      <c r="L108" s="656">
        <f t="shared" si="19"/>
        <v>0</v>
      </c>
      <c r="M108" s="656">
        <f t="shared" si="19"/>
        <v>63937.6009101612</v>
      </c>
      <c r="N108" s="656">
        <f t="shared" si="19"/>
        <v>16778.129059138217</v>
      </c>
      <c r="O108" s="656">
        <f t="shared" si="19"/>
        <v>2547.3494191465543</v>
      </c>
      <c r="P108" s="656">
        <f t="shared" si="19"/>
        <v>100410.38862623923</v>
      </c>
      <c r="Q108" s="656">
        <f t="shared" si="19"/>
        <v>5322587.2008239264</v>
      </c>
      <c r="R108" s="656">
        <f t="shared" si="19"/>
        <v>695604.1986835174</v>
      </c>
      <c r="U108" s="52">
        <f t="shared" si="18"/>
        <v>0</v>
      </c>
      <c r="V108" s="361">
        <f>'G-4 COST OF SERVICE'!G40-SUM('Functionalization RES'!G108:J108)</f>
        <v>0</v>
      </c>
      <c r="W108" s="361">
        <f>'G-4 COST OF SERVICE'!H40-SUM('Functionalization RES'!K108:L108)</f>
        <v>0</v>
      </c>
      <c r="X108" s="361">
        <f>'G-4 COST OF SERVICE'!I40-SUM('Functionalization RES'!M108:R108)</f>
        <v>0</v>
      </c>
    </row>
    <row r="109" spans="1:24" ht="11.25">
      <c r="A109" s="385"/>
      <c r="B109" s="377"/>
      <c r="C109" s="653"/>
      <c r="D109" s="653"/>
      <c r="E109" s="653"/>
      <c r="F109" s="653"/>
      <c r="G109" s="654"/>
      <c r="H109" s="653"/>
      <c r="I109" s="653"/>
      <c r="J109" s="653"/>
      <c r="K109" s="653"/>
      <c r="L109" s="653"/>
      <c r="M109" s="653"/>
      <c r="N109" s="653"/>
      <c r="O109" s="653"/>
      <c r="P109" s="653"/>
      <c r="Q109" s="653"/>
      <c r="R109" s="653"/>
      <c r="U109" s="360"/>
      <c r="V109" s="361"/>
      <c r="W109" s="361"/>
      <c r="X109" s="361"/>
    </row>
    <row r="110" spans="1:24">
      <c r="A110" s="385" t="s">
        <v>472</v>
      </c>
      <c r="B110" s="377" t="s">
        <v>176</v>
      </c>
      <c r="C110" s="654">
        <f>SUM(G110:R110)</f>
        <v>10114393.853646649</v>
      </c>
      <c r="D110" s="654">
        <f>'G-4 COST OF SERVICE'!G55</f>
        <v>1477576.0192367425</v>
      </c>
      <c r="E110" s="654">
        <f>'G-4 COST OF SERVICE'!H55</f>
        <v>12524.047217812524</v>
      </c>
      <c r="F110" s="654">
        <f>'G-4 COST OF SERVICE'!I55</f>
        <v>8624293.7871920932</v>
      </c>
      <c r="G110" s="654">
        <f>IF(SUM('Function Allocators'!$D164:$G164)=0,0,($D110*'Function Allocators'!D164/SUM('Function Allocators'!$D164:$G164)))</f>
        <v>0</v>
      </c>
      <c r="H110" s="654">
        <f>IF(SUM('Function Allocators'!$D164:$G164)=0,0,($D110*'Function Allocators'!E164/SUM('Function Allocators'!$D164:$G164)))</f>
        <v>1038759.6707924826</v>
      </c>
      <c r="I110" s="654">
        <f>IF(SUM('Function Allocators'!$D164:$G164)=0,0,($D110*'Function Allocators'!F164/SUM('Function Allocators'!$D164:$G164)))</f>
        <v>425237.6443517718</v>
      </c>
      <c r="J110" s="654">
        <f>IF(SUM('Function Allocators'!$D164:$G164)=0,0,($D110*'Function Allocators'!G164/SUM('Function Allocators'!$D164:$G164)))</f>
        <v>13578.704092487995</v>
      </c>
      <c r="K110" s="654">
        <f>IF(SUM('Function Allocators'!$H164:$I164)=0,0,($E110*'Function Allocators'!H164/SUM('Function Allocators'!$H$164:$I$164)))</f>
        <v>12524.047217812524</v>
      </c>
      <c r="L110" s="654">
        <f>IF(SUM('Function Allocators'!$H164:$I164)=0,0,($E110*'Function Allocators'!I164/SUM('Function Allocators'!$H$164:$I$164)))</f>
        <v>0</v>
      </c>
      <c r="M110" s="654">
        <f>IF(SUM('Function Allocators'!$J164:$O164)=0,0,($F110*'Function Allocators'!J164/SUM('Function Allocators'!$J164:$O164)))</f>
        <v>3608918.1187558998</v>
      </c>
      <c r="N110" s="654">
        <f>IF(SUM('Function Allocators'!$J164:$O164)=0,0,($F110*'Function Allocators'!K164/SUM('Function Allocators'!$J164:$O164)))</f>
        <v>4349381.013633009</v>
      </c>
      <c r="O110" s="654">
        <f>IF(SUM('Function Allocators'!$J164:$O164)=0,0,($F110*'Function Allocators'!L164/SUM('Function Allocators'!$J164:$O164)))</f>
        <v>665994.65480318479</v>
      </c>
      <c r="P110" s="654">
        <f>IF(SUM('Function Allocators'!$J164:$O164)=0,0,($F110*'Function Allocators'!M164/SUM('Function Allocators'!$J164:$O164)))</f>
        <v>0</v>
      </c>
      <c r="Q110" s="654">
        <f>IF(SUM('Function Allocators'!$J164:$O164)=0,0,($F110*'Function Allocators'!N164/SUM('Function Allocators'!$J164:$O164)))</f>
        <v>0</v>
      </c>
      <c r="R110" s="654">
        <f>IF(SUM('Function Allocators'!$J164:$O164)=0,0,($F110*'Function Allocators'!O164/SUM('Function Allocators'!$J164:$O164)))</f>
        <v>0</v>
      </c>
      <c r="U110" s="52">
        <f>C110-SUM(D110:F110)</f>
        <v>0</v>
      </c>
      <c r="V110" s="361">
        <f>'G-4 COST OF SERVICE'!G55-SUM('Functionalization RES'!G110:J110)</f>
        <v>0</v>
      </c>
      <c r="W110" s="361">
        <f>'G-4 COST OF SERVICE'!H55-SUM('Functionalization RES'!K110:L110)</f>
        <v>0</v>
      </c>
      <c r="X110" s="361">
        <f>'G-4 COST OF SERVICE'!I55-SUM('Functionalization RES'!M110:R110)</f>
        <v>0</v>
      </c>
    </row>
    <row r="111" spans="1:24" ht="11.25">
      <c r="A111" s="385"/>
      <c r="B111" s="377"/>
      <c r="C111" s="653"/>
      <c r="D111" s="653"/>
      <c r="E111" s="653"/>
      <c r="F111" s="653"/>
      <c r="G111" s="654"/>
      <c r="H111" s="653"/>
      <c r="I111" s="653"/>
      <c r="J111" s="653"/>
      <c r="K111" s="653"/>
      <c r="L111" s="653"/>
      <c r="M111" s="653"/>
      <c r="N111" s="653"/>
      <c r="O111" s="653"/>
      <c r="P111" s="653"/>
      <c r="Q111" s="653"/>
      <c r="R111" s="653"/>
      <c r="U111" s="360"/>
      <c r="V111" s="361"/>
      <c r="W111" s="361"/>
      <c r="X111" s="361"/>
    </row>
    <row r="112" spans="1:24" ht="11.25">
      <c r="A112" s="385"/>
      <c r="B112" s="406" t="s">
        <v>190</v>
      </c>
      <c r="C112" s="653"/>
      <c r="D112" s="653"/>
      <c r="E112" s="653"/>
      <c r="F112" s="653"/>
      <c r="G112" s="654"/>
      <c r="H112" s="653"/>
      <c r="I112" s="653"/>
      <c r="J112" s="653"/>
      <c r="K112" s="653"/>
      <c r="L112" s="653"/>
      <c r="M112" s="653"/>
      <c r="N112" s="653"/>
      <c r="O112" s="653"/>
      <c r="P112" s="653"/>
      <c r="Q112" s="653"/>
      <c r="R112" s="653"/>
      <c r="U112" s="360"/>
      <c r="V112" s="361"/>
      <c r="W112" s="361"/>
      <c r="X112" s="361"/>
    </row>
    <row r="113" spans="1:24">
      <c r="A113" s="385"/>
      <c r="B113" s="377" t="s">
        <v>191</v>
      </c>
      <c r="C113" s="654">
        <f>SUM(G113:R113)</f>
        <v>2696199.1149162897</v>
      </c>
      <c r="D113" s="654">
        <f>'G-4 COST OF SERVICE'!G64</f>
        <v>523918.55139200168</v>
      </c>
      <c r="E113" s="654">
        <f>'G-4 COST OF SERVICE'!H64</f>
        <v>0</v>
      </c>
      <c r="F113" s="654">
        <f>'G-4 COST OF SERVICE'!I64</f>
        <v>2172280.5635242877</v>
      </c>
      <c r="G113" s="654">
        <f>IF(SUM('Function Allocators'!$D180:$G180)=0,0,($D113*'Function Allocators'!D180/SUM('Function Allocators'!$D180:$G180)))</f>
        <v>0</v>
      </c>
      <c r="H113" s="654">
        <f>IF(SUM('Function Allocators'!$D180:$G180)=0,0,($D113*'Function Allocators'!E180/SUM('Function Allocators'!$D180:$G180)))</f>
        <v>480430.71756477951</v>
      </c>
      <c r="I113" s="654">
        <f>IF(SUM('Function Allocators'!$D180:$G180)=0,0,($D113*'Function Allocators'!F180/SUM('Function Allocators'!$D180:$G180)))</f>
        <v>34059.911987089537</v>
      </c>
      <c r="J113" s="654">
        <f>IF(SUM('Function Allocators'!$D180:$G180)=0,0,($D113*'Function Allocators'!G180/SUM('Function Allocators'!$D180:$G180)))</f>
        <v>9427.921840132647</v>
      </c>
      <c r="K113" s="654">
        <f>IF(SUM('Function Allocators'!$H180:$I180)=0,0,($E113*'Function Allocators'!H180/SUM('Function Allocators'!$H$180:$I$180)))</f>
        <v>0</v>
      </c>
      <c r="L113" s="654">
        <f>IF(SUM('Function Allocators'!$H180:$I180)=0,0,($E113*'Function Allocators'!I180/SUM('Function Allocators'!$H$180:$I$180)))</f>
        <v>0</v>
      </c>
      <c r="M113" s="654">
        <f>IF(SUM('Function Allocators'!$J180:$O180)=0,0,($F113*'Function Allocators'!J180/SUM('Function Allocators'!$J180:$O180)))</f>
        <v>1760923.4524711859</v>
      </c>
      <c r="N113" s="654">
        <f>IF(SUM('Function Allocators'!$J180:$O180)=0,0,($F113*'Function Allocators'!K180/SUM('Function Allocators'!$J180:$O180)))</f>
        <v>339047.957859252</v>
      </c>
      <c r="O113" s="654">
        <f>IF(SUM('Function Allocators'!$J180:$O180)=0,0,($F113*'Function Allocators'!L180/SUM('Function Allocators'!$J180:$O180)))</f>
        <v>72309.153193849968</v>
      </c>
      <c r="P113" s="654">
        <f>IF(SUM('Function Allocators'!$J180:$O180)=0,0,($F113*'Function Allocators'!M180/SUM('Function Allocators'!$J180:$O180)))</f>
        <v>0</v>
      </c>
      <c r="Q113" s="654">
        <f>IF(SUM('Function Allocators'!$J180:$O180)=0,0,($F113*'Function Allocators'!N180/SUM('Function Allocators'!$J180:$O180)))</f>
        <v>0</v>
      </c>
      <c r="R113" s="654">
        <f>IF(SUM('Function Allocators'!$J180:$O180)=0,0,($F113*'Function Allocators'!O180/SUM('Function Allocators'!$J180:$O180)))</f>
        <v>0</v>
      </c>
      <c r="U113" s="52">
        <f>C113-SUM(D113:F113)</f>
        <v>0</v>
      </c>
      <c r="V113" s="361">
        <f>'G-4 COST OF SERVICE'!G64-SUM('Functionalization RES'!G113:J113)</f>
        <v>0</v>
      </c>
      <c r="W113" s="361">
        <f>'G-4 COST OF SERVICE'!H64-SUM('Functionalization RES'!K113:L113)</f>
        <v>0</v>
      </c>
      <c r="X113" s="361">
        <f>'G-4 COST OF SERVICE'!I64-SUM('Functionalization RES'!M113:R113)</f>
        <v>0</v>
      </c>
    </row>
    <row r="114" spans="1:24">
      <c r="A114" s="385"/>
      <c r="B114" s="377" t="s">
        <v>286</v>
      </c>
      <c r="C114" s="654">
        <f>SUM(G114:R114)</f>
        <v>127369.28489761567</v>
      </c>
      <c r="D114" s="654">
        <f>'G-4 COST OF SERVICE'!G66</f>
        <v>127369.28489761567</v>
      </c>
      <c r="E114" s="654">
        <f>'G-4 COST OF SERVICE'!H66</f>
        <v>0</v>
      </c>
      <c r="F114" s="654">
        <f>'G-4 COST OF SERVICE'!I66</f>
        <v>0</v>
      </c>
      <c r="G114" s="654">
        <f>IF(SUM('Function Allocators'!$D186:$G186)=0,0,($D114*'Function Allocators'!D186/SUM('Function Allocators'!$D186:$G186)))</f>
        <v>0</v>
      </c>
      <c r="H114" s="654">
        <f>IF(SUM('Function Allocators'!$D186:$G186)=0,0,($D114*'Function Allocators'!E186/SUM('Function Allocators'!$D186:$G186)))</f>
        <v>127369.28489761567</v>
      </c>
      <c r="I114" s="654">
        <f>IF(SUM('Function Allocators'!$D186:$G186)=0,0,($D114*'Function Allocators'!F186/SUM('Function Allocators'!$D186:$G186)))</f>
        <v>0</v>
      </c>
      <c r="J114" s="654">
        <f>IF(SUM('Function Allocators'!$D186:$G186)=0,0,($D114*'Function Allocators'!G186/SUM('Function Allocators'!$D186:$G186)))</f>
        <v>0</v>
      </c>
      <c r="K114" s="654">
        <f>IF(SUM('Function Allocators'!$H186:$I186)=0,0,($E114*'Function Allocators'!H186/SUM('Function Allocators'!$H$186:$I$186)))</f>
        <v>0</v>
      </c>
      <c r="L114" s="654">
        <f>IF(SUM('Function Allocators'!$H186:$I186)=0,0,($E114*'Function Allocators'!I186/SUM('Function Allocators'!$H$186:$I$186)))</f>
        <v>0</v>
      </c>
      <c r="M114" s="654">
        <f>IF(SUM('Function Allocators'!$J186:$O186)=0,0,($F114*'Function Allocators'!J186/SUM('Function Allocators'!$J186:$O186)))</f>
        <v>0</v>
      </c>
      <c r="N114" s="654">
        <f>IF(SUM('Function Allocators'!$J186:$O186)=0,0,($F114*'Function Allocators'!K186/SUM('Function Allocators'!$J186:$O186)))</f>
        <v>0</v>
      </c>
      <c r="O114" s="654">
        <f>IF(SUM('Function Allocators'!$J186:$O186)=0,0,($F114*'Function Allocators'!L186/SUM('Function Allocators'!$J186:$O186)))</f>
        <v>0</v>
      </c>
      <c r="P114" s="654">
        <f>IF(SUM('Function Allocators'!$J186:$O186)=0,0,($F114*'Function Allocators'!M186/SUM('Function Allocators'!$J186:$O186)))</f>
        <v>0</v>
      </c>
      <c r="Q114" s="654">
        <f>IF(SUM('Function Allocators'!$J186:$O186)=0,0,($F114*'Function Allocators'!N186/SUM('Function Allocators'!$J186:$O186)))</f>
        <v>0</v>
      </c>
      <c r="R114" s="654">
        <f>IF(SUM('Function Allocators'!$J186:$O186)=0,0,($F114*'Function Allocators'!O186/SUM('Function Allocators'!$J186:$O186)))</f>
        <v>0</v>
      </c>
      <c r="U114" s="52">
        <f>C114-SUM(D114:F114)</f>
        <v>0</v>
      </c>
      <c r="V114" s="361">
        <f>'G-4 COST OF SERVICE'!G66-SUM('Functionalization RES'!G114:J114)</f>
        <v>0</v>
      </c>
      <c r="W114" s="361">
        <f>'G-4 COST OF SERVICE'!H66-SUM('Functionalization RES'!K114:L114)</f>
        <v>0</v>
      </c>
      <c r="X114" s="361">
        <f>'G-4 COST OF SERVICE'!I66-SUM('Functionalization RES'!M114:R114)</f>
        <v>0</v>
      </c>
    </row>
    <row r="115" spans="1:24" ht="11.25">
      <c r="A115" s="385"/>
      <c r="B115" s="377"/>
      <c r="C115" s="653"/>
      <c r="D115" s="653"/>
      <c r="E115" s="653"/>
      <c r="F115" s="653"/>
      <c r="G115" s="654"/>
      <c r="H115" s="653"/>
      <c r="I115" s="653"/>
      <c r="J115" s="653"/>
      <c r="K115" s="653"/>
      <c r="L115" s="653"/>
      <c r="M115" s="653"/>
      <c r="N115" s="653"/>
      <c r="O115" s="653"/>
      <c r="P115" s="653"/>
      <c r="Q115" s="653"/>
      <c r="R115" s="653"/>
      <c r="U115" s="360"/>
      <c r="V115" s="361"/>
      <c r="W115" s="361"/>
      <c r="X115" s="361"/>
    </row>
    <row r="116" spans="1:24" ht="11.25">
      <c r="A116" s="385"/>
      <c r="B116" s="377" t="s">
        <v>197</v>
      </c>
      <c r="C116" s="653"/>
      <c r="D116" s="653"/>
      <c r="E116" s="653"/>
      <c r="F116" s="653"/>
      <c r="G116" s="654"/>
      <c r="H116" s="653"/>
      <c r="I116" s="653"/>
      <c r="J116" s="653"/>
      <c r="K116" s="653"/>
      <c r="L116" s="653"/>
      <c r="M116" s="653"/>
      <c r="N116" s="653"/>
      <c r="O116" s="653"/>
      <c r="P116" s="653"/>
      <c r="Q116" s="653"/>
      <c r="R116" s="653"/>
      <c r="U116" s="360"/>
      <c r="V116" s="361"/>
      <c r="W116" s="361"/>
      <c r="X116" s="361"/>
    </row>
    <row r="117" spans="1:24">
      <c r="A117" s="385">
        <v>374</v>
      </c>
      <c r="B117" s="379" t="s">
        <v>81</v>
      </c>
      <c r="C117" s="653">
        <f t="shared" ref="C117:C128" si="20">SUM(G117:R117)</f>
        <v>3495.7731724674641</v>
      </c>
      <c r="D117" s="653">
        <f>'G-4 COST OF SERVICE'!G69</f>
        <v>3495.7731724674641</v>
      </c>
      <c r="E117" s="653">
        <f>'G-4 COST OF SERVICE'!H69</f>
        <v>0</v>
      </c>
      <c r="F117" s="653">
        <f>'G-4 COST OF SERVICE'!I69</f>
        <v>0</v>
      </c>
      <c r="G117" s="654">
        <f>IF(SUM('Function Allocators'!$D194:$G194)=0,0,($D117*'Function Allocators'!D194/SUM('Function Allocators'!$D194:$G194)))</f>
        <v>0</v>
      </c>
      <c r="H117" s="654">
        <f>IF(SUM('Function Allocators'!$D194:$G194)=0,0,($D117*'Function Allocators'!E194/SUM('Function Allocators'!$D194:$G194)))</f>
        <v>0</v>
      </c>
      <c r="I117" s="654">
        <f>IF(SUM('Function Allocators'!$D194:$G194)=0,0,($D117*'Function Allocators'!F194/SUM('Function Allocators'!$D194:$G194)))</f>
        <v>0</v>
      </c>
      <c r="J117" s="654">
        <f>IF(SUM('Function Allocators'!$D194:$G194)=0,0,($D117*'Function Allocators'!G194/SUM('Function Allocators'!$D194:$G194)))</f>
        <v>3495.7731724674641</v>
      </c>
      <c r="K117" s="654">
        <f>IF(SUM('Function Allocators'!$H194:$I194)=0,0,($E117*'Function Allocators'!H194/SUM('Function Allocators'!$H194:$I194)))</f>
        <v>0</v>
      </c>
      <c r="L117" s="654">
        <f>IF(SUM('Function Allocators'!$H194:$I194)=0,0,($E117*'Function Allocators'!I194/SUM('Function Allocators'!$H194:$I194)))</f>
        <v>0</v>
      </c>
      <c r="M117" s="654">
        <f>IF(SUM('Function Allocators'!$J194:$O194)=0,0,($F117*'Function Allocators'!J194/SUM('Function Allocators'!$J194:$O194)))</f>
        <v>0</v>
      </c>
      <c r="N117" s="654">
        <f>IF(SUM('Function Allocators'!$J194:$O194)=0,0,($F117*'Function Allocators'!K194/SUM('Function Allocators'!$J194:$O194)))</f>
        <v>0</v>
      </c>
      <c r="O117" s="654">
        <f>IF(SUM('Function Allocators'!$J194:$O194)=0,0,($F117*'Function Allocators'!L194/SUM('Function Allocators'!$J194:$O194)))</f>
        <v>0</v>
      </c>
      <c r="P117" s="654">
        <f>IF(SUM('Function Allocators'!$J194:$O194)=0,0,($F117*'Function Allocators'!M194/SUM('Function Allocators'!$J194:$O194)))</f>
        <v>0</v>
      </c>
      <c r="Q117" s="654">
        <f>IF(SUM('Function Allocators'!$J194:$O194)=0,0,($F117*'Function Allocators'!N194/SUM('Function Allocators'!$J194:$O194)))</f>
        <v>0</v>
      </c>
      <c r="R117" s="654">
        <f>IF(SUM('Function Allocators'!$J194:$O194)=0,0,($F117*'Function Allocators'!O194/SUM('Function Allocators'!$J194:$O194)))</f>
        <v>0</v>
      </c>
      <c r="T117" s="360" t="s">
        <v>428</v>
      </c>
      <c r="U117" s="52">
        <f t="shared" ref="U117:U129" si="21">C117-SUM(D117:F117)</f>
        <v>0</v>
      </c>
      <c r="V117" s="361">
        <f>'G-4 COST OF SERVICE'!G69-SUM('Functionalization RES'!G117:J117)</f>
        <v>0</v>
      </c>
      <c r="W117" s="361">
        <f>'G-4 COST OF SERVICE'!H69-SUM('Functionalization RES'!K117:L117)</f>
        <v>0</v>
      </c>
      <c r="X117" s="361">
        <f>'G-4 COST OF SERVICE'!I69-SUM('Functionalization RES'!M117:R117)</f>
        <v>0</v>
      </c>
    </row>
    <row r="118" spans="1:24">
      <c r="A118" s="390">
        <v>375</v>
      </c>
      <c r="B118" s="379" t="s">
        <v>82</v>
      </c>
      <c r="C118" s="653">
        <f t="shared" si="20"/>
        <v>2363.3668165279973</v>
      </c>
      <c r="D118" s="653">
        <f>'G-4 COST OF SERVICE'!G70</f>
        <v>2363.3668165279973</v>
      </c>
      <c r="E118" s="653">
        <f>'G-4 COST OF SERVICE'!H70</f>
        <v>0</v>
      </c>
      <c r="F118" s="653">
        <f>'G-4 COST OF SERVICE'!I70</f>
        <v>0</v>
      </c>
      <c r="G118" s="654">
        <f>IF(SUM('Function Allocators'!$D195:$G195)=0,0,($D118*'Function Allocators'!D195/SUM('Function Allocators'!$D195:$G195)))</f>
        <v>0</v>
      </c>
      <c r="H118" s="654">
        <f>IF(SUM('Function Allocators'!$D195:$G195)=0,0,($D118*'Function Allocators'!E195/SUM('Function Allocators'!$D195:$G195)))</f>
        <v>0</v>
      </c>
      <c r="I118" s="654">
        <f>IF(SUM('Function Allocators'!$D195:$G195)=0,0,($D118*'Function Allocators'!F195/SUM('Function Allocators'!$D195:$G195)))</f>
        <v>0</v>
      </c>
      <c r="J118" s="654">
        <f>IF(SUM('Function Allocators'!$D195:$G195)=0,0,($D118*'Function Allocators'!G195/SUM('Function Allocators'!$D195:$G195)))</f>
        <v>2363.3668165279973</v>
      </c>
      <c r="K118" s="654">
        <f>IF(SUM('Function Allocators'!$H195:$I195)=0,0,($E118*'Function Allocators'!H195/SUM('Function Allocators'!$H195:$I195)))</f>
        <v>0</v>
      </c>
      <c r="L118" s="654">
        <f>IF(SUM('Function Allocators'!$H195:$I195)=0,0,($E118*'Function Allocators'!I195/SUM('Function Allocators'!$H195:$I195)))</f>
        <v>0</v>
      </c>
      <c r="M118" s="654">
        <f>IF(SUM('Function Allocators'!$J195:$O195)=0,0,($F118*'Function Allocators'!J195/SUM('Function Allocators'!$J195:$O195)))</f>
        <v>0</v>
      </c>
      <c r="N118" s="654">
        <f>IF(SUM('Function Allocators'!$J195:$O195)=0,0,($F118*'Function Allocators'!K195/SUM('Function Allocators'!$J195:$O195)))</f>
        <v>0</v>
      </c>
      <c r="O118" s="654">
        <f>IF(SUM('Function Allocators'!$J195:$O195)=0,0,($F118*'Function Allocators'!L195/SUM('Function Allocators'!$J195:$O195)))</f>
        <v>0</v>
      </c>
      <c r="P118" s="654">
        <f>IF(SUM('Function Allocators'!$J195:$O195)=0,0,($F118*'Function Allocators'!M195/SUM('Function Allocators'!$J195:$O195)))</f>
        <v>0</v>
      </c>
      <c r="Q118" s="654">
        <f>IF(SUM('Function Allocators'!$J195:$O195)=0,0,($F118*'Function Allocators'!N195/SUM('Function Allocators'!$J195:$O195)))</f>
        <v>0</v>
      </c>
      <c r="R118" s="654">
        <f>IF(SUM('Function Allocators'!$J195:$O195)=0,0,($F118*'Function Allocators'!O195/SUM('Function Allocators'!$J195:$O195)))</f>
        <v>0</v>
      </c>
      <c r="T118" s="360" t="s">
        <v>428</v>
      </c>
      <c r="U118" s="52">
        <f t="shared" si="21"/>
        <v>0</v>
      </c>
      <c r="V118" s="361">
        <f>'G-4 COST OF SERVICE'!G70-SUM('Functionalization RES'!G118:J118)</f>
        <v>0</v>
      </c>
      <c r="W118" s="361">
        <f>'G-4 COST OF SERVICE'!H70-SUM('Functionalization RES'!K118:L118)</f>
        <v>0</v>
      </c>
      <c r="X118" s="361">
        <f>'G-4 COST OF SERVICE'!I70-SUM('Functionalization RES'!M118:R118)</f>
        <v>0</v>
      </c>
    </row>
    <row r="119" spans="1:24">
      <c r="A119" s="385">
        <v>376</v>
      </c>
      <c r="B119" s="379" t="s">
        <v>83</v>
      </c>
      <c r="C119" s="653">
        <f t="shared" si="20"/>
        <v>3769931.2862767824</v>
      </c>
      <c r="D119" s="653">
        <f>'G-4 COST OF SERVICE'!G71</f>
        <v>1352621.0692495443</v>
      </c>
      <c r="E119" s="653">
        <f>'G-4 COST OF SERVICE'!H71</f>
        <v>0</v>
      </c>
      <c r="F119" s="653">
        <f>'G-4 COST OF SERVICE'!I71</f>
        <v>2417310.2170272381</v>
      </c>
      <c r="G119" s="654">
        <f>IF(SUM('Function Allocators'!$D196:$G196)=0,0,($D119*'Function Allocators'!D196/SUM('Function Allocators'!$D196:$G196)))</f>
        <v>0</v>
      </c>
      <c r="H119" s="654">
        <f>IF(SUM('Function Allocators'!$D196:$G196)=0,0,($D119*'Function Allocators'!E196/SUM('Function Allocators'!$D196:$G196)))</f>
        <v>1352621.0692495443</v>
      </c>
      <c r="I119" s="654">
        <f>IF(SUM('Function Allocators'!$D196:$G196)=0,0,($D119*'Function Allocators'!F196/SUM('Function Allocators'!$D196:$G196)))</f>
        <v>0</v>
      </c>
      <c r="J119" s="654">
        <f>IF(SUM('Function Allocators'!$D196:$G196)=0,0,($D119*'Function Allocators'!G196/SUM('Function Allocators'!$D196:$G196)))</f>
        <v>0</v>
      </c>
      <c r="K119" s="654">
        <f>IF(SUM('Function Allocators'!$H196:$I196)=0,0,($E119*'Function Allocators'!H196/SUM('Function Allocators'!$H196:$I196)))</f>
        <v>0</v>
      </c>
      <c r="L119" s="654">
        <f>IF(SUM('Function Allocators'!$H196:$I196)=0,0,($E119*'Function Allocators'!I196/SUM('Function Allocators'!$H196:$I196)))</f>
        <v>0</v>
      </c>
      <c r="M119" s="654">
        <f>IF(SUM('Function Allocators'!$J196:$O196)=0,0,($F119*'Function Allocators'!J196/SUM('Function Allocators'!$J196:$O196)))</f>
        <v>2417310.2170272381</v>
      </c>
      <c r="N119" s="654">
        <f>IF(SUM('Function Allocators'!$J196:$O196)=0,0,($F119*'Function Allocators'!K196/SUM('Function Allocators'!$J196:$O196)))</f>
        <v>0</v>
      </c>
      <c r="O119" s="654">
        <f>IF(SUM('Function Allocators'!$J196:$O196)=0,0,($F119*'Function Allocators'!L196/SUM('Function Allocators'!$J196:$O196)))</f>
        <v>0</v>
      </c>
      <c r="P119" s="654">
        <f>IF(SUM('Function Allocators'!$J196:$O196)=0,0,($F119*'Function Allocators'!M196/SUM('Function Allocators'!$J196:$O196)))</f>
        <v>0</v>
      </c>
      <c r="Q119" s="654">
        <f>IF(SUM('Function Allocators'!$J196:$O196)=0,0,($F119*'Function Allocators'!N196/SUM('Function Allocators'!$J196:$O196)))</f>
        <v>0</v>
      </c>
      <c r="R119" s="654">
        <f>IF(SUM('Function Allocators'!$J196:$O196)=0,0,($F119*'Function Allocators'!O196/SUM('Function Allocators'!$J196:$O196)))</f>
        <v>0</v>
      </c>
      <c r="T119" s="360" t="s">
        <v>442</v>
      </c>
      <c r="U119" s="52">
        <f t="shared" si="21"/>
        <v>0</v>
      </c>
      <c r="V119" s="361">
        <f>'G-4 COST OF SERVICE'!G71-SUM('Functionalization RES'!G119:J119)</f>
        <v>0</v>
      </c>
      <c r="W119" s="361">
        <f>'G-4 COST OF SERVICE'!H71-SUM('Functionalization RES'!K119:L119)</f>
        <v>0</v>
      </c>
      <c r="X119" s="361">
        <f>'G-4 COST OF SERVICE'!I71-SUM('Functionalization RES'!M119:R119)</f>
        <v>0</v>
      </c>
    </row>
    <row r="120" spans="1:24">
      <c r="A120" s="385">
        <v>378</v>
      </c>
      <c r="B120" s="379" t="s">
        <v>198</v>
      </c>
      <c r="C120" s="653">
        <f t="shared" si="20"/>
        <v>70347.955796158465</v>
      </c>
      <c r="D120" s="653">
        <f>'G-4 COST OF SERVICE'!G72</f>
        <v>70347.955796158465</v>
      </c>
      <c r="E120" s="653">
        <f>'G-4 COST OF SERVICE'!H72</f>
        <v>0</v>
      </c>
      <c r="F120" s="653">
        <f>'G-4 COST OF SERVICE'!I72</f>
        <v>0</v>
      </c>
      <c r="G120" s="654">
        <f>IF(SUM('Function Allocators'!$D197:$G197)=0,0,($D120*'Function Allocators'!D197/SUM('Function Allocators'!$D197:$G197)))</f>
        <v>0</v>
      </c>
      <c r="H120" s="654">
        <f>IF(SUM('Function Allocators'!$D197:$G197)=0,0,($D120*'Function Allocators'!E197/SUM('Function Allocators'!$D197:$G197)))</f>
        <v>0</v>
      </c>
      <c r="I120" s="654">
        <f>IF(SUM('Function Allocators'!$D197:$G197)=0,0,($D120*'Function Allocators'!F197/SUM('Function Allocators'!$D197:$G197)))</f>
        <v>70347.955796158465</v>
      </c>
      <c r="J120" s="654">
        <f>IF(SUM('Function Allocators'!$D197:$G197)=0,0,($D120*'Function Allocators'!G197/SUM('Function Allocators'!$D197:$G197)))</f>
        <v>0</v>
      </c>
      <c r="K120" s="654">
        <f>IF(SUM('Function Allocators'!$H197:$I197)=0,0,($E120*'Function Allocators'!H197/SUM('Function Allocators'!$H197:$I197)))</f>
        <v>0</v>
      </c>
      <c r="L120" s="654">
        <f>IF(SUM('Function Allocators'!$H197:$I197)=0,0,($E120*'Function Allocators'!I197/SUM('Function Allocators'!$H197:$I197)))</f>
        <v>0</v>
      </c>
      <c r="M120" s="654">
        <f>IF(SUM('Function Allocators'!$J197:$O197)=0,0,($F120*'Function Allocators'!J197/SUM('Function Allocators'!$J197:$O197)))</f>
        <v>0</v>
      </c>
      <c r="N120" s="654">
        <f>IF(SUM('Function Allocators'!$J197:$O197)=0,0,($F120*'Function Allocators'!K197/SUM('Function Allocators'!$J197:$O197)))</f>
        <v>0</v>
      </c>
      <c r="O120" s="654">
        <f>IF(SUM('Function Allocators'!$J197:$O197)=0,0,($F120*'Function Allocators'!L197/SUM('Function Allocators'!$J197:$O197)))</f>
        <v>0</v>
      </c>
      <c r="P120" s="654">
        <f>IF(SUM('Function Allocators'!$J197:$O197)=0,0,($F120*'Function Allocators'!M197/SUM('Function Allocators'!$J197:$O197)))</f>
        <v>0</v>
      </c>
      <c r="Q120" s="654">
        <f>IF(SUM('Function Allocators'!$J197:$O197)=0,0,($F120*'Function Allocators'!N197/SUM('Function Allocators'!$J197:$O197)))</f>
        <v>0</v>
      </c>
      <c r="R120" s="654">
        <f>IF(SUM('Function Allocators'!$J197:$O197)=0,0,($F120*'Function Allocators'!O197/SUM('Function Allocators'!$J197:$O197)))</f>
        <v>0</v>
      </c>
      <c r="T120" s="360" t="s">
        <v>448</v>
      </c>
      <c r="U120" s="52">
        <f t="shared" si="21"/>
        <v>0</v>
      </c>
      <c r="V120" s="361">
        <f>'G-4 COST OF SERVICE'!G72-SUM('Functionalization RES'!G120:J120)</f>
        <v>0</v>
      </c>
      <c r="W120" s="361">
        <f>'G-4 COST OF SERVICE'!H72-SUM('Functionalization RES'!K120:L120)</f>
        <v>0</v>
      </c>
      <c r="X120" s="361">
        <f>'G-4 COST OF SERVICE'!I72-SUM('Functionalization RES'!M120:R120)</f>
        <v>0</v>
      </c>
    </row>
    <row r="121" spans="1:24">
      <c r="A121" s="385">
        <v>379</v>
      </c>
      <c r="B121" s="379" t="s">
        <v>199</v>
      </c>
      <c r="C121" s="653">
        <f t="shared" si="20"/>
        <v>51527.562674512759</v>
      </c>
      <c r="D121" s="653">
        <f>'G-4 COST OF SERVICE'!G73</f>
        <v>51527.562674512759</v>
      </c>
      <c r="E121" s="653">
        <f>'G-4 COST OF SERVICE'!H73</f>
        <v>0</v>
      </c>
      <c r="F121" s="653">
        <f>'G-4 COST OF SERVICE'!I73</f>
        <v>0</v>
      </c>
      <c r="G121" s="654">
        <f>IF(SUM('Function Allocators'!$D198:$G198)=0,0,($D121*'Function Allocators'!D198/SUM('Function Allocators'!$D198:$G198)))</f>
        <v>0</v>
      </c>
      <c r="H121" s="654">
        <f>IF(SUM('Function Allocators'!$D198:$G198)=0,0,($D121*'Function Allocators'!E198/SUM('Function Allocators'!$D198:$G198)))</f>
        <v>0</v>
      </c>
      <c r="I121" s="654">
        <f>IF(SUM('Function Allocators'!$D198:$G198)=0,0,($D121*'Function Allocators'!F198/SUM('Function Allocators'!$D198:$G198)))</f>
        <v>51527.562674512759</v>
      </c>
      <c r="J121" s="654">
        <f>IF(SUM('Function Allocators'!$D198:$G198)=0,0,($D121*'Function Allocators'!G198/SUM('Function Allocators'!$D198:$G198)))</f>
        <v>0</v>
      </c>
      <c r="K121" s="654">
        <f>IF(SUM('Function Allocators'!$H198:$I198)=0,0,($E121*'Function Allocators'!H198/SUM('Function Allocators'!$H198:$I198)))</f>
        <v>0</v>
      </c>
      <c r="L121" s="654">
        <f>IF(SUM('Function Allocators'!$H198:$I198)=0,0,($E121*'Function Allocators'!I198/SUM('Function Allocators'!$H198:$I198)))</f>
        <v>0</v>
      </c>
      <c r="M121" s="654">
        <f>IF(SUM('Function Allocators'!$J198:$O198)=0,0,($F121*'Function Allocators'!J198/SUM('Function Allocators'!$J198:$O198)))</f>
        <v>0</v>
      </c>
      <c r="N121" s="654">
        <f>IF(SUM('Function Allocators'!$J198:$O198)=0,0,($F121*'Function Allocators'!K198/SUM('Function Allocators'!$J198:$O198)))</f>
        <v>0</v>
      </c>
      <c r="O121" s="654">
        <f>IF(SUM('Function Allocators'!$J198:$O198)=0,0,($F121*'Function Allocators'!L198/SUM('Function Allocators'!$J198:$O198)))</f>
        <v>0</v>
      </c>
      <c r="P121" s="654">
        <f>IF(SUM('Function Allocators'!$J198:$O198)=0,0,($F121*'Function Allocators'!M198/SUM('Function Allocators'!$J198:$O198)))</f>
        <v>0</v>
      </c>
      <c r="Q121" s="654">
        <f>IF(SUM('Function Allocators'!$J198:$O198)=0,0,($F121*'Function Allocators'!N198/SUM('Function Allocators'!$J198:$O198)))</f>
        <v>0</v>
      </c>
      <c r="R121" s="654">
        <f>IF(SUM('Function Allocators'!$J198:$O198)=0,0,($F121*'Function Allocators'!O198/SUM('Function Allocators'!$J198:$O198)))</f>
        <v>0</v>
      </c>
      <c r="T121" s="360" t="s">
        <v>448</v>
      </c>
      <c r="U121" s="52">
        <f t="shared" si="21"/>
        <v>0</v>
      </c>
      <c r="V121" s="361">
        <f>'G-4 COST OF SERVICE'!G73-SUM('Functionalization RES'!G121:J121)</f>
        <v>0</v>
      </c>
      <c r="W121" s="361">
        <f>'G-4 COST OF SERVICE'!H73-SUM('Functionalization RES'!K121:L121)</f>
        <v>0</v>
      </c>
      <c r="X121" s="361">
        <f>'G-4 COST OF SERVICE'!I73-SUM('Functionalization RES'!M121:R121)</f>
        <v>0</v>
      </c>
    </row>
    <row r="122" spans="1:24">
      <c r="A122" s="385">
        <v>380</v>
      </c>
      <c r="B122" s="379" t="s">
        <v>86</v>
      </c>
      <c r="C122" s="653">
        <f t="shared" si="20"/>
        <v>3794561.0637756651</v>
      </c>
      <c r="D122" s="653">
        <f>'G-4 COST OF SERVICE'!G74</f>
        <v>0</v>
      </c>
      <c r="E122" s="653">
        <f>'G-4 COST OF SERVICE'!H74</f>
        <v>0</v>
      </c>
      <c r="F122" s="653">
        <f>'G-4 COST OF SERVICE'!I74</f>
        <v>3794561.0637756651</v>
      </c>
      <c r="G122" s="654">
        <f>IF(SUM('Function Allocators'!$D199:$G199)=0,0,($D122*'Function Allocators'!D199/SUM('Function Allocators'!$D199:$G199)))</f>
        <v>0</v>
      </c>
      <c r="H122" s="654">
        <f>IF(SUM('Function Allocators'!$D199:$G199)=0,0,($D122*'Function Allocators'!E199/SUM('Function Allocators'!$D199:$G199)))</f>
        <v>0</v>
      </c>
      <c r="I122" s="654">
        <f>IF(SUM('Function Allocators'!$D199:$G199)=0,0,($D122*'Function Allocators'!F199/SUM('Function Allocators'!$D199:$G199)))</f>
        <v>0</v>
      </c>
      <c r="J122" s="654">
        <f>IF(SUM('Function Allocators'!$D199:$G199)=0,0,($D122*'Function Allocators'!G199/SUM('Function Allocators'!$D199:$G199)))</f>
        <v>0</v>
      </c>
      <c r="K122" s="654">
        <f>IF(SUM('Function Allocators'!$H199:$I199)=0,0,($E122*'Function Allocators'!H199/SUM('Function Allocators'!$H199:$I199)))</f>
        <v>0</v>
      </c>
      <c r="L122" s="654">
        <f>IF(SUM('Function Allocators'!$H199:$I199)=0,0,($E122*'Function Allocators'!I199/SUM('Function Allocators'!$H199:$I199)))</f>
        <v>0</v>
      </c>
      <c r="M122" s="654">
        <f>IF(SUM('Function Allocators'!$J199:$O199)=0,0,($F122*'Function Allocators'!J199/SUM('Function Allocators'!$J199:$O199)))</f>
        <v>3794561.0637756651</v>
      </c>
      <c r="N122" s="654">
        <f>IF(SUM('Function Allocators'!$J199:$O199)=0,0,($F122*'Function Allocators'!K199/SUM('Function Allocators'!$J199:$O199)))</f>
        <v>0</v>
      </c>
      <c r="O122" s="654">
        <f>IF(SUM('Function Allocators'!$J199:$O199)=0,0,($F122*'Function Allocators'!L199/SUM('Function Allocators'!$J199:$O199)))</f>
        <v>0</v>
      </c>
      <c r="P122" s="654">
        <f>IF(SUM('Function Allocators'!$J199:$O199)=0,0,($F122*'Function Allocators'!M199/SUM('Function Allocators'!$J199:$O199)))</f>
        <v>0</v>
      </c>
      <c r="Q122" s="654">
        <f>IF(SUM('Function Allocators'!$J199:$O199)=0,0,($F122*'Function Allocators'!N199/SUM('Function Allocators'!$J199:$O199)))</f>
        <v>0</v>
      </c>
      <c r="R122" s="654">
        <f>IF(SUM('Function Allocators'!$J199:$O199)=0,0,($F122*'Function Allocators'!O199/SUM('Function Allocators'!$J199:$O199)))</f>
        <v>0</v>
      </c>
      <c r="T122" s="360" t="s">
        <v>449</v>
      </c>
      <c r="U122" s="52">
        <f t="shared" si="21"/>
        <v>0</v>
      </c>
      <c r="V122" s="361">
        <f>'G-4 COST OF SERVICE'!G74-SUM('Functionalization RES'!G122:J122)</f>
        <v>0</v>
      </c>
      <c r="W122" s="361">
        <f>'G-4 COST OF SERVICE'!H74-SUM('Functionalization RES'!K122:L122)</f>
        <v>0</v>
      </c>
      <c r="X122" s="361">
        <f>'G-4 COST OF SERVICE'!I74-SUM('Functionalization RES'!M122:R122)</f>
        <v>0</v>
      </c>
    </row>
    <row r="123" spans="1:24">
      <c r="A123" s="385">
        <v>381</v>
      </c>
      <c r="B123" s="379" t="s">
        <v>88</v>
      </c>
      <c r="C123" s="653">
        <f t="shared" si="20"/>
        <v>1173130.9779545814</v>
      </c>
      <c r="D123" s="653">
        <f>'G-4 COST OF SERVICE'!G75</f>
        <v>0</v>
      </c>
      <c r="E123" s="653">
        <f>'G-4 COST OF SERVICE'!H75</f>
        <v>0</v>
      </c>
      <c r="F123" s="653">
        <f>'G-4 COST OF SERVICE'!I75</f>
        <v>1173130.9779545814</v>
      </c>
      <c r="G123" s="654">
        <f>IF(SUM('Function Allocators'!$D200:$G200)=0,0,($D123*'Function Allocators'!D200/SUM('Function Allocators'!$D200:$G200)))</f>
        <v>0</v>
      </c>
      <c r="H123" s="654">
        <f>IF(SUM('Function Allocators'!$D200:$G200)=0,0,($D123*'Function Allocators'!E200/SUM('Function Allocators'!$D200:$G200)))</f>
        <v>0</v>
      </c>
      <c r="I123" s="654">
        <f>IF(SUM('Function Allocators'!$D200:$G200)=0,0,($D123*'Function Allocators'!F200/SUM('Function Allocators'!$D200:$G200)))</f>
        <v>0</v>
      </c>
      <c r="J123" s="654">
        <f>IF(SUM('Function Allocators'!$D200:$G200)=0,0,($D123*'Function Allocators'!G200/SUM('Function Allocators'!$D200:$G200)))</f>
        <v>0</v>
      </c>
      <c r="K123" s="654">
        <f>IF(SUM('Function Allocators'!$H200:$I200)=0,0,($E123*'Function Allocators'!H200/SUM('Function Allocators'!$H200:$I200)))</f>
        <v>0</v>
      </c>
      <c r="L123" s="654">
        <f>IF(SUM('Function Allocators'!$H200:$I200)=0,0,($E123*'Function Allocators'!I200/SUM('Function Allocators'!$H200:$I200)))</f>
        <v>0</v>
      </c>
      <c r="M123" s="654">
        <f>IF(SUM('Function Allocators'!$J200:$O200)=0,0,($F123*'Function Allocators'!J200/SUM('Function Allocators'!$J200:$O200)))</f>
        <v>0</v>
      </c>
      <c r="N123" s="654">
        <f>IF(SUM('Function Allocators'!$J200:$O200)=0,0,($F123*'Function Allocators'!K200/SUM('Function Allocators'!$J200:$O200)))</f>
        <v>1173130.9779545814</v>
      </c>
      <c r="O123" s="654">
        <f>IF(SUM('Function Allocators'!$J200:$O200)=0,0,($F123*'Function Allocators'!L200/SUM('Function Allocators'!$J200:$O200)))</f>
        <v>0</v>
      </c>
      <c r="P123" s="654">
        <f>IF(SUM('Function Allocators'!$J200:$O200)=0,0,($F123*'Function Allocators'!M200/SUM('Function Allocators'!$J200:$O200)))</f>
        <v>0</v>
      </c>
      <c r="Q123" s="654">
        <f>IF(SUM('Function Allocators'!$J200:$O200)=0,0,($F123*'Function Allocators'!N200/SUM('Function Allocators'!$J200:$O200)))</f>
        <v>0</v>
      </c>
      <c r="R123" s="654">
        <f>IF(SUM('Function Allocators'!$J200:$O200)=0,0,($F123*'Function Allocators'!O200/SUM('Function Allocators'!$J200:$O200)))</f>
        <v>0</v>
      </c>
      <c r="T123" s="360" t="s">
        <v>450</v>
      </c>
      <c r="U123" s="52">
        <f t="shared" si="21"/>
        <v>0</v>
      </c>
      <c r="V123" s="361">
        <f>'G-4 COST OF SERVICE'!G75-SUM('Functionalization RES'!G123:J123)</f>
        <v>0</v>
      </c>
      <c r="W123" s="361">
        <f>'G-4 COST OF SERVICE'!H75-SUM('Functionalization RES'!K123:L123)</f>
        <v>0</v>
      </c>
      <c r="X123" s="361">
        <f>'G-4 COST OF SERVICE'!I75-SUM('Functionalization RES'!M123:R123)</f>
        <v>0</v>
      </c>
    </row>
    <row r="124" spans="1:24">
      <c r="A124" s="385">
        <v>382</v>
      </c>
      <c r="B124" s="379" t="s">
        <v>90</v>
      </c>
      <c r="C124" s="653">
        <f t="shared" si="20"/>
        <v>505208.98134542466</v>
      </c>
      <c r="D124" s="653">
        <f>'G-4 COST OF SERVICE'!G76</f>
        <v>0</v>
      </c>
      <c r="E124" s="653">
        <f>'G-4 COST OF SERVICE'!H76</f>
        <v>0</v>
      </c>
      <c r="F124" s="653">
        <f>'G-4 COST OF SERVICE'!I76</f>
        <v>505208.98134542466</v>
      </c>
      <c r="G124" s="654">
        <f>IF(SUM('Function Allocators'!$D201:$G201)=0,0,($D124*'Function Allocators'!D201/SUM('Function Allocators'!$D201:$G201)))</f>
        <v>0</v>
      </c>
      <c r="H124" s="654">
        <f>IF(SUM('Function Allocators'!$D201:$G201)=0,0,($D124*'Function Allocators'!E201/SUM('Function Allocators'!$D201:$G201)))</f>
        <v>0</v>
      </c>
      <c r="I124" s="654">
        <f>IF(SUM('Function Allocators'!$D201:$G201)=0,0,($D124*'Function Allocators'!F201/SUM('Function Allocators'!$D201:$G201)))</f>
        <v>0</v>
      </c>
      <c r="J124" s="654">
        <f>IF(SUM('Function Allocators'!$D201:$G201)=0,0,($D124*'Function Allocators'!G201/SUM('Function Allocators'!$D201:$G201)))</f>
        <v>0</v>
      </c>
      <c r="K124" s="654">
        <f>IF(SUM('Function Allocators'!$H201:$I201)=0,0,($E124*'Function Allocators'!H201/SUM('Function Allocators'!$H201:$I201)))</f>
        <v>0</v>
      </c>
      <c r="L124" s="654">
        <f>IF(SUM('Function Allocators'!$H201:$I201)=0,0,($E124*'Function Allocators'!I201/SUM('Function Allocators'!$H201:$I201)))</f>
        <v>0</v>
      </c>
      <c r="M124" s="654">
        <f>IF(SUM('Function Allocators'!$J201:$O201)=0,0,($F124*'Function Allocators'!J201/SUM('Function Allocators'!$J201:$O201)))</f>
        <v>0</v>
      </c>
      <c r="N124" s="654">
        <f>IF(SUM('Function Allocators'!$J201:$O201)=0,0,($F124*'Function Allocators'!K201/SUM('Function Allocators'!$J201:$O201)))</f>
        <v>505208.98134542466</v>
      </c>
      <c r="O124" s="654">
        <f>IF(SUM('Function Allocators'!$J201:$O201)=0,0,($F124*'Function Allocators'!L201/SUM('Function Allocators'!$J201:$O201)))</f>
        <v>0</v>
      </c>
      <c r="P124" s="654">
        <f>IF(SUM('Function Allocators'!$J201:$O201)=0,0,($F124*'Function Allocators'!M201/SUM('Function Allocators'!$J201:$O201)))</f>
        <v>0</v>
      </c>
      <c r="Q124" s="654">
        <f>IF(SUM('Function Allocators'!$J201:$O201)=0,0,($F124*'Function Allocators'!N201/SUM('Function Allocators'!$J201:$O201)))</f>
        <v>0</v>
      </c>
      <c r="R124" s="654">
        <f>IF(SUM('Function Allocators'!$J201:$O201)=0,0,($F124*'Function Allocators'!O201/SUM('Function Allocators'!$J201:$O201)))</f>
        <v>0</v>
      </c>
      <c r="T124" s="360" t="s">
        <v>450</v>
      </c>
      <c r="U124" s="52">
        <f t="shared" si="21"/>
        <v>0</v>
      </c>
      <c r="V124" s="361">
        <f>'G-4 COST OF SERVICE'!G76-SUM('Functionalization RES'!G124:J124)</f>
        <v>0</v>
      </c>
      <c r="W124" s="361">
        <f>'G-4 COST OF SERVICE'!H76-SUM('Functionalization RES'!K124:L124)</f>
        <v>0</v>
      </c>
      <c r="X124" s="361">
        <f>'G-4 COST OF SERVICE'!I76-SUM('Functionalization RES'!M124:R124)</f>
        <v>0</v>
      </c>
    </row>
    <row r="125" spans="1:24">
      <c r="A125" s="385">
        <v>383</v>
      </c>
      <c r="B125" s="379" t="s">
        <v>92</v>
      </c>
      <c r="C125" s="653">
        <f t="shared" si="20"/>
        <v>100919.03414015604</v>
      </c>
      <c r="D125" s="653">
        <f>'G-4 COST OF SERVICE'!G77</f>
        <v>0</v>
      </c>
      <c r="E125" s="653">
        <f>'G-4 COST OF SERVICE'!H77</f>
        <v>0</v>
      </c>
      <c r="F125" s="653">
        <f>'G-4 COST OF SERVICE'!I77</f>
        <v>100919.03414015604</v>
      </c>
      <c r="G125" s="654">
        <f>IF(SUM('Function Allocators'!$D202:$G202)=0,0,($D125*'Function Allocators'!D202/SUM('Function Allocators'!$D202:$G202)))</f>
        <v>0</v>
      </c>
      <c r="H125" s="654">
        <f>IF(SUM('Function Allocators'!$D202:$G202)=0,0,($D125*'Function Allocators'!E202/SUM('Function Allocators'!$D202:$G202)))</f>
        <v>0</v>
      </c>
      <c r="I125" s="654">
        <f>IF(SUM('Function Allocators'!$D202:$G202)=0,0,($D125*'Function Allocators'!F202/SUM('Function Allocators'!$D202:$G202)))</f>
        <v>0</v>
      </c>
      <c r="J125" s="654">
        <f>IF(SUM('Function Allocators'!$D202:$G202)=0,0,($D125*'Function Allocators'!G202/SUM('Function Allocators'!$D202:$G202)))</f>
        <v>0</v>
      </c>
      <c r="K125" s="654">
        <f>IF(SUM('Function Allocators'!$H202:$I202)=0,0,($E125*'Function Allocators'!H202/SUM('Function Allocators'!$H202:$I202)))</f>
        <v>0</v>
      </c>
      <c r="L125" s="654">
        <f>IF(SUM('Function Allocators'!$H202:$I202)=0,0,($E125*'Function Allocators'!I202/SUM('Function Allocators'!$H202:$I202)))</f>
        <v>0</v>
      </c>
      <c r="M125" s="654">
        <f>IF(SUM('Function Allocators'!$J202:$O202)=0,0,($F125*'Function Allocators'!J202/SUM('Function Allocators'!$J202:$O202)))</f>
        <v>0</v>
      </c>
      <c r="N125" s="654">
        <f>IF(SUM('Function Allocators'!$J202:$O202)=0,0,($F125*'Function Allocators'!K202/SUM('Function Allocators'!$J202:$O202)))</f>
        <v>0</v>
      </c>
      <c r="O125" s="654">
        <f>IF(SUM('Function Allocators'!$J202:$O202)=0,0,($F125*'Function Allocators'!L202/SUM('Function Allocators'!$J202:$O202)))</f>
        <v>100919.03414015604</v>
      </c>
      <c r="P125" s="654">
        <f>IF(SUM('Function Allocators'!$J202:$O202)=0,0,($F125*'Function Allocators'!M202/SUM('Function Allocators'!$J202:$O202)))</f>
        <v>0</v>
      </c>
      <c r="Q125" s="654">
        <f>IF(SUM('Function Allocators'!$J202:$O202)=0,0,($F125*'Function Allocators'!N202/SUM('Function Allocators'!$J202:$O202)))</f>
        <v>0</v>
      </c>
      <c r="R125" s="654">
        <f>IF(SUM('Function Allocators'!$J202:$O202)=0,0,($F125*'Function Allocators'!O202/SUM('Function Allocators'!$J202:$O202)))</f>
        <v>0</v>
      </c>
      <c r="T125" s="360" t="s">
        <v>451</v>
      </c>
      <c r="U125" s="52">
        <f t="shared" si="21"/>
        <v>0</v>
      </c>
      <c r="V125" s="361">
        <f>'G-4 COST OF SERVICE'!G77-SUM('Functionalization RES'!G125:J125)</f>
        <v>0</v>
      </c>
      <c r="W125" s="361">
        <f>'G-4 COST OF SERVICE'!H77-SUM('Functionalization RES'!K125:L125)</f>
        <v>0</v>
      </c>
      <c r="X125" s="361">
        <f>'G-4 COST OF SERVICE'!I77-SUM('Functionalization RES'!M125:R125)</f>
        <v>0</v>
      </c>
    </row>
    <row r="126" spans="1:24">
      <c r="A126" s="385">
        <v>384</v>
      </c>
      <c r="B126" s="379" t="s">
        <v>94</v>
      </c>
      <c r="C126" s="653">
        <f t="shared" si="20"/>
        <v>105071.49289712544</v>
      </c>
      <c r="D126" s="653">
        <f>'G-4 COST OF SERVICE'!G78</f>
        <v>0</v>
      </c>
      <c r="E126" s="653">
        <f>'G-4 COST OF SERVICE'!H78</f>
        <v>0</v>
      </c>
      <c r="F126" s="653">
        <f>'G-4 COST OF SERVICE'!I78</f>
        <v>105071.49289712544</v>
      </c>
      <c r="G126" s="654">
        <f>IF(SUM('Function Allocators'!$D203:$G203)=0,0,($D126*'Function Allocators'!D203/SUM('Function Allocators'!$D203:$G203)))</f>
        <v>0</v>
      </c>
      <c r="H126" s="654">
        <f>IF(SUM('Function Allocators'!$D203:$G203)=0,0,($D126*'Function Allocators'!E203/SUM('Function Allocators'!$D203:$G203)))</f>
        <v>0</v>
      </c>
      <c r="I126" s="654">
        <f>IF(SUM('Function Allocators'!$D203:$G203)=0,0,($D126*'Function Allocators'!F203/SUM('Function Allocators'!$D203:$G203)))</f>
        <v>0</v>
      </c>
      <c r="J126" s="654">
        <f>IF(SUM('Function Allocators'!$D203:$G203)=0,0,($D126*'Function Allocators'!G203/SUM('Function Allocators'!$D203:$G203)))</f>
        <v>0</v>
      </c>
      <c r="K126" s="654">
        <f>IF(SUM('Function Allocators'!$H203:$I203)=0,0,($E126*'Function Allocators'!H203/SUM('Function Allocators'!$H203:$I203)))</f>
        <v>0</v>
      </c>
      <c r="L126" s="654">
        <f>IF(SUM('Function Allocators'!$H203:$I203)=0,0,($E126*'Function Allocators'!I203/SUM('Function Allocators'!$H203:$I203)))</f>
        <v>0</v>
      </c>
      <c r="M126" s="654">
        <f>IF(SUM('Function Allocators'!$J203:$O203)=0,0,($F126*'Function Allocators'!J203/SUM('Function Allocators'!$J203:$O203)))</f>
        <v>0</v>
      </c>
      <c r="N126" s="654">
        <f>IF(SUM('Function Allocators'!$J203:$O203)=0,0,($F126*'Function Allocators'!K203/SUM('Function Allocators'!$J203:$O203)))</f>
        <v>0</v>
      </c>
      <c r="O126" s="654">
        <f>IF(SUM('Function Allocators'!$J203:$O203)=0,0,($F126*'Function Allocators'!L203/SUM('Function Allocators'!$J203:$O203)))</f>
        <v>105071.49289712544</v>
      </c>
      <c r="P126" s="654">
        <f>IF(SUM('Function Allocators'!$J203:$O203)=0,0,($F126*'Function Allocators'!M203/SUM('Function Allocators'!$J203:$O203)))</f>
        <v>0</v>
      </c>
      <c r="Q126" s="654">
        <f>IF(SUM('Function Allocators'!$J203:$O203)=0,0,($F126*'Function Allocators'!N203/SUM('Function Allocators'!$J203:$O203)))</f>
        <v>0</v>
      </c>
      <c r="R126" s="654">
        <f>IF(SUM('Function Allocators'!$J203:$O203)=0,0,($F126*'Function Allocators'!O203/SUM('Function Allocators'!$J203:$O203)))</f>
        <v>0</v>
      </c>
      <c r="T126" s="360" t="s">
        <v>451</v>
      </c>
      <c r="U126" s="52">
        <f t="shared" si="21"/>
        <v>0</v>
      </c>
      <c r="V126" s="361">
        <f>'G-4 COST OF SERVICE'!G78-SUM('Functionalization RES'!G126:J126)</f>
        <v>0</v>
      </c>
      <c r="W126" s="361">
        <f>'G-4 COST OF SERVICE'!H78-SUM('Functionalization RES'!K126:L126)</f>
        <v>0</v>
      </c>
      <c r="X126" s="361">
        <f>'G-4 COST OF SERVICE'!I78-SUM('Functionalization RES'!M126:R126)</f>
        <v>0</v>
      </c>
    </row>
    <row r="127" spans="1:24">
      <c r="A127" s="385">
        <v>385</v>
      </c>
      <c r="B127" s="379" t="s">
        <v>200</v>
      </c>
      <c r="C127" s="653">
        <f t="shared" si="20"/>
        <v>0</v>
      </c>
      <c r="D127" s="653">
        <f>'G-4 COST OF SERVICE'!G79</f>
        <v>0</v>
      </c>
      <c r="E127" s="653">
        <f>'G-4 COST OF SERVICE'!H79</f>
        <v>0</v>
      </c>
      <c r="F127" s="653">
        <f>'G-4 COST OF SERVICE'!I79</f>
        <v>0</v>
      </c>
      <c r="G127" s="654">
        <f>IF(SUM('Function Allocators'!$D204:$G204)=0,0,($D127*'Function Allocators'!D204/SUM('Function Allocators'!$D204:$G204)))</f>
        <v>0</v>
      </c>
      <c r="H127" s="654">
        <f>IF(SUM('Function Allocators'!$D204:$G204)=0,0,($D127*'Function Allocators'!E204/SUM('Function Allocators'!$D204:$G204)))</f>
        <v>0</v>
      </c>
      <c r="I127" s="654">
        <f>IF(SUM('Function Allocators'!$D204:$G204)=0,0,($D127*'Function Allocators'!F204/SUM('Function Allocators'!$D204:$G204)))</f>
        <v>0</v>
      </c>
      <c r="J127" s="654">
        <f>IF(SUM('Function Allocators'!$D204:$G204)=0,0,($D127*'Function Allocators'!G204/SUM('Function Allocators'!$D204:$G204)))</f>
        <v>0</v>
      </c>
      <c r="K127" s="654">
        <f>IF(SUM('Function Allocators'!$H204:$I204)=0,0,($E127*'Function Allocators'!H204/SUM('Function Allocators'!$H204:$I204)))</f>
        <v>0</v>
      </c>
      <c r="L127" s="654">
        <f>IF(SUM('Function Allocators'!$H204:$I204)=0,0,($E127*'Function Allocators'!I204/SUM('Function Allocators'!$H204:$I204)))</f>
        <v>0</v>
      </c>
      <c r="M127" s="654">
        <f>IF(SUM('Function Allocators'!$J204:$O204)=0,0,($F127*'Function Allocators'!J204/SUM('Function Allocators'!$J204:$O204)))</f>
        <v>0</v>
      </c>
      <c r="N127" s="654">
        <f>IF(SUM('Function Allocators'!$J204:$O204)=0,0,($F127*'Function Allocators'!K204/SUM('Function Allocators'!$J204:$O204)))</f>
        <v>0</v>
      </c>
      <c r="O127" s="654">
        <f>IF(SUM('Function Allocators'!$J204:$O204)=0,0,($F127*'Function Allocators'!L204/SUM('Function Allocators'!$J204:$O204)))</f>
        <v>0</v>
      </c>
      <c r="P127" s="654">
        <f>IF(SUM('Function Allocators'!$J204:$O204)=0,0,($F127*'Function Allocators'!M204/SUM('Function Allocators'!$J204:$O204)))</f>
        <v>0</v>
      </c>
      <c r="Q127" s="654">
        <f>IF(SUM('Function Allocators'!$J204:$O204)=0,0,($F127*'Function Allocators'!N204/SUM('Function Allocators'!$J204:$O204)))</f>
        <v>0</v>
      </c>
      <c r="R127" s="654">
        <f>IF(SUM('Function Allocators'!$J204:$O204)=0,0,($F127*'Function Allocators'!O204/SUM('Function Allocators'!$J204:$O204)))</f>
        <v>0</v>
      </c>
      <c r="T127" s="360" t="s">
        <v>451</v>
      </c>
      <c r="U127" s="52">
        <f t="shared" si="21"/>
        <v>0</v>
      </c>
      <c r="V127" s="361">
        <f>'G-4 COST OF SERVICE'!G79-SUM('Functionalization RES'!G127:J127)</f>
        <v>0</v>
      </c>
      <c r="W127" s="361">
        <f>'G-4 COST OF SERVICE'!H79-SUM('Functionalization RES'!K127:L127)</f>
        <v>0</v>
      </c>
      <c r="X127" s="361">
        <f>'G-4 COST OF SERVICE'!I79-SUM('Functionalization RES'!M127:R127)</f>
        <v>0</v>
      </c>
    </row>
    <row r="128" spans="1:24">
      <c r="A128" s="385">
        <v>387</v>
      </c>
      <c r="B128" s="379" t="s">
        <v>98</v>
      </c>
      <c r="C128" s="653">
        <f t="shared" si="20"/>
        <v>21649.760076892431</v>
      </c>
      <c r="D128" s="653">
        <f>'G-4 COST OF SERVICE'!G80</f>
        <v>21649.760076892431</v>
      </c>
      <c r="E128" s="653">
        <f>'G-4 COST OF SERVICE'!H80</f>
        <v>0</v>
      </c>
      <c r="F128" s="653">
        <f>'G-4 COST OF SERVICE'!I80</f>
        <v>0</v>
      </c>
      <c r="G128" s="654">
        <f>IF(SUM('Function Allocators'!$D205:$G205)=0,0,($D128*'Function Allocators'!D205/SUM('Function Allocators'!$D205:$G205)))</f>
        <v>0</v>
      </c>
      <c r="H128" s="654">
        <f>IF(SUM('Function Allocators'!$D205:$G205)=0,0,($D128*'Function Allocators'!E205/SUM('Function Allocators'!$D205:$G205)))</f>
        <v>0</v>
      </c>
      <c r="I128" s="654">
        <f>IF(SUM('Function Allocators'!$D205:$G205)=0,0,($D128*'Function Allocators'!F205/SUM('Function Allocators'!$D205:$G205)))</f>
        <v>0</v>
      </c>
      <c r="J128" s="654">
        <f>IF(SUM('Function Allocators'!$D205:$G205)=0,0,($D128*'Function Allocators'!G205/SUM('Function Allocators'!$D205:$G205)))</f>
        <v>21649.760076892431</v>
      </c>
      <c r="K128" s="654">
        <f>IF(SUM('Function Allocators'!$H205:$I205)=0,0,($E128*'Function Allocators'!H205/SUM('Function Allocators'!$H205:$I205)))</f>
        <v>0</v>
      </c>
      <c r="L128" s="654">
        <f>IF(SUM('Function Allocators'!$H205:$I205)=0,0,($E128*'Function Allocators'!I205/SUM('Function Allocators'!$H205:$I205)))</f>
        <v>0</v>
      </c>
      <c r="M128" s="654">
        <f>IF(SUM('Function Allocators'!$J205:$O205)=0,0,($F128*'Function Allocators'!J205/SUM('Function Allocators'!$J205:$O205)))</f>
        <v>0</v>
      </c>
      <c r="N128" s="654">
        <f>IF(SUM('Function Allocators'!$J205:$O205)=0,0,($F128*'Function Allocators'!K205/SUM('Function Allocators'!$J205:$O205)))</f>
        <v>0</v>
      </c>
      <c r="O128" s="654">
        <f>IF(SUM('Function Allocators'!$J205:$O205)=0,0,($F128*'Function Allocators'!L205/SUM('Function Allocators'!$J205:$O205)))</f>
        <v>0</v>
      </c>
      <c r="P128" s="654">
        <f>IF(SUM('Function Allocators'!$J205:$O205)=0,0,($F128*'Function Allocators'!M205/SUM('Function Allocators'!$J205:$O205)))</f>
        <v>0</v>
      </c>
      <c r="Q128" s="654">
        <f>IF(SUM('Function Allocators'!$J205:$O205)=0,0,($F128*'Function Allocators'!N205/SUM('Function Allocators'!$J205:$O205)))</f>
        <v>0</v>
      </c>
      <c r="R128" s="654">
        <f>IF(SUM('Function Allocators'!$J205:$O205)=0,0,($F128*'Function Allocators'!O205/SUM('Function Allocators'!$J205:$O205)))</f>
        <v>0</v>
      </c>
      <c r="T128" s="360" t="s">
        <v>428</v>
      </c>
      <c r="U128" s="52">
        <f t="shared" si="21"/>
        <v>0</v>
      </c>
      <c r="V128" s="361">
        <f>'G-4 COST OF SERVICE'!G80-SUM('Functionalization RES'!G128:J128)</f>
        <v>0</v>
      </c>
      <c r="W128" s="361">
        <f>'G-4 COST OF SERVICE'!H80-SUM('Functionalization RES'!K128:L128)</f>
        <v>0</v>
      </c>
      <c r="X128" s="361">
        <f>'G-4 COST OF SERVICE'!I80-SUM('Functionalization RES'!M128:R128)</f>
        <v>0</v>
      </c>
    </row>
    <row r="129" spans="1:24">
      <c r="A129" s="385"/>
      <c r="B129" s="377" t="s">
        <v>201</v>
      </c>
      <c r="C129" s="655">
        <f t="shared" ref="C129:R129" si="22">SUM(C117:C128)</f>
        <v>9598207.2549262922</v>
      </c>
      <c r="D129" s="655">
        <f t="shared" si="22"/>
        <v>1502005.4877861033</v>
      </c>
      <c r="E129" s="655">
        <f t="shared" si="22"/>
        <v>0</v>
      </c>
      <c r="F129" s="655">
        <f t="shared" si="22"/>
        <v>8096201.767140191</v>
      </c>
      <c r="G129" s="656">
        <f t="shared" si="22"/>
        <v>0</v>
      </c>
      <c r="H129" s="655">
        <f t="shared" si="22"/>
        <v>1352621.0692495443</v>
      </c>
      <c r="I129" s="655">
        <f t="shared" si="22"/>
        <v>121875.51847067123</v>
      </c>
      <c r="J129" s="655">
        <f t="shared" si="22"/>
        <v>27508.900065887894</v>
      </c>
      <c r="K129" s="655">
        <f t="shared" si="22"/>
        <v>0</v>
      </c>
      <c r="L129" s="655">
        <f t="shared" si="22"/>
        <v>0</v>
      </c>
      <c r="M129" s="655">
        <f t="shared" si="22"/>
        <v>6211871.2808029037</v>
      </c>
      <c r="N129" s="655">
        <f t="shared" si="22"/>
        <v>1678339.959300006</v>
      </c>
      <c r="O129" s="655">
        <f t="shared" si="22"/>
        <v>205990.52703728148</v>
      </c>
      <c r="P129" s="655">
        <f t="shared" si="22"/>
        <v>0</v>
      </c>
      <c r="Q129" s="655">
        <f t="shared" si="22"/>
        <v>0</v>
      </c>
      <c r="R129" s="655">
        <f t="shared" si="22"/>
        <v>0</v>
      </c>
      <c r="U129" s="52">
        <f t="shared" si="21"/>
        <v>0</v>
      </c>
      <c r="V129" s="361">
        <f>'G-4 COST OF SERVICE'!G81-SUM('Functionalization RES'!G129:J129)</f>
        <v>0</v>
      </c>
      <c r="W129" s="361">
        <f>'G-4 COST OF SERVICE'!H81-SUM('Functionalization RES'!K129:L129)</f>
        <v>0</v>
      </c>
      <c r="X129" s="361">
        <f>'G-4 COST OF SERVICE'!I81-SUM('Functionalization RES'!M129:R129)</f>
        <v>0</v>
      </c>
    </row>
    <row r="130" spans="1:24" ht="11.25">
      <c r="A130" s="385"/>
      <c r="B130" s="377"/>
      <c r="C130" s="653"/>
      <c r="D130" s="653"/>
      <c r="E130" s="653"/>
      <c r="F130" s="653"/>
      <c r="G130" s="654"/>
      <c r="H130" s="653"/>
      <c r="I130" s="653"/>
      <c r="J130" s="653"/>
      <c r="K130" s="653"/>
      <c r="L130" s="653"/>
      <c r="M130" s="653"/>
      <c r="N130" s="653"/>
      <c r="O130" s="653"/>
      <c r="P130" s="653"/>
      <c r="Q130" s="653"/>
      <c r="R130" s="653"/>
      <c r="U130" s="360"/>
      <c r="V130" s="361"/>
      <c r="W130" s="361"/>
      <c r="X130" s="361"/>
    </row>
    <row r="131" spans="1:24" ht="11.25">
      <c r="A131" s="385"/>
      <c r="B131" s="377"/>
      <c r="C131" s="653"/>
      <c r="D131" s="653"/>
      <c r="E131" s="653"/>
      <c r="F131" s="653"/>
      <c r="G131" s="654"/>
      <c r="H131" s="653"/>
      <c r="I131" s="653"/>
      <c r="J131" s="653"/>
      <c r="K131" s="653"/>
      <c r="L131" s="653"/>
      <c r="M131" s="653"/>
      <c r="N131" s="653"/>
      <c r="O131" s="653"/>
      <c r="P131" s="653"/>
      <c r="Q131" s="653"/>
      <c r="R131" s="653"/>
      <c r="U131" s="360"/>
      <c r="V131" s="361"/>
      <c r="W131" s="361"/>
      <c r="X131" s="361"/>
    </row>
    <row r="132" spans="1:24">
      <c r="A132" s="385" t="s">
        <v>101</v>
      </c>
      <c r="B132" s="377" t="s">
        <v>289</v>
      </c>
      <c r="C132" s="654">
        <f>SUM(G132:R132)</f>
        <v>1627604.454881489</v>
      </c>
      <c r="D132" s="654">
        <f>'G-4 COST OF SERVICE'!G83</f>
        <v>316271.95614859235</v>
      </c>
      <c r="E132" s="654">
        <f>'G-4 COST OF SERVICE'!H83</f>
        <v>0</v>
      </c>
      <c r="F132" s="654">
        <f>'G-4 COST OF SERVICE'!I83</f>
        <v>1311332.4987328965</v>
      </c>
      <c r="G132" s="654">
        <f>IF(SUM('Function Allocators'!$D210:$G210)=0,0,($D132*'Function Allocators'!D210/SUM('Function Allocators'!$D210:$G210)))</f>
        <v>0</v>
      </c>
      <c r="H132" s="654">
        <f>IF(SUM('Function Allocators'!$D210:$G210)=0,0,($D132*'Function Allocators'!E210/SUM('Function Allocators'!$D210:$G210)))</f>
        <v>290019.81784072472</v>
      </c>
      <c r="I132" s="654">
        <f>IF(SUM('Function Allocators'!$D210:$G210)=0,0,($D132*'Function Allocators'!F210/SUM('Function Allocators'!$D210:$G210)))</f>
        <v>20560.819924747848</v>
      </c>
      <c r="J132" s="654">
        <f>IF(SUM('Function Allocators'!$D210:$G210)=0,0,($D132*'Function Allocators'!G210/SUM('Function Allocators'!$D210:$G210)))</f>
        <v>5691.3183831197885</v>
      </c>
      <c r="K132" s="654">
        <f>IF(SUM('Function Allocators'!$H210:$I210)=0,0,($E132*'Function Allocators'!H210/SUM('Function Allocators'!$H$210:$I$210)))</f>
        <v>0</v>
      </c>
      <c r="L132" s="654">
        <f>IF(SUM('Function Allocators'!$H210:$I210)=0,0,($E132*'Function Allocators'!I210/SUM('Function Allocators'!$H$210:$I$210)))</f>
        <v>0</v>
      </c>
      <c r="M132" s="654">
        <f>IF(SUM('Function Allocators'!$J210:$O210)=0,0,($F132*'Function Allocators'!J210/SUM('Function Allocators'!$J210:$O210)))</f>
        <v>1063010.0870856415</v>
      </c>
      <c r="N132" s="654">
        <f>IF(SUM('Function Allocators'!$J210:$O210)=0,0,($F132*'Function Allocators'!K210/SUM('Function Allocators'!$J210:$O210)))</f>
        <v>204671.81506634501</v>
      </c>
      <c r="O132" s="654">
        <f>IF(SUM('Function Allocators'!$J210:$O210)=0,0,($F132*'Function Allocators'!L210/SUM('Function Allocators'!$J210:$O210)))</f>
        <v>43650.596580910264</v>
      </c>
      <c r="P132" s="654">
        <f>IF(SUM('Function Allocators'!$J210:$O210)=0,0,($F132*'Function Allocators'!M210/SUM('Function Allocators'!$J210:$O210)))</f>
        <v>0</v>
      </c>
      <c r="Q132" s="654">
        <f>IF(SUM('Function Allocators'!$J210:$O210)=0,0,($F132*'Function Allocators'!N210/SUM('Function Allocators'!$J210:$O210)))</f>
        <v>0</v>
      </c>
      <c r="R132" s="654">
        <f>IF(SUM('Function Allocators'!$J210:$O210)=0,0,($F132*'Function Allocators'!O210/SUM('Function Allocators'!$J210:$O210)))</f>
        <v>0</v>
      </c>
      <c r="U132" s="52">
        <f>C132-SUM(D132:F132)</f>
        <v>0</v>
      </c>
      <c r="V132" s="361">
        <f>'G-4 COST OF SERVICE'!G83-SUM('Functionalization RES'!G132:J132)</f>
        <v>0</v>
      </c>
      <c r="W132" s="361">
        <f>'G-4 COST OF SERVICE'!H83-SUM('Functionalization RES'!K132:L132)</f>
        <v>0</v>
      </c>
      <c r="X132" s="361">
        <f>'G-4 COST OF SERVICE'!I83-SUM('Functionalization RES'!M132:R132)</f>
        <v>0</v>
      </c>
    </row>
    <row r="133" spans="1:24" ht="11.25">
      <c r="A133" s="385"/>
      <c r="B133" s="377"/>
      <c r="C133" s="653"/>
      <c r="D133" s="653"/>
      <c r="E133" s="653"/>
      <c r="F133" s="653"/>
      <c r="G133" s="654"/>
      <c r="H133" s="653"/>
      <c r="I133" s="653"/>
      <c r="J133" s="653"/>
      <c r="K133" s="653"/>
      <c r="L133" s="653"/>
      <c r="M133" s="653"/>
      <c r="N133" s="653"/>
      <c r="O133" s="653"/>
      <c r="P133" s="653"/>
      <c r="Q133" s="653"/>
      <c r="R133" s="653"/>
      <c r="U133" s="360"/>
      <c r="V133" s="361"/>
      <c r="W133" s="361"/>
      <c r="X133" s="361"/>
    </row>
    <row r="134" spans="1:24">
      <c r="A134" s="390">
        <v>431</v>
      </c>
      <c r="B134" s="379" t="s">
        <v>452</v>
      </c>
      <c r="C134" s="653">
        <f>SUM(G134:R134)</f>
        <v>-1343.4163755143716</v>
      </c>
      <c r="D134" s="653">
        <f>'G-4 COST OF SERVICE'!G92</f>
        <v>0</v>
      </c>
      <c r="E134" s="653">
        <f>'G-4 COST OF SERVICE'!H92</f>
        <v>0</v>
      </c>
      <c r="F134" s="653">
        <f>'G-4 COST OF SERVICE'!I92</f>
        <v>-1343.4163755143716</v>
      </c>
      <c r="G134" s="654">
        <f>IF(SUM('Function Allocators'!$D222:$G222)=0,0,($D134*'Function Allocators'!D222/SUM('Function Allocators'!$D222:$G222)))</f>
        <v>0</v>
      </c>
      <c r="H134" s="654">
        <f>IF(SUM('Function Allocators'!$D222:$G222)=0,0,($D134*'Function Allocators'!E222/SUM('Function Allocators'!$D222:$G222)))</f>
        <v>0</v>
      </c>
      <c r="I134" s="654">
        <f>IF(SUM('Function Allocators'!$D222:$G222)=0,0,($D134*'Function Allocators'!F222/SUM('Function Allocators'!$D222:$G222)))</f>
        <v>0</v>
      </c>
      <c r="J134" s="654">
        <f>IF(SUM('Function Allocators'!$D222:$G222)=0,0,($D134*'Function Allocators'!G222/SUM('Function Allocators'!$D222:$G222)))</f>
        <v>0</v>
      </c>
      <c r="K134" s="654">
        <f>IF(SUM('Function Allocators'!$H222:$I222)=0,0,($E134*'Function Allocators'!H222/SUM('Function Allocators'!$H$22:$I$222)))</f>
        <v>0</v>
      </c>
      <c r="L134" s="654">
        <f>IF(SUM('Function Allocators'!$H222:$I222)=0,0,($E134*'Function Allocators'!I222/SUM('Function Allocators'!$H$22:$I$222)))</f>
        <v>0</v>
      </c>
      <c r="M134" s="654">
        <f>IF(SUM('Function Allocators'!$J222:$O222)=0,0,($F134*'Function Allocators'!J222/SUM('Function Allocators'!$J222:$O222)))</f>
        <v>0</v>
      </c>
      <c r="N134" s="654">
        <f>IF(SUM('Function Allocators'!$J222:$O222)=0,0,($F134*'Function Allocators'!K222/SUM('Function Allocators'!$J222:$O222)))</f>
        <v>0</v>
      </c>
      <c r="O134" s="654">
        <f>IF(SUM('Function Allocators'!$J222:$O222)=0,0,($F134*'Function Allocators'!L222/SUM('Function Allocators'!$J222:$O222)))</f>
        <v>0</v>
      </c>
      <c r="P134" s="654">
        <f>IF(SUM('Function Allocators'!$J222:$O222)=0,0,($F134*'Function Allocators'!M222/SUM('Function Allocators'!$J222:$O222)))</f>
        <v>0</v>
      </c>
      <c r="Q134" s="654">
        <f>IF(SUM('Function Allocators'!$J222:$O222)=0,0,($F134*'Function Allocators'!N222/SUM('Function Allocators'!$J222:$O222)))</f>
        <v>0</v>
      </c>
      <c r="R134" s="654">
        <f>IF(SUM('Function Allocators'!$J222:$O222)=0,0,($F134*'Function Allocators'!O222/SUM('Function Allocators'!$J222:$O222)))</f>
        <v>-1343.4163755143716</v>
      </c>
      <c r="T134" s="360" t="s">
        <v>445</v>
      </c>
      <c r="U134" s="52">
        <f>C134-SUM(D134:F134)</f>
        <v>0</v>
      </c>
      <c r="V134" s="361">
        <f>'G-4 COST OF SERVICE'!G92-SUM('Functionalization RES'!G134:J134)</f>
        <v>0</v>
      </c>
      <c r="W134" s="361">
        <f>'G-4 COST OF SERVICE'!H92-SUM('Functionalization RES'!K134:L134)</f>
        <v>0</v>
      </c>
      <c r="X134" s="361">
        <f>'G-4 COST OF SERVICE'!I92-SUM('Functionalization RES'!M134:R134)</f>
        <v>0</v>
      </c>
    </row>
    <row r="135" spans="1:24" ht="11.25">
      <c r="A135" s="385"/>
      <c r="B135" s="387"/>
      <c r="C135" s="653"/>
      <c r="D135" s="653"/>
      <c r="E135" s="653"/>
      <c r="F135" s="653"/>
      <c r="G135" s="654"/>
      <c r="H135" s="653"/>
      <c r="I135" s="653"/>
      <c r="J135" s="653"/>
      <c r="K135" s="653"/>
      <c r="L135" s="653"/>
      <c r="M135" s="653"/>
      <c r="N135" s="653"/>
      <c r="O135" s="653"/>
      <c r="P135" s="653"/>
      <c r="Q135" s="653"/>
      <c r="R135" s="653"/>
      <c r="U135" s="360"/>
      <c r="V135" s="361"/>
      <c r="W135" s="361"/>
      <c r="X135" s="361"/>
    </row>
    <row r="136" spans="1:24" ht="11.25">
      <c r="A136" s="385"/>
      <c r="B136" s="377" t="s">
        <v>212</v>
      </c>
      <c r="C136" s="653"/>
      <c r="D136" s="653"/>
      <c r="E136" s="653"/>
      <c r="F136" s="653"/>
      <c r="G136" s="654"/>
      <c r="H136" s="653"/>
      <c r="I136" s="653"/>
      <c r="J136" s="653"/>
      <c r="K136" s="653"/>
      <c r="L136" s="653"/>
      <c r="M136" s="653"/>
      <c r="N136" s="653"/>
      <c r="O136" s="653"/>
      <c r="P136" s="653"/>
      <c r="Q136" s="653"/>
      <c r="R136" s="653"/>
      <c r="U136" s="360"/>
      <c r="V136" s="361"/>
      <c r="W136" s="361"/>
      <c r="X136" s="361"/>
    </row>
    <row r="137" spans="1:24">
      <c r="A137" s="385">
        <v>408</v>
      </c>
      <c r="B137" s="379" t="s">
        <v>213</v>
      </c>
      <c r="C137" s="653">
        <f>SUM(G137:R137)</f>
        <v>3974035.4261295921</v>
      </c>
      <c r="D137" s="653">
        <f>'G-4 COST OF SERVICE'!G95</f>
        <v>772224.45186618017</v>
      </c>
      <c r="E137" s="653">
        <f>'G-4 COST OF SERVICE'!H95</f>
        <v>0</v>
      </c>
      <c r="F137" s="653">
        <f>'G-4 COST OF SERVICE'!I95</f>
        <v>3201810.9742634115</v>
      </c>
      <c r="G137" s="654">
        <f>IF(SUM('Function Allocators'!$D226:$G226)=0,0,($D137*'Function Allocators'!D226/SUM('Function Allocators'!$D226:$G226)))</f>
        <v>0</v>
      </c>
      <c r="H137" s="654">
        <f>IF(SUM('Function Allocators'!$D226:$G226)=0,0,($D137*'Function Allocators'!E226/SUM('Function Allocators'!$D226:$G226)))</f>
        <v>708125.99887029175</v>
      </c>
      <c r="I137" s="654">
        <f>IF(SUM('Function Allocators'!$D226:$G226)=0,0,($D137*'Function Allocators'!F226/SUM('Function Allocators'!$D226:$G226)))</f>
        <v>50202.262918461136</v>
      </c>
      <c r="J137" s="654">
        <f>IF(SUM('Function Allocators'!$D226:$G226)=0,0,($D137*'Function Allocators'!G226/SUM('Function Allocators'!$D226:$G226)))</f>
        <v>13896.190077427305</v>
      </c>
      <c r="K137" s="654">
        <f>IF(SUM('Function Allocators'!$H226:$I226)=0,0,($E137*'Function Allocators'!H226/SUM('Function Allocators'!$H$226:$I$226)))</f>
        <v>0</v>
      </c>
      <c r="L137" s="654">
        <f>IF(SUM('Function Allocators'!$H226:$I226)=0,0,($E137*'Function Allocators'!I226/SUM('Function Allocators'!$H$226:$I$226)))</f>
        <v>0</v>
      </c>
      <c r="M137" s="654">
        <f>IF(SUM('Function Allocators'!$J226:$O226)=0,0,($F137*'Function Allocators'!J226/SUM('Function Allocators'!$J226:$O226)))</f>
        <v>2595495.3193581891</v>
      </c>
      <c r="N137" s="654">
        <f>IF(SUM('Function Allocators'!$J226:$O226)=0,0,($F137*'Function Allocators'!K226/SUM('Function Allocators'!$J226:$O226)))</f>
        <v>499736.30962021649</v>
      </c>
      <c r="O137" s="654">
        <f>IF(SUM('Function Allocators'!$J226:$O226)=0,0,($F137*'Function Allocators'!L226/SUM('Function Allocators'!$J226:$O226)))</f>
        <v>106579.34528500626</v>
      </c>
      <c r="P137" s="654">
        <f>IF(SUM('Function Allocators'!$J226:$O226)=0,0,($F137*'Function Allocators'!M226/SUM('Function Allocators'!$J226:$O226)))</f>
        <v>0</v>
      </c>
      <c r="Q137" s="654">
        <f>IF(SUM('Function Allocators'!$J226:$O226)=0,0,($F137*'Function Allocators'!N226/SUM('Function Allocators'!$J226:$O226)))</f>
        <v>0</v>
      </c>
      <c r="R137" s="654">
        <f>IF(SUM('Function Allocators'!$J226:$O226)=0,0,($F137*'Function Allocators'!O226/SUM('Function Allocators'!$J226:$O226)))</f>
        <v>0</v>
      </c>
      <c r="T137" s="360" t="s">
        <v>127</v>
      </c>
      <c r="U137" s="52">
        <f>C137-SUM(D137:F137)</f>
        <v>0</v>
      </c>
      <c r="V137" s="361">
        <f>'G-4 COST OF SERVICE'!G95-SUM('Functionalization RES'!G137:J137)</f>
        <v>0</v>
      </c>
      <c r="W137" s="361">
        <f>'G-4 COST OF SERVICE'!H95-SUM('Functionalization RES'!K137:L137)</f>
        <v>0</v>
      </c>
      <c r="X137" s="361">
        <f>'G-4 COST OF SERVICE'!I95-SUM('Functionalization RES'!M137:R137)</f>
        <v>0</v>
      </c>
    </row>
    <row r="138" spans="1:24">
      <c r="A138" s="385">
        <v>408</v>
      </c>
      <c r="B138" s="381" t="s">
        <v>214</v>
      </c>
      <c r="C138" s="653">
        <f>SUM(G138:R138)</f>
        <v>704735.76110561599</v>
      </c>
      <c r="D138" s="653">
        <f>'G-4 COST OF SERVICE'!G96</f>
        <v>136942.45986133613</v>
      </c>
      <c r="E138" s="653">
        <f>'G-4 COST OF SERVICE'!H96</f>
        <v>0</v>
      </c>
      <c r="F138" s="653">
        <f>'G-4 COST OF SERVICE'!I96</f>
        <v>567793.3012442796</v>
      </c>
      <c r="G138" s="654">
        <f>IF(SUM('Function Allocators'!$D227:$G227)=0,0,($D138*'Function Allocators'!D227/SUM('Function Allocators'!$D227:$G227)))</f>
        <v>0</v>
      </c>
      <c r="H138" s="654">
        <f>IF(SUM('Function Allocators'!$D227:$G227)=0,0,($D138*'Function Allocators'!E227/SUM('Function Allocators'!$D227:$G227)))</f>
        <v>125575.5576538879</v>
      </c>
      <c r="I138" s="654">
        <f>IF(SUM('Function Allocators'!$D227:$G227)=0,0,($D138*'Function Allocators'!F227/SUM('Function Allocators'!$D227:$G227)))</f>
        <v>8902.6206798369476</v>
      </c>
      <c r="J138" s="654">
        <f>IF(SUM('Function Allocators'!$D227:$G227)=0,0,($D138*'Function Allocators'!G227/SUM('Function Allocators'!$D227:$G227)))</f>
        <v>2464.281527611296</v>
      </c>
      <c r="K138" s="654">
        <f>IF(SUM('Function Allocators'!$H227:$I227)=0,0,($E138*'Function Allocators'!H227/SUM('Function Allocators'!$H$226:$I$226)))</f>
        <v>0</v>
      </c>
      <c r="L138" s="654">
        <f>IF(SUM('Function Allocators'!$H227:$I227)=0,0,($E138*'Function Allocators'!I227/SUM('Function Allocators'!$H$226:$I$226)))</f>
        <v>0</v>
      </c>
      <c r="M138" s="654">
        <f>IF(SUM('Function Allocators'!$J227:$O227)=0,0,($F138*'Function Allocators'!J227/SUM('Function Allocators'!$J227:$O227)))</f>
        <v>460272.28577461332</v>
      </c>
      <c r="N138" s="654">
        <f>IF(SUM('Function Allocators'!$J227:$O227)=0,0,($F138*'Function Allocators'!K227/SUM('Function Allocators'!$J227:$O227)))</f>
        <v>88620.762209790715</v>
      </c>
      <c r="O138" s="654">
        <f>IF(SUM('Function Allocators'!$J227:$O227)=0,0,($F138*'Function Allocators'!L227/SUM('Function Allocators'!$J227:$O227)))</f>
        <v>18900.253259875644</v>
      </c>
      <c r="P138" s="654">
        <f>IF(SUM('Function Allocators'!$J227:$O227)=0,0,($F138*'Function Allocators'!M227/SUM('Function Allocators'!$J227:$O227)))</f>
        <v>0</v>
      </c>
      <c r="Q138" s="654">
        <f>IF(SUM('Function Allocators'!$J227:$O227)=0,0,($F138*'Function Allocators'!N227/SUM('Function Allocators'!$J227:$O227)))</f>
        <v>0</v>
      </c>
      <c r="R138" s="654">
        <f>IF(SUM('Function Allocators'!$J227:$O227)=0,0,($F138*'Function Allocators'!O227/SUM('Function Allocators'!$J227:$O227)))</f>
        <v>0</v>
      </c>
      <c r="T138" s="360" t="s">
        <v>127</v>
      </c>
      <c r="U138" s="52">
        <f>C138-SUM(D138:F138)</f>
        <v>0</v>
      </c>
      <c r="V138" s="361">
        <f>'G-4 COST OF SERVICE'!G96-SUM('Functionalization RES'!G138:J138)</f>
        <v>0</v>
      </c>
      <c r="W138" s="361">
        <f>'G-4 COST OF SERVICE'!H96-SUM('Functionalization RES'!K138:L138)</f>
        <v>0</v>
      </c>
      <c r="X138" s="361">
        <f>'G-4 COST OF SERVICE'!I96-SUM('Functionalization RES'!M138:R138)</f>
        <v>0</v>
      </c>
    </row>
    <row r="139" spans="1:24">
      <c r="A139" s="385"/>
      <c r="B139" s="377" t="s">
        <v>215</v>
      </c>
      <c r="C139" s="655">
        <f t="shared" ref="C139:R139" si="23">SUM(C137:C138)</f>
        <v>4678771.1872352082</v>
      </c>
      <c r="D139" s="655">
        <f t="shared" si="23"/>
        <v>909166.91172751633</v>
      </c>
      <c r="E139" s="655">
        <f t="shared" si="23"/>
        <v>0</v>
      </c>
      <c r="F139" s="655">
        <f t="shared" si="23"/>
        <v>3769604.2755076913</v>
      </c>
      <c r="G139" s="656">
        <f t="shared" si="23"/>
        <v>0</v>
      </c>
      <c r="H139" s="655">
        <f t="shared" si="23"/>
        <v>833701.55652417964</v>
      </c>
      <c r="I139" s="655">
        <f t="shared" si="23"/>
        <v>59104.883598298082</v>
      </c>
      <c r="J139" s="655">
        <f t="shared" si="23"/>
        <v>16360.471605038601</v>
      </c>
      <c r="K139" s="655">
        <f t="shared" si="23"/>
        <v>0</v>
      </c>
      <c r="L139" s="655">
        <f t="shared" si="23"/>
        <v>0</v>
      </c>
      <c r="M139" s="655">
        <f t="shared" si="23"/>
        <v>3055767.6051328024</v>
      </c>
      <c r="N139" s="655">
        <f t="shared" si="23"/>
        <v>588357.07183000725</v>
      </c>
      <c r="O139" s="655">
        <f t="shared" si="23"/>
        <v>125479.59854488191</v>
      </c>
      <c r="P139" s="655">
        <f t="shared" si="23"/>
        <v>0</v>
      </c>
      <c r="Q139" s="655">
        <f t="shared" si="23"/>
        <v>0</v>
      </c>
      <c r="R139" s="655">
        <f t="shared" si="23"/>
        <v>0</v>
      </c>
      <c r="U139" s="52">
        <f>C139-SUM(D139:F139)</f>
        <v>0</v>
      </c>
      <c r="V139" s="361">
        <f>'G-4 COST OF SERVICE'!G97-SUM('Functionalization RES'!G139:J139)</f>
        <v>0</v>
      </c>
      <c r="W139" s="361">
        <f>'G-4 COST OF SERVICE'!H97-SUM('Functionalization RES'!K139:L139)</f>
        <v>0</v>
      </c>
      <c r="X139" s="361">
        <f>'G-4 COST OF SERVICE'!I97-SUM('Functionalization RES'!M139:R139)</f>
        <v>0</v>
      </c>
    </row>
    <row r="140" spans="1:24" ht="11.25">
      <c r="A140" s="385"/>
      <c r="B140" s="387"/>
      <c r="C140" s="653"/>
      <c r="D140" s="653"/>
      <c r="E140" s="653"/>
      <c r="F140" s="653"/>
      <c r="G140" s="654"/>
      <c r="H140" s="653"/>
      <c r="I140" s="653"/>
      <c r="J140" s="653"/>
      <c r="K140" s="653"/>
      <c r="L140" s="653"/>
      <c r="M140" s="653"/>
      <c r="N140" s="653"/>
      <c r="O140" s="653"/>
      <c r="P140" s="653"/>
      <c r="Q140" s="653"/>
      <c r="R140" s="653"/>
      <c r="U140" s="360"/>
      <c r="V140" s="361"/>
      <c r="W140" s="361"/>
      <c r="X140" s="361"/>
    </row>
    <row r="141" spans="1:24">
      <c r="A141" s="385" t="s">
        <v>473</v>
      </c>
      <c r="B141" s="387" t="s">
        <v>216</v>
      </c>
      <c r="C141" s="654">
        <f>SUM(G141:R141)</f>
        <v>1401176.1704864327</v>
      </c>
      <c r="D141" s="654">
        <f>'G-4 COST OF SERVICE'!G103</f>
        <v>272272.98808346217</v>
      </c>
      <c r="E141" s="654">
        <f>'G-4 COST OF SERVICE'!H103</f>
        <v>0</v>
      </c>
      <c r="F141" s="654">
        <f>'G-4 COST OF SERVICE'!I103</f>
        <v>1128903.1824029705</v>
      </c>
      <c r="G141" s="654">
        <f>IF(SUM('Function Allocators'!$D231:$G231)=0,0,($D141*'Function Allocators'!D231/SUM('Function Allocators'!$D231:$G231)))</f>
        <v>0</v>
      </c>
      <c r="H141" s="654">
        <f>IF(SUM('Function Allocators'!$D231:$G231)=0,0,($D141*'Function Allocators'!E231/SUM('Function Allocators'!$D231:$G231)))</f>
        <v>249672.98197572728</v>
      </c>
      <c r="I141" s="654">
        <f>IF(SUM('Function Allocators'!$D231:$G231)=0,0,($D141*'Function Allocators'!F231/SUM('Function Allocators'!$D231:$G231)))</f>
        <v>17700.449785459103</v>
      </c>
      <c r="J141" s="654">
        <f>IF(SUM('Function Allocators'!$D231:$G231)=0,0,($D141*'Function Allocators'!G231/SUM('Function Allocators'!$D231:$G231)))</f>
        <v>4899.5563222757783</v>
      </c>
      <c r="K141" s="654">
        <f>IF(SUM('Function Allocators'!$H231:$I231)=0,0,($E141*'Function Allocators'!H231/SUM('Function Allocators'!$H$231:$I$231)))</f>
        <v>0</v>
      </c>
      <c r="L141" s="654">
        <f>IF(SUM('Function Allocators'!$H231:$I231)=0,0,($E141*'Function Allocators'!I231/SUM('Function Allocators'!$H$231:$I$231)))</f>
        <v>0</v>
      </c>
      <c r="M141" s="654">
        <f>IF(SUM('Function Allocators'!$J231:$O231)=0,0,($F141*'Function Allocators'!J231/SUM('Function Allocators'!$J231:$O231)))</f>
        <v>915126.76716012124</v>
      </c>
      <c r="N141" s="654">
        <f>IF(SUM('Function Allocators'!$J231:$O231)=0,0,($F141*'Function Allocators'!K231/SUM('Function Allocators'!$J231:$O231)))</f>
        <v>176198.38111222797</v>
      </c>
      <c r="O141" s="654">
        <f>IF(SUM('Function Allocators'!$J231:$O231)=0,0,($F141*'Function Allocators'!L231/SUM('Function Allocators'!$J231:$O231)))</f>
        <v>37578.034130621389</v>
      </c>
      <c r="P141" s="654">
        <f>IF(SUM('Function Allocators'!$J231:$O231)=0,0,($F141*'Function Allocators'!M231/SUM('Function Allocators'!$J231:$O231)))</f>
        <v>0</v>
      </c>
      <c r="Q141" s="654">
        <f>IF(SUM('Function Allocators'!$J231:$O231)=0,0,($F141*'Function Allocators'!N231/SUM('Function Allocators'!$J231:$O231)))</f>
        <v>0</v>
      </c>
      <c r="R141" s="654">
        <f>IF(SUM('Function Allocators'!$J231:$O231)=0,0,($F141*'Function Allocators'!O231/SUM('Function Allocators'!$J231:$O231)))</f>
        <v>0</v>
      </c>
      <c r="T141" s="360" t="s">
        <v>127</v>
      </c>
      <c r="U141" s="52">
        <f>C141-SUM(D141:F141)</f>
        <v>0</v>
      </c>
      <c r="V141" s="361">
        <f>'G-4 COST OF SERVICE'!G103-SUM('Functionalization RES'!G141:J141)</f>
        <v>0</v>
      </c>
      <c r="W141" s="361">
        <f>'G-4 COST OF SERVICE'!H103-SUM('Functionalization RES'!K141:L141)</f>
        <v>0</v>
      </c>
      <c r="X141" s="361">
        <f>'G-4 COST OF SERVICE'!I103-SUM('Functionalization RES'!M141:R141)</f>
        <v>0</v>
      </c>
    </row>
    <row r="142" spans="1:24">
      <c r="C142" s="653"/>
      <c r="D142" s="653"/>
      <c r="E142" s="653"/>
      <c r="F142" s="653"/>
      <c r="G142" s="654"/>
      <c r="H142" s="653"/>
      <c r="I142" s="653"/>
      <c r="J142" s="653"/>
      <c r="K142" s="653"/>
      <c r="L142" s="653"/>
      <c r="M142" s="653"/>
      <c r="N142" s="653"/>
      <c r="O142" s="653"/>
      <c r="P142" s="653"/>
      <c r="Q142" s="653"/>
      <c r="R142" s="653"/>
      <c r="S142" s="467"/>
      <c r="T142" s="467"/>
      <c r="V142" s="361"/>
      <c r="W142" s="361"/>
      <c r="X142" s="361"/>
    </row>
    <row r="143" spans="1:24">
      <c r="A143" s="364" t="s">
        <v>474</v>
      </c>
      <c r="C143" s="653"/>
      <c r="D143" s="653"/>
      <c r="E143" s="653"/>
      <c r="F143" s="653"/>
      <c r="G143" s="654"/>
      <c r="H143" s="653"/>
      <c r="I143" s="653"/>
      <c r="J143" s="653"/>
      <c r="K143" s="653"/>
      <c r="L143" s="653"/>
      <c r="M143" s="653"/>
      <c r="N143" s="653"/>
      <c r="O143" s="653"/>
      <c r="P143" s="653"/>
      <c r="Q143" s="653"/>
      <c r="R143" s="653"/>
      <c r="S143" s="467"/>
      <c r="T143" s="467"/>
      <c r="V143" s="361"/>
      <c r="W143" s="361"/>
      <c r="X143" s="361"/>
    </row>
    <row r="144" spans="1:24">
      <c r="B144" s="360" t="s">
        <v>475</v>
      </c>
      <c r="C144" s="653">
        <f>SUM(G144:R144)</f>
        <v>43204112.920421787</v>
      </c>
      <c r="D144" s="653">
        <f>'G-4 COST OF SERVICE'!G105</f>
        <v>6224193.0818431675</v>
      </c>
      <c r="E144" s="653">
        <f>'G-4 COST OF SERVICE'!H105</f>
        <v>132112.30163736548</v>
      </c>
      <c r="F144" s="653">
        <f>'G-4 COST OF SERVICE'!I105</f>
        <v>36847807.506012589</v>
      </c>
      <c r="G144" s="654">
        <f t="shared" ref="G144:R144" si="24">+SUM(G77:G78,G96,G108,G110:G114,G129:G134,G139)</f>
        <v>0</v>
      </c>
      <c r="H144" s="653">
        <f t="shared" si="24"/>
        <v>5062094.3948511146</v>
      </c>
      <c r="I144" s="653">
        <f t="shared" si="24"/>
        <v>1035868.8801287683</v>
      </c>
      <c r="J144" s="653">
        <f t="shared" si="24"/>
        <v>126229.80686328563</v>
      </c>
      <c r="K144" s="653">
        <f t="shared" si="24"/>
        <v>132112.33256603091</v>
      </c>
      <c r="L144" s="653">
        <f t="shared" si="24"/>
        <v>0</v>
      </c>
      <c r="M144" s="653">
        <f t="shared" si="24"/>
        <v>19158977.036992837</v>
      </c>
      <c r="N144" s="653">
        <f t="shared" si="24"/>
        <v>10011027.780940924</v>
      </c>
      <c r="O144" s="653">
        <f t="shared" si="24"/>
        <v>1560544.3163206542</v>
      </c>
      <c r="P144" s="653">
        <f t="shared" si="24"/>
        <v>100410.38862623923</v>
      </c>
      <c r="Q144" s="653">
        <f t="shared" si="24"/>
        <v>5322587.2008239264</v>
      </c>
      <c r="R144" s="653">
        <f t="shared" si="24"/>
        <v>694260.78230800305</v>
      </c>
      <c r="S144" s="467"/>
      <c r="T144" s="467"/>
      <c r="U144" s="52">
        <f>C144-SUM(D144:F144)</f>
        <v>3.0928663909435272E-2</v>
      </c>
      <c r="V144" s="361">
        <f>'G-4 COST OF SERVICE'!G105-SUM('Functionalization RES'!G144:J144)</f>
        <v>0</v>
      </c>
      <c r="W144" s="361">
        <f>'G-4 COST OF SERVICE'!H105-SUM('Functionalization RES'!K144:L144)</f>
        <v>-3.0928665422834456E-2</v>
      </c>
      <c r="X144" s="361">
        <f>'G-4 COST OF SERVICE'!I105-SUM('Functionalization RES'!M144:R144)</f>
        <v>0</v>
      </c>
    </row>
    <row r="145" spans="2:24">
      <c r="B145" s="360" t="s">
        <v>476</v>
      </c>
      <c r="C145" s="653">
        <f>SUM(G145:R145)</f>
        <v>44605289.090908214</v>
      </c>
      <c r="D145" s="653">
        <f>'G-4 COST OF SERVICE'!G107</f>
        <v>6496466.0699266298</v>
      </c>
      <c r="E145" s="653">
        <f>'G-4 COST OF SERVICE'!H107</f>
        <v>132112.30163736548</v>
      </c>
      <c r="F145" s="653">
        <f>'G-4 COST OF SERVICE'!I107</f>
        <v>37976710.688415557</v>
      </c>
      <c r="G145" s="654">
        <f t="shared" ref="G145:R145" si="25">+G144+G141</f>
        <v>0</v>
      </c>
      <c r="H145" s="653">
        <f t="shared" si="25"/>
        <v>5311767.3768268423</v>
      </c>
      <c r="I145" s="653">
        <f t="shared" si="25"/>
        <v>1053569.3299142274</v>
      </c>
      <c r="J145" s="653">
        <f t="shared" si="25"/>
        <v>131129.36318556141</v>
      </c>
      <c r="K145" s="653">
        <f t="shared" si="25"/>
        <v>132112.33256603091</v>
      </c>
      <c r="L145" s="653">
        <f t="shared" si="25"/>
        <v>0</v>
      </c>
      <c r="M145" s="653">
        <f t="shared" si="25"/>
        <v>20074103.804152958</v>
      </c>
      <c r="N145" s="653">
        <f t="shared" si="25"/>
        <v>10187226.162053151</v>
      </c>
      <c r="O145" s="653">
        <f t="shared" si="25"/>
        <v>1598122.3504512757</v>
      </c>
      <c r="P145" s="653">
        <f t="shared" si="25"/>
        <v>100410.38862623923</v>
      </c>
      <c r="Q145" s="653">
        <f t="shared" si="25"/>
        <v>5322587.2008239264</v>
      </c>
      <c r="R145" s="653">
        <f t="shared" si="25"/>
        <v>694260.78230800305</v>
      </c>
      <c r="S145" s="467"/>
      <c r="T145" s="467"/>
      <c r="U145" s="52">
        <f>C145-SUM(D145:F145)</f>
        <v>3.0928663909435272E-2</v>
      </c>
      <c r="V145" s="361">
        <f>'G-4 COST OF SERVICE'!G107-SUM('Functionalization RES'!G145:J145)</f>
        <v>0</v>
      </c>
      <c r="W145" s="361">
        <f>'G-4 COST OF SERVICE'!H107-SUM('Functionalization RES'!K145:L145)</f>
        <v>-3.0928665422834456E-2</v>
      </c>
      <c r="X145" s="361">
        <f>'G-4 COST OF SERVICE'!I107-SUM('Functionalization RES'!M145:R145)</f>
        <v>0</v>
      </c>
    </row>
    <row r="146" spans="2:24">
      <c r="C146" s="653"/>
      <c r="D146" s="653"/>
      <c r="E146" s="653"/>
      <c r="F146" s="653"/>
      <c r="G146" s="654"/>
      <c r="H146" s="653"/>
      <c r="I146" s="653"/>
      <c r="J146" s="653"/>
      <c r="K146" s="653"/>
      <c r="L146" s="653"/>
      <c r="M146" s="653"/>
      <c r="N146" s="653"/>
      <c r="O146" s="653"/>
      <c r="P146" s="653"/>
      <c r="Q146" s="653"/>
      <c r="R146" s="653"/>
      <c r="S146" s="467"/>
      <c r="T146" s="467"/>
      <c r="U146" s="52"/>
      <c r="V146" s="361"/>
      <c r="W146" s="361"/>
      <c r="X146" s="361"/>
    </row>
    <row r="147" spans="2:24">
      <c r="B147" s="360" t="s">
        <v>48</v>
      </c>
      <c r="C147" s="653">
        <f>C144+'Functionalization SMALL'!C144+'Functionalization LARGE'!C144-'G-4 COST OF SERVICE'!F105</f>
        <v>5.9999972581863403E-2</v>
      </c>
      <c r="D147" s="653"/>
      <c r="E147" s="653"/>
      <c r="F147" s="653"/>
      <c r="G147" s="654"/>
      <c r="H147" s="653"/>
      <c r="I147" s="653"/>
      <c r="J147" s="653"/>
      <c r="K147" s="653"/>
      <c r="L147" s="653"/>
      <c r="M147" s="653"/>
      <c r="N147" s="653"/>
      <c r="O147" s="653"/>
      <c r="P147" s="653"/>
      <c r="Q147" s="653"/>
      <c r="R147" s="653"/>
      <c r="S147" s="467"/>
      <c r="T147" s="467"/>
      <c r="U147" s="52"/>
      <c r="V147" s="361"/>
      <c r="W147" s="361"/>
      <c r="X147" s="361"/>
    </row>
    <row r="148" spans="2:24">
      <c r="C148" s="653">
        <f>C145+'Functionalization SMALL'!C145+'Functionalization LARGE'!C145-'G-4 COST OF SERVICE'!F107</f>
        <v>5.9999965131282806E-2</v>
      </c>
      <c r="D148" s="653"/>
      <c r="E148" s="653"/>
      <c r="F148" s="653"/>
      <c r="G148" s="654"/>
      <c r="H148" s="653"/>
      <c r="I148" s="653"/>
      <c r="J148" s="653"/>
      <c r="K148" s="653"/>
      <c r="L148" s="653"/>
      <c r="M148" s="653"/>
      <c r="N148" s="653"/>
      <c r="O148" s="653"/>
      <c r="P148" s="653"/>
      <c r="Q148" s="653"/>
      <c r="R148" s="653"/>
      <c r="S148" s="467"/>
      <c r="T148" s="467"/>
      <c r="V148" s="361"/>
      <c r="W148" s="361"/>
      <c r="X148" s="361"/>
    </row>
    <row r="149" spans="2:24">
      <c r="B149" s="652" t="s">
        <v>477</v>
      </c>
      <c r="C149" s="651">
        <f>'Schedule G-2 Proposed Rates'!D20</f>
        <v>7.6265300000000008E-2</v>
      </c>
      <c r="D149" s="651">
        <f t="shared" ref="D149:R149" si="26">C149</f>
        <v>7.6265300000000008E-2</v>
      </c>
      <c r="E149" s="651">
        <f t="shared" si="26"/>
        <v>7.6265300000000008E-2</v>
      </c>
      <c r="F149" s="651">
        <f t="shared" si="26"/>
        <v>7.6265300000000008E-2</v>
      </c>
      <c r="G149" s="651">
        <f t="shared" si="26"/>
        <v>7.6265300000000008E-2</v>
      </c>
      <c r="H149" s="651">
        <f t="shared" si="26"/>
        <v>7.6265300000000008E-2</v>
      </c>
      <c r="I149" s="651">
        <f t="shared" si="26"/>
        <v>7.6265300000000008E-2</v>
      </c>
      <c r="J149" s="651">
        <f t="shared" si="26"/>
        <v>7.6265300000000008E-2</v>
      </c>
      <c r="K149" s="651">
        <f t="shared" si="26"/>
        <v>7.6265300000000008E-2</v>
      </c>
      <c r="L149" s="651">
        <f t="shared" si="26"/>
        <v>7.6265300000000008E-2</v>
      </c>
      <c r="M149" s="651">
        <f t="shared" si="26"/>
        <v>7.6265300000000008E-2</v>
      </c>
      <c r="N149" s="651">
        <f t="shared" si="26"/>
        <v>7.6265300000000008E-2</v>
      </c>
      <c r="O149" s="651">
        <f t="shared" si="26"/>
        <v>7.6265300000000008E-2</v>
      </c>
      <c r="P149" s="651">
        <f t="shared" si="26"/>
        <v>7.6265300000000008E-2</v>
      </c>
      <c r="Q149" s="651">
        <f t="shared" si="26"/>
        <v>7.6265300000000008E-2</v>
      </c>
      <c r="R149" s="651">
        <f t="shared" si="26"/>
        <v>7.6265300000000008E-2</v>
      </c>
      <c r="S149" s="651"/>
    </row>
    <row r="150" spans="2:24">
      <c r="B150" s="650" t="s">
        <v>478</v>
      </c>
      <c r="C150" s="468">
        <f>C73</f>
        <v>233052557.00383681</v>
      </c>
      <c r="D150" s="468">
        <f>D73</f>
        <v>43177730.584235393</v>
      </c>
      <c r="E150" s="468">
        <f>E73</f>
        <v>1750.3535433472123</v>
      </c>
      <c r="F150" s="468">
        <f>F73</f>
        <v>189873076.62305117</v>
      </c>
      <c r="G150" s="468">
        <f t="shared" ref="G150:R150" si="27">G149*G73</f>
        <v>0</v>
      </c>
      <c r="H150" s="468">
        <f t="shared" si="27"/>
        <v>3010688.2080607344</v>
      </c>
      <c r="I150" s="468">
        <f t="shared" si="27"/>
        <v>232218.31019572902</v>
      </c>
      <c r="J150" s="468">
        <f t="shared" si="27"/>
        <v>50056.03459183524</v>
      </c>
      <c r="K150" s="468">
        <f t="shared" si="27"/>
        <v>133.49123808943816</v>
      </c>
      <c r="L150" s="468">
        <f t="shared" si="27"/>
        <v>0</v>
      </c>
      <c r="M150" s="468">
        <f t="shared" si="27"/>
        <v>11212560.145052552</v>
      </c>
      <c r="N150" s="468">
        <f t="shared" si="27"/>
        <v>2928718.8006522809</v>
      </c>
      <c r="O150" s="468">
        <f t="shared" si="27"/>
        <v>339448.18587349582</v>
      </c>
      <c r="P150" s="468">
        <f t="shared" si="27"/>
        <v>0</v>
      </c>
      <c r="Q150" s="468">
        <f t="shared" si="27"/>
        <v>0</v>
      </c>
      <c r="R150" s="468">
        <f t="shared" si="27"/>
        <v>0</v>
      </c>
    </row>
    <row r="151" spans="2:24">
      <c r="B151" s="650" t="s">
        <v>479</v>
      </c>
      <c r="C151" s="456">
        <f>'Schedule G-2 Proposed Rates'!E39-'Schedule G-1 Present Rates'!E39</f>
        <v>658081.82951356727</v>
      </c>
      <c r="D151" s="649">
        <f>SUM(G151:K151)</f>
        <v>121927.99759724255</v>
      </c>
      <c r="E151" s="649">
        <f>+SUM(L151:M151)</f>
        <v>415148.84112776909</v>
      </c>
      <c r="F151" s="649">
        <f>+SUM(N151:Q151)</f>
        <v>121004.9907885556</v>
      </c>
      <c r="G151" s="468">
        <f t="shared" ref="G151:R151" si="28">+G73/$C$73*$C$151</f>
        <v>0</v>
      </c>
      <c r="H151" s="468">
        <f t="shared" si="28"/>
        <v>111471.75171452298</v>
      </c>
      <c r="I151" s="468">
        <f t="shared" si="28"/>
        <v>8597.9616714871026</v>
      </c>
      <c r="J151" s="468">
        <f t="shared" si="28"/>
        <v>1853.3416528803402</v>
      </c>
      <c r="K151" s="468">
        <f t="shared" si="28"/>
        <v>4.9425583521167926</v>
      </c>
      <c r="L151" s="468">
        <f t="shared" si="28"/>
        <v>0</v>
      </c>
      <c r="M151" s="468">
        <f t="shared" si="28"/>
        <v>415148.84112776909</v>
      </c>
      <c r="N151" s="468">
        <f t="shared" si="28"/>
        <v>108436.80661248358</v>
      </c>
      <c r="O151" s="468">
        <f t="shared" si="28"/>
        <v>12568.184176072027</v>
      </c>
      <c r="P151" s="468">
        <f t="shared" si="28"/>
        <v>0</v>
      </c>
      <c r="Q151" s="468">
        <f t="shared" si="28"/>
        <v>0</v>
      </c>
      <c r="R151" s="468">
        <f t="shared" si="28"/>
        <v>0</v>
      </c>
      <c r="S151" s="468"/>
    </row>
    <row r="152" spans="2:24">
      <c r="B152" s="648" t="s">
        <v>480</v>
      </c>
      <c r="C152" s="646">
        <f>SUM(D152:F152)</f>
        <v>63037194.096086502</v>
      </c>
      <c r="D152" s="647">
        <f>SUM(G152:J152)</f>
        <v>9911351.6778138205</v>
      </c>
      <c r="E152" s="647">
        <f>+SUM(K152:L152)</f>
        <v>132250.76636247244</v>
      </c>
      <c r="F152" s="647">
        <f>+SUM(M152:R152)</f>
        <v>52993591.651910208</v>
      </c>
      <c r="G152" s="646">
        <f t="shared" ref="G152:R152" si="29">+G145+G150+G151</f>
        <v>0</v>
      </c>
      <c r="H152" s="646">
        <f t="shared" si="29"/>
        <v>8433927.3366021011</v>
      </c>
      <c r="I152" s="646">
        <f t="shared" si="29"/>
        <v>1294385.6017814435</v>
      </c>
      <c r="J152" s="646">
        <f t="shared" si="29"/>
        <v>183038.739430277</v>
      </c>
      <c r="K152" s="646">
        <f t="shared" si="29"/>
        <v>132250.76636247244</v>
      </c>
      <c r="L152" s="646">
        <f t="shared" si="29"/>
        <v>0</v>
      </c>
      <c r="M152" s="646">
        <f t="shared" si="29"/>
        <v>31701812.790333278</v>
      </c>
      <c r="N152" s="646">
        <f t="shared" si="29"/>
        <v>13224381.769317916</v>
      </c>
      <c r="O152" s="646">
        <f t="shared" si="29"/>
        <v>1950138.7205008436</v>
      </c>
      <c r="P152" s="646">
        <f t="shared" si="29"/>
        <v>100410.38862623923</v>
      </c>
      <c r="Q152" s="646">
        <f t="shared" si="29"/>
        <v>5322587.2008239264</v>
      </c>
      <c r="R152" s="646">
        <f t="shared" si="29"/>
        <v>694260.78230800305</v>
      </c>
      <c r="U152" s="52">
        <f>C152-SUM(D152:F152)</f>
        <v>0</v>
      </c>
      <c r="V152" s="361">
        <f>D152-SUM(G152:J152)</f>
        <v>0</v>
      </c>
      <c r="W152" s="361">
        <f>E152-SUM(K152:L152)</f>
        <v>0</v>
      </c>
      <c r="X152" s="361">
        <f>F152-SUM(M152:R152)</f>
        <v>0</v>
      </c>
    </row>
  </sheetData>
  <mergeCells count="9">
    <mergeCell ref="B34:C34"/>
    <mergeCell ref="G5:J5"/>
    <mergeCell ref="K5:L5"/>
    <mergeCell ref="M5:R5"/>
    <mergeCell ref="A1:S1"/>
    <mergeCell ref="A2:S2"/>
    <mergeCell ref="A3:S3"/>
    <mergeCell ref="H6:J6"/>
    <mergeCell ref="K6:L6"/>
  </mergeCells>
  <printOptions horizontalCentered="1"/>
  <pageMargins left="0.25" right="0.2" top="0.79" bottom="0.75" header="0.8" footer="0.8"/>
  <pageSetup scale="47" pageOrder="overThenDown" orientation="landscape" horizontalDpi="200" verticalDpi="200" r:id="rId1"/>
  <headerFooter>
    <oddHeader>&amp;R&amp;"Arial,Bold"PAGE &amp;P OF &amp;N</oddHead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72FDA-1E85-4051-BA7B-21B06B95823F}">
  <sheetPr codeName="Sheet45">
    <tabColor theme="8" tint="0.59999389629810485"/>
  </sheetPr>
  <dimension ref="A1:Z154"/>
  <sheetViews>
    <sheetView topLeftCell="A143" zoomScale="130" zoomScaleNormal="130" workbookViewId="0">
      <selection sqref="A1:S3"/>
    </sheetView>
  </sheetViews>
  <sheetFormatPr defaultColWidth="9.140625" defaultRowHeight="15"/>
  <cols>
    <col min="1" max="1" width="7" style="360" bestFit="1" customWidth="1"/>
    <col min="2" max="2" width="44.7109375" style="360" bestFit="1" customWidth="1"/>
    <col min="3" max="3" width="12.28515625" style="454" bestFit="1" customWidth="1"/>
    <col min="4" max="6" width="10.140625" style="454" customWidth="1"/>
    <col min="7" max="7" width="13.28515625" style="360" bestFit="1" customWidth="1"/>
    <col min="8" max="8" width="11.42578125" style="360" bestFit="1" customWidth="1"/>
    <col min="9" max="9" width="10.42578125" style="360" bestFit="1" customWidth="1"/>
    <col min="10" max="10" width="9.42578125" style="360" bestFit="1" customWidth="1"/>
    <col min="11" max="11" width="9" style="360" bestFit="1" customWidth="1"/>
    <col min="12" max="12" width="8.140625" style="360" bestFit="1" customWidth="1"/>
    <col min="13" max="13" width="11.42578125" style="360" bestFit="1" customWidth="1"/>
    <col min="14" max="14" width="9.28515625" style="360" bestFit="1" customWidth="1"/>
    <col min="15" max="15" width="11.28515625" style="360" bestFit="1" customWidth="1"/>
    <col min="16" max="18" width="8.7109375" style="360" bestFit="1" customWidth="1"/>
    <col min="19" max="19" width="1.5703125" style="360" customWidth="1"/>
    <col min="20" max="20" width="16" style="360" customWidth="1"/>
    <col min="21" max="21" width="8.7109375" customWidth="1"/>
    <col min="22" max="22" width="12.85546875" style="360" customWidth="1"/>
    <col min="23" max="23" width="14" style="360" bestFit="1" customWidth="1"/>
    <col min="24" max="24" width="12.85546875" style="360" bestFit="1" customWidth="1"/>
    <col min="25" max="16384" width="9.140625" style="360"/>
  </cols>
  <sheetData>
    <row r="1" spans="1:26">
      <c r="A1" s="791" t="s">
        <v>421</v>
      </c>
      <c r="B1" s="791"/>
      <c r="C1" s="791"/>
      <c r="D1" s="791"/>
      <c r="E1" s="791"/>
      <c r="F1" s="791"/>
      <c r="G1" s="791"/>
      <c r="H1" s="791"/>
      <c r="I1" s="791"/>
      <c r="J1" s="791"/>
      <c r="K1" s="791"/>
      <c r="L1" s="791"/>
      <c r="M1" s="791"/>
      <c r="N1" s="791"/>
      <c r="O1" s="791"/>
      <c r="P1" s="791"/>
      <c r="Q1" s="791"/>
      <c r="R1" s="791"/>
      <c r="S1" s="791"/>
      <c r="T1" s="666"/>
    </row>
    <row r="2" spans="1:26">
      <c r="A2" s="791" t="s">
        <v>481</v>
      </c>
      <c r="B2" s="791"/>
      <c r="C2" s="791"/>
      <c r="D2" s="791"/>
      <c r="E2" s="791"/>
      <c r="F2" s="791"/>
      <c r="G2" s="791"/>
      <c r="H2" s="791"/>
      <c r="I2" s="791"/>
      <c r="J2" s="791"/>
      <c r="K2" s="791"/>
      <c r="L2" s="791"/>
      <c r="M2" s="791"/>
      <c r="N2" s="791"/>
      <c r="O2" s="791"/>
      <c r="P2" s="791"/>
      <c r="Q2" s="791"/>
      <c r="R2" s="791"/>
      <c r="S2" s="791"/>
      <c r="T2" s="666"/>
    </row>
    <row r="3" spans="1:26">
      <c r="A3" s="791" t="s">
        <v>423</v>
      </c>
      <c r="B3" s="791"/>
      <c r="C3" s="791"/>
      <c r="D3" s="791"/>
      <c r="E3" s="791"/>
      <c r="F3" s="791"/>
      <c r="G3" s="791"/>
      <c r="H3" s="791"/>
      <c r="I3" s="791"/>
      <c r="J3" s="791"/>
      <c r="K3" s="791"/>
      <c r="L3" s="791"/>
      <c r="M3" s="791"/>
      <c r="N3" s="791"/>
      <c r="O3" s="791"/>
      <c r="P3" s="791"/>
      <c r="Q3" s="791"/>
      <c r="R3" s="791"/>
      <c r="S3" s="791"/>
      <c r="T3" s="666"/>
    </row>
    <row r="4" spans="1:26" ht="15.75" thickBot="1"/>
    <row r="5" spans="1:26" ht="15" customHeight="1">
      <c r="A5" s="519"/>
      <c r="B5" s="519"/>
      <c r="C5" s="533"/>
      <c r="D5" s="518"/>
      <c r="E5" s="518"/>
      <c r="F5" s="518"/>
      <c r="G5" s="774" t="s">
        <v>225</v>
      </c>
      <c r="H5" s="775"/>
      <c r="I5" s="775"/>
      <c r="J5" s="776"/>
      <c r="K5" s="781" t="s">
        <v>68</v>
      </c>
      <c r="L5" s="782"/>
      <c r="M5" s="774" t="s">
        <v>69</v>
      </c>
      <c r="N5" s="775"/>
      <c r="O5" s="775"/>
      <c r="P5" s="775"/>
      <c r="Q5" s="775"/>
      <c r="R5" s="776"/>
      <c r="U5" s="360"/>
    </row>
    <row r="6" spans="1:26" s="364" customFormat="1" ht="11.25">
      <c r="A6" s="365" t="s">
        <v>60</v>
      </c>
      <c r="C6" s="532" t="s">
        <v>61</v>
      </c>
      <c r="D6" s="513"/>
      <c r="E6" s="513"/>
      <c r="F6" s="513"/>
      <c r="G6" s="511" t="s">
        <v>227</v>
      </c>
      <c r="H6" s="792" t="s">
        <v>228</v>
      </c>
      <c r="I6" s="792"/>
      <c r="J6" s="780"/>
      <c r="K6" s="779"/>
      <c r="L6" s="780"/>
      <c r="M6" s="511"/>
      <c r="N6" s="499"/>
      <c r="O6" s="499"/>
      <c r="P6" s="499" t="s">
        <v>229</v>
      </c>
      <c r="Q6" s="499"/>
      <c r="R6" s="510"/>
    </row>
    <row r="7" spans="1:26" s="364" customFormat="1" ht="12" thickBot="1">
      <c r="A7" s="508" t="s">
        <v>231</v>
      </c>
      <c r="B7" s="507"/>
      <c r="C7" s="531" t="s">
        <v>482</v>
      </c>
      <c r="D7" s="506" t="s">
        <v>455</v>
      </c>
      <c r="E7" s="506" t="s">
        <v>456</v>
      </c>
      <c r="F7" s="506" t="s">
        <v>457</v>
      </c>
      <c r="G7" s="503"/>
      <c r="H7" s="502" t="s">
        <v>232</v>
      </c>
      <c r="I7" s="502" t="s">
        <v>233</v>
      </c>
      <c r="J7" s="501" t="s">
        <v>234</v>
      </c>
      <c r="K7" s="503" t="s">
        <v>235</v>
      </c>
      <c r="L7" s="501" t="s">
        <v>234</v>
      </c>
      <c r="M7" s="503" t="s">
        <v>236</v>
      </c>
      <c r="N7" s="502" t="s">
        <v>237</v>
      </c>
      <c r="O7" s="502" t="s">
        <v>238</v>
      </c>
      <c r="P7" s="502" t="s">
        <v>239</v>
      </c>
      <c r="Q7" s="502" t="s">
        <v>240</v>
      </c>
      <c r="R7" s="501" t="s">
        <v>424</v>
      </c>
      <c r="V7" s="364" t="s">
        <v>458</v>
      </c>
      <c r="W7" s="364" t="s">
        <v>459</v>
      </c>
      <c r="X7" s="364" t="s">
        <v>460</v>
      </c>
    </row>
    <row r="8" spans="1:26" s="643" customFormat="1" ht="30.75" customHeight="1">
      <c r="A8" s="665" t="s">
        <v>461</v>
      </c>
      <c r="B8" s="665"/>
      <c r="C8" s="645"/>
      <c r="D8" s="645"/>
      <c r="E8" s="645"/>
      <c r="F8" s="645"/>
      <c r="G8" s="644"/>
      <c r="H8" s="644"/>
      <c r="I8" s="644"/>
      <c r="J8" s="644"/>
      <c r="K8" s="644"/>
      <c r="L8" s="644"/>
      <c r="M8" s="644"/>
      <c r="N8" s="644"/>
      <c r="O8" s="644"/>
      <c r="P8" s="644"/>
      <c r="Q8" s="644"/>
      <c r="R8" s="644"/>
    </row>
    <row r="9" spans="1:26">
      <c r="A9" s="400"/>
      <c r="B9" s="416" t="s">
        <v>73</v>
      </c>
      <c r="C9" s="457"/>
      <c r="D9" s="457"/>
      <c r="E9" s="457"/>
      <c r="F9" s="457"/>
      <c r="G9" s="498"/>
      <c r="H9" s="464"/>
      <c r="I9" s="464"/>
      <c r="J9" s="464"/>
      <c r="K9" s="464"/>
      <c r="L9" s="464"/>
      <c r="M9" s="464"/>
      <c r="N9" s="464"/>
      <c r="O9" s="497"/>
      <c r="P9" s="464"/>
      <c r="Q9" s="464"/>
      <c r="R9" s="464"/>
    </row>
    <row r="10" spans="1:26">
      <c r="A10" s="390" t="s">
        <v>74</v>
      </c>
      <c r="B10" s="379" t="s">
        <v>205</v>
      </c>
      <c r="C10" s="654">
        <f>SUM(G10:R10)</f>
        <v>238773.57469103415</v>
      </c>
      <c r="D10" s="654">
        <f>'G-3 COST OF SERVICE'!J4</f>
        <v>120003.02548488148</v>
      </c>
      <c r="E10" s="654">
        <f>'G-3 COST OF SERVICE'!K4</f>
        <v>0</v>
      </c>
      <c r="F10" s="654">
        <f>'G-3 COST OF SERVICE'!L4</f>
        <v>118770.54920615267</v>
      </c>
      <c r="G10" s="654">
        <f>IF(SUM('Function Allocators'!$D11:$G11)=0,0,($D10*'Function Allocators'!D11/SUM('Function Allocators'!$D$11:$G$11)))</f>
        <v>0</v>
      </c>
      <c r="H10" s="654">
        <f>IF(SUM('Function Allocators'!$D11:$G11)=0,0,($D10*'Function Allocators'!E11/SUM('Function Allocators'!$D$11:$G$11)))</f>
        <v>110042.18020237541</v>
      </c>
      <c r="I10" s="654">
        <f>IF(SUM('Function Allocators'!$D11:$G11)=0,0,($D10*'Function Allocators'!F11/SUM('Function Allocators'!$D$11:$G$11)))</f>
        <v>7801.3891192437814</v>
      </c>
      <c r="J10" s="654">
        <f>IF(SUM('Function Allocators'!$D11:$G11)=0,0,($D10*'Function Allocators'!G11/SUM('Function Allocators'!$D$11:$G$11)))</f>
        <v>2159.4561632622895</v>
      </c>
      <c r="K10" s="654">
        <f>IF(SUM('Function Allocators'!$H11:$I11)=0,0,($E10*'Function Allocators'!H11/SUM('Function Allocators'!$H11:$I11)))</f>
        <v>0</v>
      </c>
      <c r="L10" s="654">
        <f>IF(SUM('Function Allocators'!$H11:$I11)=0,0,($E10*'Function Allocators'!I11/SUM('Function Allocators'!$H11:$I11)))</f>
        <v>0</v>
      </c>
      <c r="M10" s="654">
        <f>IF(SUM('Function Allocators'!$J11:$O11)=0,0,($F10*'Function Allocators'!J11/SUM('Function Allocators'!$J11:$O11)))</f>
        <v>96279.389077017273</v>
      </c>
      <c r="N10" s="654">
        <f>IF(SUM('Function Allocators'!$J11:$O11)=0,0,($F10*'Function Allocators'!K11/SUM('Function Allocators'!$J11:$O11)))</f>
        <v>18537.620249585052</v>
      </c>
      <c r="O10" s="654">
        <f>IF(SUM('Function Allocators'!$J11:$O11)=0,0,($F10*'Function Allocators'!L11/SUM('Function Allocators'!$J11:$O11)))</f>
        <v>3953.5398795503552</v>
      </c>
      <c r="P10" s="654">
        <f>IF(SUM('Function Allocators'!$J11:$O11)=0,0,($F10*'Function Allocators'!M11/SUM('Function Allocators'!$J11:$O11)))</f>
        <v>0</v>
      </c>
      <c r="Q10" s="654">
        <f>IF(SUM('Function Allocators'!$J11:$O11)=0,0,($F10*'Function Allocators'!N11/SUM('Function Allocators'!$J11:$O11)))</f>
        <v>0</v>
      </c>
      <c r="R10" s="654">
        <f>IF(SUM('Function Allocators'!$J11:$O11)=0,0,($F10*'Function Allocators'!O11/SUM('Function Allocators'!$J11:$O11)))</f>
        <v>0</v>
      </c>
      <c r="T10" s="456" t="s">
        <v>426</v>
      </c>
      <c r="U10" s="52">
        <f>C10-SUM(D10:F10)</f>
        <v>0</v>
      </c>
      <c r="V10" s="361">
        <f>'G-3 COST OF SERVICE'!J4-SUM('Functionalization SMALL'!G10:J10)</f>
        <v>0</v>
      </c>
      <c r="W10" s="361">
        <f>'G-3 COST OF SERVICE'!K4-SUM('Functionalization SMALL'!K10:L10)</f>
        <v>0</v>
      </c>
      <c r="X10" s="361">
        <f>'G-3 COST OF SERVICE'!L4-SUM('Functionalization SMALL'!M10:R10)</f>
        <v>0</v>
      </c>
      <c r="Y10" s="361"/>
      <c r="Z10" s="361"/>
    </row>
    <row r="11" spans="1:26">
      <c r="A11" s="390" t="s">
        <v>77</v>
      </c>
      <c r="B11" s="379" t="s">
        <v>78</v>
      </c>
      <c r="C11" s="654">
        <f>SUM(G11:R11)</f>
        <v>4427206.5937874382</v>
      </c>
      <c r="D11" s="654">
        <f>'G-3 COST OF SERVICE'!J6</f>
        <v>4427206.5937874382</v>
      </c>
      <c r="E11" s="654">
        <f>'G-3 COST OF SERVICE'!K6</f>
        <v>0</v>
      </c>
      <c r="F11" s="654">
        <f>'G-3 COST OF SERVICE'!L6</f>
        <v>0</v>
      </c>
      <c r="G11" s="654">
        <f>IF(SUM('Function Allocators'!$D16:$G16)=0,0,($D11*'Function Allocators'!D16/SUM('Function Allocators'!$D$16:$G$16)))</f>
        <v>0</v>
      </c>
      <c r="H11" s="654">
        <f>IF(SUM('Function Allocators'!$D16:$G16)=0,0,($D11*'Function Allocators'!E16/SUM('Function Allocators'!$D$16:$G$16)))</f>
        <v>4427206.5937874382</v>
      </c>
      <c r="I11" s="654">
        <f>IF(SUM('Function Allocators'!$D16:$G16)=0,0,($D11*'Function Allocators'!F16/SUM('Function Allocators'!$D$16:$G$16)))</f>
        <v>0</v>
      </c>
      <c r="J11" s="654">
        <f>IF(SUM('Function Allocators'!$D16:$G16)=0,0,($D11*'Function Allocators'!G16/SUM('Function Allocators'!$D$16:$G$16)))</f>
        <v>0</v>
      </c>
      <c r="K11" s="654">
        <f>IF(SUM('Function Allocators'!$H16:$I16)=0,0,($E11*'Function Allocators'!H16/SUM('Function Allocators'!$H16:$I16)))</f>
        <v>0</v>
      </c>
      <c r="L11" s="654">
        <f>IF(SUM('Function Allocators'!$H16:$I16)=0,0,($E11*'Function Allocators'!I16/SUM('Function Allocators'!$H16:$I16)))</f>
        <v>0</v>
      </c>
      <c r="M11" s="654">
        <f>IF(SUM('Function Allocators'!$J16:$O16)=0,0,($F11*'Function Allocators'!J16/SUM('Function Allocators'!$J16:$O16)))</f>
        <v>0</v>
      </c>
      <c r="N11" s="654">
        <f>IF(SUM('Function Allocators'!$J16:$O16)=0,0,($F11*'Function Allocators'!K16/SUM('Function Allocators'!$J16:$O16)))</f>
        <v>0</v>
      </c>
      <c r="O11" s="654">
        <f>IF(SUM('Function Allocators'!$J16:$O16)=0,0,($F11*'Function Allocators'!L16/SUM('Function Allocators'!$J16:$O16)))</f>
        <v>0</v>
      </c>
      <c r="P11" s="654">
        <f>IF(SUM('Function Allocators'!$J16:$O16)=0,0,($F11*'Function Allocators'!M16/SUM('Function Allocators'!$J16:$O16)))</f>
        <v>0</v>
      </c>
      <c r="Q11" s="654">
        <f>IF(SUM('Function Allocators'!$J16:$O16)=0,0,($F11*'Function Allocators'!N16/SUM('Function Allocators'!$J16:$O16)))</f>
        <v>0</v>
      </c>
      <c r="R11" s="654">
        <f>IF(SUM('Function Allocators'!$J16:$O16)=0,0,($F11*'Function Allocators'!O16/SUM('Function Allocators'!$J16:$O16)))</f>
        <v>0</v>
      </c>
      <c r="T11" s="456"/>
      <c r="V11" s="361">
        <f>'G-3 COST OF SERVICE'!J6-SUM('Functionalization SMALL'!G11:J11)</f>
        <v>0</v>
      </c>
      <c r="W11" s="361">
        <f>'G-3 COST OF SERVICE'!K6-SUM('Functionalization SMALL'!K11:L11)</f>
        <v>0</v>
      </c>
      <c r="X11" s="361">
        <f>'G-3 COST OF SERVICE'!L6-SUM('Functionalization SMALL'!M11:R11)</f>
        <v>0</v>
      </c>
    </row>
    <row r="12" spans="1:26">
      <c r="A12" s="374"/>
      <c r="B12" s="377"/>
      <c r="C12" s="653"/>
      <c r="D12" s="653"/>
      <c r="E12" s="653"/>
      <c r="F12" s="653"/>
      <c r="G12" s="654"/>
      <c r="H12" s="653"/>
      <c r="I12" s="653"/>
      <c r="J12" s="653"/>
      <c r="K12" s="653"/>
      <c r="L12" s="653"/>
      <c r="M12" s="653"/>
      <c r="N12" s="653"/>
      <c r="O12" s="653"/>
      <c r="P12" s="653"/>
      <c r="Q12" s="653"/>
      <c r="R12" s="653"/>
      <c r="T12" s="456"/>
      <c r="V12" s="361"/>
      <c r="W12" s="361"/>
      <c r="X12" s="361"/>
    </row>
    <row r="13" spans="1:26">
      <c r="A13" s="374"/>
      <c r="B13" s="377" t="s">
        <v>80</v>
      </c>
      <c r="C13" s="653"/>
      <c r="D13" s="653"/>
      <c r="E13" s="653"/>
      <c r="F13" s="653"/>
      <c r="G13" s="654"/>
      <c r="H13" s="653"/>
      <c r="I13" s="653"/>
      <c r="J13" s="653"/>
      <c r="K13" s="653"/>
      <c r="L13" s="653"/>
      <c r="M13" s="653"/>
      <c r="N13" s="653"/>
      <c r="O13" s="653"/>
      <c r="P13" s="653"/>
      <c r="Q13" s="653"/>
      <c r="R13" s="653"/>
      <c r="T13" s="456"/>
      <c r="V13" s="361"/>
      <c r="W13" s="361"/>
      <c r="X13" s="361"/>
    </row>
    <row r="14" spans="1:26">
      <c r="A14" s="385">
        <v>374</v>
      </c>
      <c r="B14" s="379" t="s">
        <v>81</v>
      </c>
      <c r="C14" s="653">
        <f t="shared" ref="C14:C25" si="0">SUM(D14:F14)</f>
        <v>105670.30226051362</v>
      </c>
      <c r="D14" s="653">
        <f>'G-3 COST OF SERVICE'!J9</f>
        <v>105670.30226051362</v>
      </c>
      <c r="E14" s="653">
        <f>'G-3 COST OF SERVICE'!K9</f>
        <v>0</v>
      </c>
      <c r="F14" s="653">
        <f>'G-3 COST OF SERVICE'!L9</f>
        <v>0</v>
      </c>
      <c r="G14" s="654">
        <f>IF(SUM('Function Allocators'!$D24:$G24)=0,0,($D14*'Function Allocators'!D24/SUM('Function Allocators'!$D$24:$G$24)))</f>
        <v>0</v>
      </c>
      <c r="H14" s="654">
        <f>IF(SUM('Function Allocators'!$D24:$G24)=0,0,($D14*'Function Allocators'!E24/SUM('Function Allocators'!$D$24:$G$24)))</f>
        <v>0</v>
      </c>
      <c r="I14" s="654">
        <f>IF(SUM('Function Allocators'!$D24:$G24)=0,0,($D14*'Function Allocators'!F24/SUM('Function Allocators'!$D$24:$G$24)))</f>
        <v>0</v>
      </c>
      <c r="J14" s="654">
        <f>IF(SUM('Function Allocators'!$D24:$G24)=0,0,($D14*'Function Allocators'!G24/SUM('Function Allocators'!$D24:$G24)))</f>
        <v>105670.30226051362</v>
      </c>
      <c r="K14" s="654">
        <f>IF(SUM('Function Allocators'!$H24:$I24)=0,0,($E14*'Function Allocators'!H24/SUM('Function Allocators'!$H24:$I24)))</f>
        <v>0</v>
      </c>
      <c r="L14" s="654">
        <f>IF(SUM('Function Allocators'!$H24:$I24)=0,0,($F14*'Function Allocators'!I24/SUM('Function Allocators'!$H24:$I24)))</f>
        <v>0</v>
      </c>
      <c r="M14" s="654">
        <f>IF(SUM('Function Allocators'!$J24:$O24)=0,0,($F14*'Function Allocators'!J24/SUM('Function Allocators'!$J24:$O24)))</f>
        <v>0</v>
      </c>
      <c r="N14" s="654">
        <f>IF(SUM('Function Allocators'!$J24:$O24)=0,0,($F14*'Function Allocators'!K24/SUM('Function Allocators'!$J24:$O24)))</f>
        <v>0</v>
      </c>
      <c r="O14" s="654">
        <f>IF(SUM('Function Allocators'!$J24:$O24)=0,0,($F14*'Function Allocators'!L24/SUM('Function Allocators'!$J24:$O24)))</f>
        <v>0</v>
      </c>
      <c r="P14" s="654">
        <f>IF(SUM('Function Allocators'!$J24:$O24)=0,0,($F14*'Function Allocators'!M24/SUM('Function Allocators'!$J24:$O24)))</f>
        <v>0</v>
      </c>
      <c r="Q14" s="654">
        <f>IF(SUM('Function Allocators'!$J24:$O24)=0,0,($F14*'Function Allocators'!N24/SUM('Function Allocators'!$J24:$O24)))</f>
        <v>0</v>
      </c>
      <c r="R14" s="654">
        <f>IF(SUM('Function Allocators'!$J24:$O24)=0,0,($F14*'Function Allocators'!O24/SUM('Function Allocators'!$J24:$O24)))</f>
        <v>0</v>
      </c>
      <c r="T14" s="360" t="s">
        <v>428</v>
      </c>
      <c r="U14" s="52">
        <f t="shared" ref="U14:U25" si="1">C14-SUM(D14:F14)</f>
        <v>0</v>
      </c>
      <c r="V14" s="361">
        <f>'G-3 COST OF SERVICE'!J9-SUM('Functionalization SMALL'!G14:J14)</f>
        <v>0</v>
      </c>
      <c r="W14" s="361">
        <f>'G-3 COST OF SERVICE'!K9-SUM('Functionalization SMALL'!K14:L14)</f>
        <v>0</v>
      </c>
      <c r="X14" s="361">
        <f>'G-3 COST OF SERVICE'!L9-SUM('Functionalization SMALL'!M14:R14)</f>
        <v>0</v>
      </c>
    </row>
    <row r="15" spans="1:26">
      <c r="A15" s="386">
        <f>+A14+1</f>
        <v>375</v>
      </c>
      <c r="B15" s="379" t="s">
        <v>82</v>
      </c>
      <c r="C15" s="653">
        <f t="shared" si="0"/>
        <v>42870.55227929449</v>
      </c>
      <c r="D15" s="653">
        <f>'G-3 COST OF SERVICE'!J10</f>
        <v>42870.55227929449</v>
      </c>
      <c r="E15" s="653">
        <f>'G-3 COST OF SERVICE'!K10</f>
        <v>0</v>
      </c>
      <c r="F15" s="653">
        <f>'G-3 COST OF SERVICE'!L10</f>
        <v>0</v>
      </c>
      <c r="G15" s="654">
        <f>IF(SUM('Function Allocators'!$D25:$G25)=0,0,($D15*'Function Allocators'!D25/SUM('Function Allocators'!$D25:$G25)))</f>
        <v>0</v>
      </c>
      <c r="H15" s="654">
        <f>IF(SUM('Function Allocators'!$D25:$G25)=0,0,($D15*'Function Allocators'!E25/SUM('Function Allocators'!$D25:$G25)))</f>
        <v>0</v>
      </c>
      <c r="I15" s="654">
        <f>IF(SUM('Function Allocators'!$D25:$G25)=0,0,($D15*'Function Allocators'!F25/SUM('Function Allocators'!$D25:$G25)))</f>
        <v>0</v>
      </c>
      <c r="J15" s="654">
        <f>IF(SUM('Function Allocators'!$D25:$G25)=0,0,($D15*'Function Allocators'!G25/SUM('Function Allocators'!$D25:$G25)))</f>
        <v>42870.55227929449</v>
      </c>
      <c r="K15" s="654">
        <f>IF(SUM('Function Allocators'!$H25:$I25)=0,0,($E15*'Function Allocators'!H25/SUM('Function Allocators'!$H25:$I25)))</f>
        <v>0</v>
      </c>
      <c r="L15" s="654">
        <f>IF(SUM('Function Allocators'!$H25:$I25)=0,0,($F15*'Function Allocators'!I25/SUM('Function Allocators'!$H25:$I25)))</f>
        <v>0</v>
      </c>
      <c r="M15" s="654">
        <f>IF(SUM('Function Allocators'!$J25:$O25)=0,0,($F15*'Function Allocators'!J25/SUM('Function Allocators'!$J25:$O25)))</f>
        <v>0</v>
      </c>
      <c r="N15" s="654">
        <f>IF(SUM('Function Allocators'!$J25:$O25)=0,0,($F15*'Function Allocators'!K25/SUM('Function Allocators'!$J25:$O25)))</f>
        <v>0</v>
      </c>
      <c r="O15" s="654">
        <f>IF(SUM('Function Allocators'!$J25:$O25)=0,0,($F15*'Function Allocators'!L25/SUM('Function Allocators'!$J25:$O25)))</f>
        <v>0</v>
      </c>
      <c r="P15" s="654">
        <f>IF(SUM('Function Allocators'!$J25:$O25)=0,0,($F15*'Function Allocators'!M25/SUM('Function Allocators'!$J25:$O25)))</f>
        <v>0</v>
      </c>
      <c r="Q15" s="654">
        <f>IF(SUM('Function Allocators'!$J25:$O25)=0,0,($F15*'Function Allocators'!N25/SUM('Function Allocators'!$J25:$O25)))</f>
        <v>0</v>
      </c>
      <c r="R15" s="654">
        <f>IF(SUM('Function Allocators'!$J25:$O25)=0,0,($F15*'Function Allocators'!O25/SUM('Function Allocators'!$J25:$O25)))</f>
        <v>0</v>
      </c>
      <c r="T15" s="360" t="s">
        <v>428</v>
      </c>
      <c r="U15" s="52">
        <f t="shared" si="1"/>
        <v>0</v>
      </c>
      <c r="V15" s="361">
        <f>'G-3 COST OF SERVICE'!J10-SUM('Functionalization SMALL'!G15:J15)</f>
        <v>0</v>
      </c>
      <c r="W15" s="361">
        <f>'G-3 COST OF SERVICE'!K10-SUM('Functionalization SMALL'!K15:L15)</f>
        <v>0</v>
      </c>
      <c r="X15" s="361">
        <f>'G-3 COST OF SERVICE'!L10-SUM('Functionalization SMALL'!M15:R15)</f>
        <v>0</v>
      </c>
    </row>
    <row r="16" spans="1:26">
      <c r="A16" s="386">
        <f>+A15+1</f>
        <v>376</v>
      </c>
      <c r="B16" s="379" t="s">
        <v>83</v>
      </c>
      <c r="C16" s="653">
        <f t="shared" si="0"/>
        <v>37459108.611999899</v>
      </c>
      <c r="D16" s="653">
        <f>'G-3 COST OF SERVICE'!J11</f>
        <v>27721268.705210879</v>
      </c>
      <c r="E16" s="653">
        <f>'G-3 COST OF SERVICE'!K11</f>
        <v>0</v>
      </c>
      <c r="F16" s="653">
        <f>'G-3 COST OF SERVICE'!L11</f>
        <v>9737839.9067890197</v>
      </c>
      <c r="G16" s="654">
        <f>IF(SUM('Function Allocators'!$D26:$G26)=0,0,($D16*'Function Allocators'!D26/SUM('Function Allocators'!$D26:$G26)))</f>
        <v>0</v>
      </c>
      <c r="H16" s="654">
        <f>IF(SUM('Function Allocators'!$D26:$G26)=0,0,($D16*'Function Allocators'!E26/SUM('Function Allocators'!$D26:$G26)))</f>
        <v>27721268.705210879</v>
      </c>
      <c r="I16" s="654">
        <f>IF(SUM('Function Allocators'!$D26:$G26)=0,0,($D16*'Function Allocators'!F26/SUM('Function Allocators'!$D26:$G26)))</f>
        <v>0</v>
      </c>
      <c r="J16" s="654">
        <f>IF(SUM('Function Allocators'!$D26:$G26)=0,0,($D16*'Function Allocators'!G26/SUM('Function Allocators'!$D26:$G26)))</f>
        <v>0</v>
      </c>
      <c r="K16" s="654">
        <f>IF(SUM('Function Allocators'!$H26:$I26)=0,0,($E16*'Function Allocators'!H26/SUM('Function Allocators'!$H26:$I26)))</f>
        <v>0</v>
      </c>
      <c r="L16" s="654">
        <f>IF(SUM('Function Allocators'!$H26:$I26)=0,0,($F16*'Function Allocators'!I26/SUM('Function Allocators'!$H26:$I26)))</f>
        <v>0</v>
      </c>
      <c r="M16" s="654">
        <f>IF(SUM('Function Allocators'!$J26:$O26)=0,0,($F16*'Function Allocators'!J26/SUM('Function Allocators'!$J26:$O26)))</f>
        <v>9737839.9067890197</v>
      </c>
      <c r="N16" s="654">
        <f>IF(SUM('Function Allocators'!$J26:$O26)=0,0,($F16*'Function Allocators'!K26/SUM('Function Allocators'!$J26:$O26)))</f>
        <v>0</v>
      </c>
      <c r="O16" s="654">
        <f>IF(SUM('Function Allocators'!$J26:$O26)=0,0,($F16*'Function Allocators'!L26/SUM('Function Allocators'!$J26:$O26)))</f>
        <v>0</v>
      </c>
      <c r="P16" s="654">
        <f>IF(SUM('Function Allocators'!$J26:$O26)=0,0,($F16*'Function Allocators'!M26/SUM('Function Allocators'!$J26:$O26)))</f>
        <v>0</v>
      </c>
      <c r="Q16" s="654">
        <f>IF(SUM('Function Allocators'!$J26:$O26)=0,0,($F16*'Function Allocators'!N26/SUM('Function Allocators'!$J26:$O26)))</f>
        <v>0</v>
      </c>
      <c r="R16" s="654">
        <f>IF(SUM('Function Allocators'!$J26:$O26)=0,0,($F16*'Function Allocators'!O26/SUM('Function Allocators'!$J26:$O26)))</f>
        <v>0</v>
      </c>
      <c r="T16" s="456" t="s">
        <v>429</v>
      </c>
      <c r="U16" s="52">
        <f t="shared" si="1"/>
        <v>0</v>
      </c>
      <c r="V16" s="361">
        <f>'G-3 COST OF SERVICE'!J11-SUM('Functionalization SMALL'!G16:J16)</f>
        <v>0</v>
      </c>
      <c r="W16" s="361">
        <f>'G-3 COST OF SERVICE'!K11-SUM('Functionalization SMALL'!K16:L16)</f>
        <v>0</v>
      </c>
      <c r="X16" s="361">
        <f>'G-3 COST OF SERVICE'!L11-SUM('Functionalization SMALL'!M16:R16)</f>
        <v>0</v>
      </c>
    </row>
    <row r="17" spans="1:24">
      <c r="A17" s="386">
        <v>378</v>
      </c>
      <c r="B17" s="379" t="s">
        <v>84</v>
      </c>
      <c r="C17" s="653">
        <f t="shared" si="0"/>
        <v>1222703.7338815706</v>
      </c>
      <c r="D17" s="653">
        <f>'G-3 COST OF SERVICE'!J12</f>
        <v>1222703.7338815706</v>
      </c>
      <c r="E17" s="653">
        <f>'G-3 COST OF SERVICE'!K12</f>
        <v>0</v>
      </c>
      <c r="F17" s="653">
        <f>'G-3 COST OF SERVICE'!L12</f>
        <v>0</v>
      </c>
      <c r="G17" s="654">
        <f>IF(SUM('Function Allocators'!$D27:$G27)=0,0,($D17*'Function Allocators'!D27/SUM('Function Allocators'!$D27:$G27)))</f>
        <v>0</v>
      </c>
      <c r="H17" s="654">
        <f>IF(SUM('Function Allocators'!$D27:$G27)=0,0,($D17*'Function Allocators'!E27/SUM('Function Allocators'!$D27:$G27)))</f>
        <v>0</v>
      </c>
      <c r="I17" s="654">
        <f>IF(SUM('Function Allocators'!$D27:$G27)=0,0,($D17*'Function Allocators'!F27/SUM('Function Allocators'!$D27:$G27)))</f>
        <v>1222703.7338815706</v>
      </c>
      <c r="J17" s="654">
        <f>IF(SUM('Function Allocators'!$D27:$G27)=0,0,($D17*'Function Allocators'!G27/SUM('Function Allocators'!$D27:$G27)))</f>
        <v>0</v>
      </c>
      <c r="K17" s="654">
        <f>IF(SUM('Function Allocators'!$H27:$I27)=0,0,($E17*'Function Allocators'!H27/SUM('Function Allocators'!$H27:$I27)))</f>
        <v>0</v>
      </c>
      <c r="L17" s="654">
        <f>IF(SUM('Function Allocators'!$H27:$I27)=0,0,($F17*'Function Allocators'!I27/SUM('Function Allocators'!$H27:$I27)))</f>
        <v>0</v>
      </c>
      <c r="M17" s="654">
        <f>IF(SUM('Function Allocators'!$J27:$O27)=0,0,($F17*'Function Allocators'!J27/SUM('Function Allocators'!$J27:$O27)))</f>
        <v>0</v>
      </c>
      <c r="N17" s="654">
        <f>IF(SUM('Function Allocators'!$J27:$O27)=0,0,($F17*'Function Allocators'!K27/SUM('Function Allocators'!$J27:$O27)))</f>
        <v>0</v>
      </c>
      <c r="O17" s="654">
        <f>IF(SUM('Function Allocators'!$J27:$O27)=0,0,($F17*'Function Allocators'!L27/SUM('Function Allocators'!$J27:$O27)))</f>
        <v>0</v>
      </c>
      <c r="P17" s="654">
        <f>IF(SUM('Function Allocators'!$J27:$O27)=0,0,($F17*'Function Allocators'!M27/SUM('Function Allocators'!$J27:$O27)))</f>
        <v>0</v>
      </c>
      <c r="Q17" s="654">
        <f>IF(SUM('Function Allocators'!$J27:$O27)=0,0,($F17*'Function Allocators'!N27/SUM('Function Allocators'!$J27:$O27)))</f>
        <v>0</v>
      </c>
      <c r="R17" s="654">
        <f>IF(SUM('Function Allocators'!$J27:$O27)=0,0,($F17*'Function Allocators'!O27/SUM('Function Allocators'!$J27:$O27)))</f>
        <v>0</v>
      </c>
      <c r="T17" s="456" t="s">
        <v>431</v>
      </c>
      <c r="U17" s="52">
        <f t="shared" si="1"/>
        <v>0</v>
      </c>
      <c r="V17" s="361">
        <f>'G-3 COST OF SERVICE'!J12-SUM('Functionalization SMALL'!G17:J17)</f>
        <v>0</v>
      </c>
      <c r="W17" s="361">
        <f>'G-3 COST OF SERVICE'!K12-SUM('Functionalization SMALL'!K17:L17)</f>
        <v>0</v>
      </c>
      <c r="X17" s="361">
        <f>'G-3 COST OF SERVICE'!L12-SUM('Functionalization SMALL'!M17:R17)</f>
        <v>0</v>
      </c>
    </row>
    <row r="18" spans="1:24">
      <c r="A18" s="386">
        <f t="shared" ref="A18:A23" si="2">+A17+1</f>
        <v>379</v>
      </c>
      <c r="B18" s="379" t="s">
        <v>85</v>
      </c>
      <c r="C18" s="653">
        <f t="shared" si="0"/>
        <v>1056447.4510244245</v>
      </c>
      <c r="D18" s="653">
        <f>'G-3 COST OF SERVICE'!J13</f>
        <v>1056447.4510244245</v>
      </c>
      <c r="E18" s="653">
        <f>'G-3 COST OF SERVICE'!K13</f>
        <v>0</v>
      </c>
      <c r="F18" s="653">
        <f>'G-3 COST OF SERVICE'!L13</f>
        <v>0</v>
      </c>
      <c r="G18" s="654">
        <f>IF(SUM('Function Allocators'!$D28:$G28)=0,0,($D18*'Function Allocators'!D28/SUM('Function Allocators'!$D28:$G28)))</f>
        <v>0</v>
      </c>
      <c r="H18" s="654">
        <f>IF(SUM('Function Allocators'!$D28:$G28)=0,0,($D18*'Function Allocators'!E28/SUM('Function Allocators'!$D28:$G28)))</f>
        <v>0</v>
      </c>
      <c r="I18" s="654">
        <f>IF(SUM('Function Allocators'!$D28:$G28)=0,0,($D18*'Function Allocators'!F28/SUM('Function Allocators'!$D28:$G28)))</f>
        <v>1056447.4510244245</v>
      </c>
      <c r="J18" s="654">
        <f>IF(SUM('Function Allocators'!$D28:$G28)=0,0,($D18*'Function Allocators'!G28/SUM('Function Allocators'!$D28:$G28)))</f>
        <v>0</v>
      </c>
      <c r="K18" s="654">
        <f>IF(SUM('Function Allocators'!$H28:$I28)=0,0,($E18*'Function Allocators'!H28/SUM('Function Allocators'!$H28:$I28)))</f>
        <v>0</v>
      </c>
      <c r="L18" s="654">
        <f>IF(SUM('Function Allocators'!$H28:$I28)=0,0,($F18*'Function Allocators'!I28/SUM('Function Allocators'!$H28:$I28)))</f>
        <v>0</v>
      </c>
      <c r="M18" s="654">
        <f>IF(SUM('Function Allocators'!$J28:$O28)=0,0,($F18*'Function Allocators'!J28/SUM('Function Allocators'!$J28:$O28)))</f>
        <v>0</v>
      </c>
      <c r="N18" s="654">
        <f>IF(SUM('Function Allocators'!$J28:$O28)=0,0,($F18*'Function Allocators'!K28/SUM('Function Allocators'!$J28:$O28)))</f>
        <v>0</v>
      </c>
      <c r="O18" s="654">
        <f>IF(SUM('Function Allocators'!$J28:$O28)=0,0,($F18*'Function Allocators'!L28/SUM('Function Allocators'!$J28:$O28)))</f>
        <v>0</v>
      </c>
      <c r="P18" s="654">
        <f>IF(SUM('Function Allocators'!$J28:$O28)=0,0,($F18*'Function Allocators'!M28/SUM('Function Allocators'!$J28:$O28)))</f>
        <v>0</v>
      </c>
      <c r="Q18" s="654">
        <f>IF(SUM('Function Allocators'!$J28:$O28)=0,0,($F18*'Function Allocators'!N28/SUM('Function Allocators'!$J28:$O28)))</f>
        <v>0</v>
      </c>
      <c r="R18" s="654">
        <f>IF(SUM('Function Allocators'!$J28:$O28)=0,0,($F18*'Function Allocators'!O28/SUM('Function Allocators'!$J28:$O28)))</f>
        <v>0</v>
      </c>
      <c r="T18" s="456" t="s">
        <v>431</v>
      </c>
      <c r="U18" s="52">
        <f t="shared" si="1"/>
        <v>0</v>
      </c>
      <c r="V18" s="361">
        <f>'G-3 COST OF SERVICE'!J13-SUM('Functionalization SMALL'!G18:J18)</f>
        <v>0</v>
      </c>
      <c r="W18" s="361">
        <f>'G-3 COST OF SERVICE'!K13-SUM('Functionalization SMALL'!K18:L18)</f>
        <v>0</v>
      </c>
      <c r="X18" s="361">
        <f>'G-3 COST OF SERVICE'!L13-SUM('Functionalization SMALL'!M18:R18)</f>
        <v>0</v>
      </c>
    </row>
    <row r="19" spans="1:24">
      <c r="A19" s="386">
        <f t="shared" si="2"/>
        <v>380</v>
      </c>
      <c r="B19" s="379" t="s">
        <v>86</v>
      </c>
      <c r="C19" s="653">
        <f t="shared" si="0"/>
        <v>13971052.679547733</v>
      </c>
      <c r="D19" s="653">
        <f>'G-3 COST OF SERVICE'!J14</f>
        <v>0</v>
      </c>
      <c r="E19" s="653">
        <f>'G-3 COST OF SERVICE'!K14</f>
        <v>0</v>
      </c>
      <c r="F19" s="653">
        <f>'G-3 COST OF SERVICE'!L14</f>
        <v>13971052.679547733</v>
      </c>
      <c r="G19" s="654">
        <f>IF(SUM('Function Allocators'!$D29:$G29)=0,0,($D19*'Function Allocators'!D29/SUM('Function Allocators'!$D29:$G29)))</f>
        <v>0</v>
      </c>
      <c r="H19" s="654">
        <f>IF(SUM('Function Allocators'!$D29:$G29)=0,0,($D19*'Function Allocators'!E29/SUM('Function Allocators'!$D29:$G29)))</f>
        <v>0</v>
      </c>
      <c r="I19" s="654">
        <f>IF(SUM('Function Allocators'!$D29:$G29)=0,0,($D19*'Function Allocators'!F29/SUM('Function Allocators'!$D29:$G29)))</f>
        <v>0</v>
      </c>
      <c r="J19" s="654">
        <f>IF(SUM('Function Allocators'!$D29:$G29)=0,0,($D19*'Function Allocators'!G29/SUM('Function Allocators'!$D29:$G29)))</f>
        <v>0</v>
      </c>
      <c r="K19" s="654">
        <f>IF(SUM('Function Allocators'!$H29:$I29)=0,0,($E19*'Function Allocators'!H29/SUM('Function Allocators'!$H29:$I29)))</f>
        <v>0</v>
      </c>
      <c r="L19" s="654">
        <f>IF(SUM('Function Allocators'!$H29:$I29)=0,0,($F19*'Function Allocators'!I29/SUM('Function Allocators'!$H29:$I29)))</f>
        <v>0</v>
      </c>
      <c r="M19" s="654">
        <f>IF(SUM('Function Allocators'!$J29:$O29)=0,0,($F19*'Function Allocators'!J29/SUM('Function Allocators'!$J29:$O29)))</f>
        <v>13971052.679547733</v>
      </c>
      <c r="N19" s="654">
        <f>IF(SUM('Function Allocators'!$J29:$O29)=0,0,($F19*'Function Allocators'!K29/SUM('Function Allocators'!$J29:$O29)))</f>
        <v>0</v>
      </c>
      <c r="O19" s="654">
        <f>IF(SUM('Function Allocators'!$J29:$O29)=0,0,($F19*'Function Allocators'!L29/SUM('Function Allocators'!$J29:$O29)))</f>
        <v>0</v>
      </c>
      <c r="P19" s="654">
        <f>IF(SUM('Function Allocators'!$J29:$O29)=0,0,($F19*'Function Allocators'!M29/SUM('Function Allocators'!$J29:$O29)))</f>
        <v>0</v>
      </c>
      <c r="Q19" s="654">
        <f>IF(SUM('Function Allocators'!$J29:$O29)=0,0,($F19*'Function Allocators'!N29/SUM('Function Allocators'!$J29:$O29)))</f>
        <v>0</v>
      </c>
      <c r="R19" s="654">
        <f>IF(SUM('Function Allocators'!$J29:$O29)=0,0,($F19*'Function Allocators'!O29/SUM('Function Allocators'!$J29:$O29)))</f>
        <v>0</v>
      </c>
      <c r="T19" s="456" t="s">
        <v>433</v>
      </c>
      <c r="U19" s="52">
        <f t="shared" si="1"/>
        <v>0</v>
      </c>
      <c r="V19" s="361">
        <f>'G-3 COST OF SERVICE'!J14-SUM('Functionalization SMALL'!G19:J19)</f>
        <v>0</v>
      </c>
      <c r="W19" s="361">
        <f>'G-3 COST OF SERVICE'!K14-SUM('Functionalization SMALL'!K19:L19)</f>
        <v>0</v>
      </c>
      <c r="X19" s="361">
        <f>'G-3 COST OF SERVICE'!L14-SUM('Functionalization SMALL'!M19:R19)</f>
        <v>0</v>
      </c>
    </row>
    <row r="20" spans="1:24">
      <c r="A20" s="386">
        <f t="shared" si="2"/>
        <v>381</v>
      </c>
      <c r="B20" s="379" t="s">
        <v>88</v>
      </c>
      <c r="C20" s="653">
        <f t="shared" si="0"/>
        <v>8712718.2407545652</v>
      </c>
      <c r="D20" s="653">
        <f>'G-3 COST OF SERVICE'!J15</f>
        <v>0</v>
      </c>
      <c r="E20" s="653">
        <f>'G-3 COST OF SERVICE'!K15</f>
        <v>0</v>
      </c>
      <c r="F20" s="653">
        <f>'G-3 COST OF SERVICE'!L15</f>
        <v>8712718.2407545652</v>
      </c>
      <c r="G20" s="654">
        <f>IF(SUM('Function Allocators'!$D30:$G30)=0,0,($D20*'Function Allocators'!D30/SUM('Function Allocators'!$D30:$G30)))</f>
        <v>0</v>
      </c>
      <c r="H20" s="654">
        <f>IF(SUM('Function Allocators'!$D30:$G30)=0,0,($D20*'Function Allocators'!E30/SUM('Function Allocators'!$D30:$G30)))</f>
        <v>0</v>
      </c>
      <c r="I20" s="654">
        <f>IF(SUM('Function Allocators'!$D30:$G30)=0,0,($D20*'Function Allocators'!F30/SUM('Function Allocators'!$D30:$G30)))</f>
        <v>0</v>
      </c>
      <c r="J20" s="654">
        <f>IF(SUM('Function Allocators'!$D30:$G30)=0,0,($D20*'Function Allocators'!G30/SUM('Function Allocators'!$D30:$G30)))</f>
        <v>0</v>
      </c>
      <c r="K20" s="654">
        <f>IF(SUM('Function Allocators'!$H30:$I30)=0,0,($E20*'Function Allocators'!H30/SUM('Function Allocators'!$H30:$I30)))</f>
        <v>0</v>
      </c>
      <c r="L20" s="654">
        <f>IF(SUM('Function Allocators'!$H30:$I30)=0,0,($F20*'Function Allocators'!I30/SUM('Function Allocators'!$H30:$I30)))</f>
        <v>0</v>
      </c>
      <c r="M20" s="654">
        <f>IF(SUM('Function Allocators'!$J30:$O30)=0,0,($F20*'Function Allocators'!J30/SUM('Function Allocators'!$J30:$O30)))</f>
        <v>0</v>
      </c>
      <c r="N20" s="654">
        <f>IF(SUM('Function Allocators'!$J30:$O30)=0,0,($F20*'Function Allocators'!K30/SUM('Function Allocators'!$J30:$O30)))</f>
        <v>8712718.2407545652</v>
      </c>
      <c r="O20" s="654">
        <f>IF(SUM('Function Allocators'!$J30:$O30)=0,0,($F20*'Function Allocators'!L30/SUM('Function Allocators'!$J30:$O30)))</f>
        <v>0</v>
      </c>
      <c r="P20" s="654">
        <f>IF(SUM('Function Allocators'!$J30:$O30)=0,0,($F20*'Function Allocators'!M30/SUM('Function Allocators'!$J30:$O30)))</f>
        <v>0</v>
      </c>
      <c r="Q20" s="654">
        <f>IF(SUM('Function Allocators'!$J30:$O30)=0,0,($F20*'Function Allocators'!N30/SUM('Function Allocators'!$J30:$O30)))</f>
        <v>0</v>
      </c>
      <c r="R20" s="654">
        <f>IF(SUM('Function Allocators'!$J30:$O30)=0,0,($F20*'Function Allocators'!O30/SUM('Function Allocators'!$J30:$O30)))</f>
        <v>0</v>
      </c>
      <c r="T20" s="456" t="s">
        <v>434</v>
      </c>
      <c r="U20" s="52">
        <f t="shared" si="1"/>
        <v>0</v>
      </c>
      <c r="V20" s="361">
        <f>'G-3 COST OF SERVICE'!J15-SUM('Functionalization SMALL'!G20:J20)</f>
        <v>0</v>
      </c>
      <c r="W20" s="361">
        <f>'G-3 COST OF SERVICE'!K15-SUM('Functionalization SMALL'!K20:L20)</f>
        <v>0</v>
      </c>
      <c r="X20" s="361">
        <f>'G-3 COST OF SERVICE'!L15-SUM('Functionalization SMALL'!M20:R20)</f>
        <v>0</v>
      </c>
    </row>
    <row r="21" spans="1:24">
      <c r="A21" s="386">
        <f t="shared" si="2"/>
        <v>382</v>
      </c>
      <c r="B21" s="379" t="s">
        <v>90</v>
      </c>
      <c r="C21" s="653">
        <f t="shared" si="0"/>
        <v>1225760.4724425576</v>
      </c>
      <c r="D21" s="653">
        <f>'G-3 COST OF SERVICE'!J16</f>
        <v>0</v>
      </c>
      <c r="E21" s="653">
        <f>'G-3 COST OF SERVICE'!K16</f>
        <v>0</v>
      </c>
      <c r="F21" s="653">
        <f>'G-3 COST OF SERVICE'!L16</f>
        <v>1225760.4724425576</v>
      </c>
      <c r="G21" s="654">
        <f>IF(SUM('Function Allocators'!$D31:$G31)=0,0,($D21*'Function Allocators'!D31/SUM('Function Allocators'!$D31:$G31)))</f>
        <v>0</v>
      </c>
      <c r="H21" s="654">
        <f>IF(SUM('Function Allocators'!$D31:$G31)=0,0,($D21*'Function Allocators'!E31/SUM('Function Allocators'!$D31:$G31)))</f>
        <v>0</v>
      </c>
      <c r="I21" s="654">
        <f>IF(SUM('Function Allocators'!$D31:$G31)=0,0,($D21*'Function Allocators'!F31/SUM('Function Allocators'!$D31:$G31)))</f>
        <v>0</v>
      </c>
      <c r="J21" s="654">
        <f>IF(SUM('Function Allocators'!$D31:$G31)=0,0,($D21*'Function Allocators'!G31/SUM('Function Allocators'!$D31:$G31)))</f>
        <v>0</v>
      </c>
      <c r="K21" s="654">
        <f>IF(SUM('Function Allocators'!$H31:$I31)=0,0,($E21*'Function Allocators'!H31/SUM('Function Allocators'!$H31:$I31)))</f>
        <v>0</v>
      </c>
      <c r="L21" s="654">
        <f>IF(SUM('Function Allocators'!$H31:$I31)=0,0,($F21*'Function Allocators'!I31/SUM('Function Allocators'!$H31:$I31)))</f>
        <v>0</v>
      </c>
      <c r="M21" s="654">
        <f>IF(SUM('Function Allocators'!$J31:$O31)=0,0,($F21*'Function Allocators'!J31/SUM('Function Allocators'!$J31:$O31)))</f>
        <v>0</v>
      </c>
      <c r="N21" s="654">
        <f>IF(SUM('Function Allocators'!$J31:$O31)=0,0,($F21*'Function Allocators'!K31/SUM('Function Allocators'!$J31:$O31)))</f>
        <v>1225760.4724425576</v>
      </c>
      <c r="O21" s="654">
        <f>IF(SUM('Function Allocators'!$J31:$O31)=0,0,($F21*'Function Allocators'!L31/SUM('Function Allocators'!$J31:$O31)))</f>
        <v>0</v>
      </c>
      <c r="P21" s="654">
        <f>IF(SUM('Function Allocators'!$J31:$O31)=0,0,($F21*'Function Allocators'!M31/SUM('Function Allocators'!$J31:$O31)))</f>
        <v>0</v>
      </c>
      <c r="Q21" s="654">
        <f>IF(SUM('Function Allocators'!$J31:$O31)=0,0,($F21*'Function Allocators'!N31/SUM('Function Allocators'!$J31:$O31)))</f>
        <v>0</v>
      </c>
      <c r="R21" s="654">
        <f>IF(SUM('Function Allocators'!$J31:$O31)=0,0,($F21*'Function Allocators'!O31/SUM('Function Allocators'!$J31:$O31)))</f>
        <v>0</v>
      </c>
      <c r="T21" s="456" t="s">
        <v>434</v>
      </c>
      <c r="U21" s="52">
        <f t="shared" si="1"/>
        <v>0</v>
      </c>
      <c r="V21" s="361">
        <f>'G-3 COST OF SERVICE'!J16-SUM('Functionalization SMALL'!G21:J21)</f>
        <v>0</v>
      </c>
      <c r="W21" s="361">
        <f>'G-3 COST OF SERVICE'!K16-SUM('Functionalization SMALL'!K21:L21)</f>
        <v>0</v>
      </c>
      <c r="X21" s="361">
        <f>'G-3 COST OF SERVICE'!L16-SUM('Functionalization SMALL'!M21:R21)</f>
        <v>0</v>
      </c>
    </row>
    <row r="22" spans="1:24">
      <c r="A22" s="386">
        <f t="shared" si="2"/>
        <v>383</v>
      </c>
      <c r="B22" s="379" t="s">
        <v>92</v>
      </c>
      <c r="C22" s="653">
        <f t="shared" si="0"/>
        <v>698672.36567699153</v>
      </c>
      <c r="D22" s="653">
        <f>'G-3 COST OF SERVICE'!J17</f>
        <v>0</v>
      </c>
      <c r="E22" s="653">
        <f>'G-3 COST OF SERVICE'!K17</f>
        <v>0</v>
      </c>
      <c r="F22" s="653">
        <f>'G-3 COST OF SERVICE'!L17</f>
        <v>698672.36567699153</v>
      </c>
      <c r="G22" s="654">
        <f>IF(SUM('Function Allocators'!$D32:$G32)=0,0,($D22*'Function Allocators'!D32/SUM('Function Allocators'!$D32:$G32)))</f>
        <v>0</v>
      </c>
      <c r="H22" s="654">
        <f>IF(SUM('Function Allocators'!$D32:$G32)=0,0,($D22*'Function Allocators'!E32/SUM('Function Allocators'!$D32:$G32)))</f>
        <v>0</v>
      </c>
      <c r="I22" s="654">
        <f>IF(SUM('Function Allocators'!$D32:$G32)=0,0,($D22*'Function Allocators'!F32/SUM('Function Allocators'!$D32:$G32)))</f>
        <v>0</v>
      </c>
      <c r="J22" s="654">
        <f>IF(SUM('Function Allocators'!$D32:$G32)=0,0,($D22*'Function Allocators'!G32/SUM('Function Allocators'!$D32:$G32)))</f>
        <v>0</v>
      </c>
      <c r="K22" s="654">
        <f>IF(SUM('Function Allocators'!$H32:$I32)=0,0,($E22*'Function Allocators'!H32/SUM('Function Allocators'!$H32:$I32)))</f>
        <v>0</v>
      </c>
      <c r="L22" s="654">
        <f>IF(SUM('Function Allocators'!$H32:$I32)=0,0,($F22*'Function Allocators'!I32/SUM('Function Allocators'!$H32:$I32)))</f>
        <v>0</v>
      </c>
      <c r="M22" s="654">
        <f>IF(SUM('Function Allocators'!$J32:$O32)=0,0,($F22*'Function Allocators'!J32/SUM('Function Allocators'!$J32:$O32)))</f>
        <v>0</v>
      </c>
      <c r="N22" s="654">
        <f>IF(SUM('Function Allocators'!$J32:$O32)=0,0,($F22*'Function Allocators'!K32/SUM('Function Allocators'!$J32:$O32)))</f>
        <v>0</v>
      </c>
      <c r="O22" s="654">
        <f>IF(SUM('Function Allocators'!$J32:$O32)=0,0,($F22*'Function Allocators'!L32/SUM('Function Allocators'!$J32:$O32)))</f>
        <v>698672.36567699153</v>
      </c>
      <c r="P22" s="654">
        <f>IF(SUM('Function Allocators'!$J32:$O32)=0,0,($F22*'Function Allocators'!M32/SUM('Function Allocators'!$J32:$O32)))</f>
        <v>0</v>
      </c>
      <c r="Q22" s="654">
        <f>IF(SUM('Function Allocators'!$J32:$O32)=0,0,($F22*'Function Allocators'!N32/SUM('Function Allocators'!$J32:$O32)))</f>
        <v>0</v>
      </c>
      <c r="R22" s="654">
        <f>IF(SUM('Function Allocators'!$J32:$O32)=0,0,($F22*'Function Allocators'!O32/SUM('Function Allocators'!$J32:$O32)))</f>
        <v>0</v>
      </c>
      <c r="T22" s="456" t="s">
        <v>435</v>
      </c>
      <c r="U22" s="52">
        <f t="shared" si="1"/>
        <v>0</v>
      </c>
      <c r="V22" s="361">
        <f>'G-3 COST OF SERVICE'!J17-SUM('Functionalization SMALL'!G22:J22)</f>
        <v>0</v>
      </c>
      <c r="W22" s="361">
        <f>'G-3 COST OF SERVICE'!K17-SUM('Functionalization SMALL'!K22:L22)</f>
        <v>0</v>
      </c>
      <c r="X22" s="361">
        <f>'G-3 COST OF SERVICE'!L17-SUM('Functionalization SMALL'!M22:R22)</f>
        <v>0</v>
      </c>
    </row>
    <row r="23" spans="1:24">
      <c r="A23" s="386">
        <f t="shared" si="2"/>
        <v>384</v>
      </c>
      <c r="B23" s="379" t="s">
        <v>94</v>
      </c>
      <c r="C23" s="653">
        <f t="shared" si="0"/>
        <v>352397.06342928595</v>
      </c>
      <c r="D23" s="653">
        <f>'G-3 COST OF SERVICE'!J18</f>
        <v>0</v>
      </c>
      <c r="E23" s="653">
        <f>'G-3 COST OF SERVICE'!K18</f>
        <v>0</v>
      </c>
      <c r="F23" s="653">
        <f>'G-3 COST OF SERVICE'!L18</f>
        <v>352397.06342928595</v>
      </c>
      <c r="G23" s="654">
        <f>IF(SUM('Function Allocators'!$D33:$G33)=0,0,($D23*'Function Allocators'!D33/SUM('Function Allocators'!$D33:$G33)))</f>
        <v>0</v>
      </c>
      <c r="H23" s="654">
        <f>IF(SUM('Function Allocators'!$D33:$G33)=0,0,($D23*'Function Allocators'!E33/SUM('Function Allocators'!$D33:$G33)))</f>
        <v>0</v>
      </c>
      <c r="I23" s="654">
        <f>IF(SUM('Function Allocators'!$D33:$G33)=0,0,($D23*'Function Allocators'!F33/SUM('Function Allocators'!$D33:$G33)))</f>
        <v>0</v>
      </c>
      <c r="J23" s="654">
        <f>IF(SUM('Function Allocators'!$D33:$G33)=0,0,($D23*'Function Allocators'!G33/SUM('Function Allocators'!$D33:$G33)))</f>
        <v>0</v>
      </c>
      <c r="K23" s="654">
        <f>IF(SUM('Function Allocators'!$H33:$I33)=0,0,($E23*'Function Allocators'!H33/SUM('Function Allocators'!$H33:$I33)))</f>
        <v>0</v>
      </c>
      <c r="L23" s="654">
        <f>IF(SUM('Function Allocators'!$H33:$I33)=0,0,($F23*'Function Allocators'!I33/SUM('Function Allocators'!$H33:$I33)))</f>
        <v>0</v>
      </c>
      <c r="M23" s="654">
        <f>IF(SUM('Function Allocators'!$J33:$O33)=0,0,($F23*'Function Allocators'!J33/SUM('Function Allocators'!$J33:$O33)))</f>
        <v>0</v>
      </c>
      <c r="N23" s="654">
        <f>IF(SUM('Function Allocators'!$J33:$O33)=0,0,($F23*'Function Allocators'!K33/SUM('Function Allocators'!$J33:$O33)))</f>
        <v>0</v>
      </c>
      <c r="O23" s="654">
        <f>IF(SUM('Function Allocators'!$J33:$O33)=0,0,($F23*'Function Allocators'!L33/SUM('Function Allocators'!$J33:$O33)))</f>
        <v>352397.06342928595</v>
      </c>
      <c r="P23" s="654">
        <f>IF(SUM('Function Allocators'!$J33:$O33)=0,0,($F23*'Function Allocators'!M33/SUM('Function Allocators'!$J33:$O33)))</f>
        <v>0</v>
      </c>
      <c r="Q23" s="654">
        <f>IF(SUM('Function Allocators'!$J33:$O33)=0,0,($F23*'Function Allocators'!N33/SUM('Function Allocators'!$J33:$O33)))</f>
        <v>0</v>
      </c>
      <c r="R23" s="654">
        <f>IF(SUM('Function Allocators'!$J33:$O33)=0,0,($F23*'Function Allocators'!O33/SUM('Function Allocators'!$J33:$O33)))</f>
        <v>0</v>
      </c>
      <c r="T23" s="456" t="s">
        <v>435</v>
      </c>
      <c r="U23" s="52">
        <f t="shared" si="1"/>
        <v>0</v>
      </c>
      <c r="V23" s="361">
        <f>'G-3 COST OF SERVICE'!J18-SUM('Functionalization SMALL'!G23:J23)</f>
        <v>0</v>
      </c>
      <c r="W23" s="361">
        <f>'G-3 COST OF SERVICE'!K18-SUM('Functionalization SMALL'!K23:L23)</f>
        <v>0</v>
      </c>
      <c r="X23" s="361">
        <f>'G-3 COST OF SERVICE'!L18-SUM('Functionalization SMALL'!M23:R23)</f>
        <v>0</v>
      </c>
    </row>
    <row r="24" spans="1:24">
      <c r="A24" s="386">
        <v>385</v>
      </c>
      <c r="B24" s="379" t="s">
        <v>96</v>
      </c>
      <c r="C24" s="653">
        <f t="shared" si="0"/>
        <v>0</v>
      </c>
      <c r="D24" s="653">
        <f>'G-3 COST OF SERVICE'!J19</f>
        <v>0</v>
      </c>
      <c r="E24" s="653">
        <f>'G-3 COST OF SERVICE'!K19</f>
        <v>0</v>
      </c>
      <c r="F24" s="653">
        <f>'G-3 COST OF SERVICE'!L19</f>
        <v>0</v>
      </c>
      <c r="G24" s="654">
        <f>IF(SUM('Function Allocators'!$D34:$G34)=0,0,($D24*'Function Allocators'!D34/SUM('Function Allocators'!$D34:$G34)))</f>
        <v>0</v>
      </c>
      <c r="H24" s="654">
        <f>IF(SUM('Function Allocators'!$D34:$G34)=0,0,($D24*'Function Allocators'!E34/SUM('Function Allocators'!$D34:$G34)))</f>
        <v>0</v>
      </c>
      <c r="I24" s="654">
        <f>IF(SUM('Function Allocators'!$D34:$G34)=0,0,($D24*'Function Allocators'!F34/SUM('Function Allocators'!$D34:$G34)))</f>
        <v>0</v>
      </c>
      <c r="J24" s="654">
        <f>IF(SUM('Function Allocators'!$D34:$G34)=0,0,($D24*'Function Allocators'!G34/SUM('Function Allocators'!$D34:$G34)))</f>
        <v>0</v>
      </c>
      <c r="K24" s="654">
        <f>IF(SUM('Function Allocators'!$H34:$I34)=0,0,($E24*'Function Allocators'!H34/SUM('Function Allocators'!$H34:$I34)))</f>
        <v>0</v>
      </c>
      <c r="L24" s="654">
        <f>IF(SUM('Function Allocators'!$H34:$I34)=0,0,($F24*'Function Allocators'!I34/SUM('Function Allocators'!$H34:$I34)))</f>
        <v>0</v>
      </c>
      <c r="M24" s="654">
        <f>IF(SUM('Function Allocators'!$J34:$O34)=0,0,($F24*'Function Allocators'!J34/SUM('Function Allocators'!$J34:$O34)))</f>
        <v>0</v>
      </c>
      <c r="N24" s="654">
        <f>IF(SUM('Function Allocators'!$J34:$O34)=0,0,($F24*'Function Allocators'!K34/SUM('Function Allocators'!$J34:$O34)))</f>
        <v>0</v>
      </c>
      <c r="O24" s="654">
        <f>IF(SUM('Function Allocators'!$J34:$O34)=0,0,($F24*'Function Allocators'!L34/SUM('Function Allocators'!$J34:$O34)))</f>
        <v>0</v>
      </c>
      <c r="P24" s="654">
        <f>IF(SUM('Function Allocators'!$J34:$O34)=0,0,($F24*'Function Allocators'!M34/SUM('Function Allocators'!$J34:$O34)))</f>
        <v>0</v>
      </c>
      <c r="Q24" s="654">
        <f>IF(SUM('Function Allocators'!$J34:$O34)=0,0,($F24*'Function Allocators'!N34/SUM('Function Allocators'!$J34:$O34)))</f>
        <v>0</v>
      </c>
      <c r="R24" s="654">
        <f>IF(SUM('Function Allocators'!$J34:$O34)=0,0,($F24*'Function Allocators'!O34/SUM('Function Allocators'!$J34:$O34)))</f>
        <v>0</v>
      </c>
      <c r="T24" s="456" t="s">
        <v>462</v>
      </c>
      <c r="U24" s="52">
        <f t="shared" si="1"/>
        <v>0</v>
      </c>
      <c r="V24" s="361">
        <f>'G-3 COST OF SERVICE'!J19-SUM('Functionalization SMALL'!G24:J24)</f>
        <v>0</v>
      </c>
      <c r="W24" s="361">
        <f>'G-3 COST OF SERVICE'!K19-SUM('Functionalization SMALL'!K24:L24)</f>
        <v>0</v>
      </c>
      <c r="X24" s="361">
        <f>'G-3 COST OF SERVICE'!L19-SUM('Functionalization SMALL'!M24:R24)</f>
        <v>0</v>
      </c>
    </row>
    <row r="25" spans="1:24">
      <c r="A25" s="386">
        <v>387</v>
      </c>
      <c r="B25" s="379" t="s">
        <v>98</v>
      </c>
      <c r="C25" s="653">
        <f t="shared" si="0"/>
        <v>482337.44136666285</v>
      </c>
      <c r="D25" s="653">
        <f>'G-3 COST OF SERVICE'!J20</f>
        <v>482337.44136666285</v>
      </c>
      <c r="E25" s="653">
        <f>'G-3 COST OF SERVICE'!K20</f>
        <v>0</v>
      </c>
      <c r="F25" s="653">
        <f>'G-3 COST OF SERVICE'!L20</f>
        <v>0</v>
      </c>
      <c r="G25" s="654">
        <f>IF(SUM('Function Allocators'!$D35:$G35)=0,0,($D25*'Function Allocators'!D35/SUM('Function Allocators'!$D35:$G35)))</f>
        <v>0</v>
      </c>
      <c r="H25" s="654">
        <f>IF(SUM('Function Allocators'!$D35:$G35)=0,0,($D25*'Function Allocators'!E35/SUM('Function Allocators'!$D35:$G35)))</f>
        <v>0</v>
      </c>
      <c r="I25" s="654">
        <f>IF(SUM('Function Allocators'!$D35:$G35)=0,0,($D25*'Function Allocators'!F35/SUM('Function Allocators'!$D35:$G35)))</f>
        <v>0</v>
      </c>
      <c r="J25" s="654">
        <f>IF(SUM('Function Allocators'!$D35:$G35)=0,0,($D25*'Function Allocators'!G35/SUM('Function Allocators'!$D35:$G35)))</f>
        <v>482337.44136666285</v>
      </c>
      <c r="K25" s="654">
        <f>IF(SUM('Function Allocators'!$H35:$I35)=0,0,($E25*'Function Allocators'!H35/SUM('Function Allocators'!$H35:$I35)))</f>
        <v>0</v>
      </c>
      <c r="L25" s="654">
        <f>IF(SUM('Function Allocators'!$H35:$I35)=0,0,($F25*'Function Allocators'!I35/SUM('Function Allocators'!$H35:$I35)))</f>
        <v>0</v>
      </c>
      <c r="M25" s="654">
        <f>IF(SUM('Function Allocators'!$J35:$O35)=0,0,($F25*'Function Allocators'!J35/SUM('Function Allocators'!$J35:$O35)))</f>
        <v>0</v>
      </c>
      <c r="N25" s="654">
        <f>IF(SUM('Function Allocators'!$J35:$O35)=0,0,($F25*'Function Allocators'!K35/SUM('Function Allocators'!$J35:$O35)))</f>
        <v>0</v>
      </c>
      <c r="O25" s="654">
        <f>IF(SUM('Function Allocators'!$J35:$O35)=0,0,($F25*'Function Allocators'!L35/SUM('Function Allocators'!$J35:$O35)))</f>
        <v>0</v>
      </c>
      <c r="P25" s="654">
        <f>IF(SUM('Function Allocators'!$J35:$O35)=0,0,($F25*'Function Allocators'!M35/SUM('Function Allocators'!$J35:$O35)))</f>
        <v>0</v>
      </c>
      <c r="Q25" s="654">
        <f>IF(SUM('Function Allocators'!$J35:$O35)=0,0,($F25*'Function Allocators'!N35/SUM('Function Allocators'!$J35:$O35)))</f>
        <v>0</v>
      </c>
      <c r="R25" s="654">
        <f>IF(SUM('Function Allocators'!$J35:$O35)=0,0,($F25*'Function Allocators'!O35/SUM('Function Allocators'!$J35:$O35)))</f>
        <v>0</v>
      </c>
      <c r="T25" s="360" t="s">
        <v>428</v>
      </c>
      <c r="U25" s="52">
        <f t="shared" si="1"/>
        <v>0</v>
      </c>
      <c r="V25" s="361">
        <f>'G-3 COST OF SERVICE'!J20-SUM('Functionalization SMALL'!G25:J25)</f>
        <v>0</v>
      </c>
      <c r="W25" s="361">
        <f>'G-3 COST OF SERVICE'!K20-SUM('Functionalization SMALL'!K25:L25)</f>
        <v>0</v>
      </c>
      <c r="X25" s="361">
        <f>'G-3 COST OF SERVICE'!L20-SUM('Functionalization SMALL'!M25:R25)</f>
        <v>0</v>
      </c>
    </row>
    <row r="26" spans="1:24">
      <c r="A26" s="374"/>
      <c r="B26" s="377" t="s">
        <v>100</v>
      </c>
      <c r="C26" s="655">
        <f t="shared" ref="C26:R26" si="3">SUM(C14:C25)</f>
        <v>65329738.914663516</v>
      </c>
      <c r="D26" s="655">
        <f t="shared" si="3"/>
        <v>30631298.186023343</v>
      </c>
      <c r="E26" s="655">
        <f t="shared" si="3"/>
        <v>0</v>
      </c>
      <c r="F26" s="655">
        <f t="shared" si="3"/>
        <v>34698440.728640161</v>
      </c>
      <c r="G26" s="656">
        <f t="shared" si="3"/>
        <v>0</v>
      </c>
      <c r="H26" s="655">
        <f t="shared" si="3"/>
        <v>27721268.705210879</v>
      </c>
      <c r="I26" s="655">
        <f t="shared" si="3"/>
        <v>2279151.1849059951</v>
      </c>
      <c r="J26" s="655">
        <f t="shared" si="3"/>
        <v>630878.29590647097</v>
      </c>
      <c r="K26" s="655">
        <f t="shared" si="3"/>
        <v>0</v>
      </c>
      <c r="L26" s="655">
        <f t="shared" si="3"/>
        <v>0</v>
      </c>
      <c r="M26" s="655">
        <f t="shared" si="3"/>
        <v>23708892.586336754</v>
      </c>
      <c r="N26" s="655">
        <f t="shared" si="3"/>
        <v>9938478.7131971233</v>
      </c>
      <c r="O26" s="655">
        <f t="shared" si="3"/>
        <v>1051069.4291062774</v>
      </c>
      <c r="P26" s="655">
        <f t="shared" si="3"/>
        <v>0</v>
      </c>
      <c r="Q26" s="655">
        <f t="shared" si="3"/>
        <v>0</v>
      </c>
      <c r="R26" s="655">
        <f t="shared" si="3"/>
        <v>0</v>
      </c>
      <c r="T26" s="456"/>
      <c r="V26" s="361">
        <f>'G-3 COST OF SERVICE'!J21-SUM('Functionalization SMALL'!G26:J26)</f>
        <v>0</v>
      </c>
      <c r="W26" s="361">
        <f>'G-3 COST OF SERVICE'!K21-SUM('Functionalization SMALL'!K26:L26)</f>
        <v>0</v>
      </c>
      <c r="X26" s="361">
        <f>'G-3 COST OF SERVICE'!L21-SUM('Functionalization SMALL'!M26:R26)</f>
        <v>0</v>
      </c>
    </row>
    <row r="27" spans="1:24">
      <c r="A27" s="374"/>
      <c r="B27" s="377"/>
      <c r="C27" s="653"/>
      <c r="D27" s="653"/>
      <c r="E27" s="653"/>
      <c r="F27" s="653"/>
      <c r="G27" s="664"/>
      <c r="H27" s="653"/>
      <c r="I27" s="653"/>
      <c r="J27" s="653"/>
      <c r="K27" s="653"/>
      <c r="L27" s="653"/>
      <c r="M27" s="653"/>
      <c r="N27" s="653"/>
      <c r="O27" s="653"/>
      <c r="P27" s="653"/>
      <c r="Q27" s="653"/>
      <c r="R27" s="653"/>
      <c r="T27" s="456"/>
      <c r="V27" s="361"/>
      <c r="W27" s="361"/>
      <c r="X27" s="361"/>
    </row>
    <row r="28" spans="1:24">
      <c r="A28" s="390" t="s">
        <v>463</v>
      </c>
      <c r="B28" s="379" t="s">
        <v>208</v>
      </c>
      <c r="C28" s="654">
        <f>SUM(G28:R28)</f>
        <v>8755159.1522690076</v>
      </c>
      <c r="D28" s="654">
        <f>'G-3 COST OF SERVICE'!J23</f>
        <v>4400175.3051334703</v>
      </c>
      <c r="E28" s="654">
        <f>'G-3 COST OF SERVICE'!K23</f>
        <v>0</v>
      </c>
      <c r="F28" s="654">
        <f>'G-3 COST OF SERVICE'!L23</f>
        <v>4354983.8471355345</v>
      </c>
      <c r="G28" s="654">
        <f>IF(SUM('Function Allocators'!$D39:$G39)=0,0,($D28*'Function Allocators'!D39/SUM('Function Allocators'!$D$39:$G$39)))</f>
        <v>0</v>
      </c>
      <c r="H28" s="654">
        <f>IF(SUM('Function Allocators'!$D39:$G39)=0,0,($D28*'Function Allocators'!E39/SUM('Function Allocators'!$D$39:$G$39)))</f>
        <v>4034938.9683557758</v>
      </c>
      <c r="I28" s="654">
        <f>IF(SUM('Function Allocators'!$D39:$G39)=0,0,($D28*'Function Allocators'!F39/SUM('Function Allocators'!$D$39:$G$39)))</f>
        <v>286055.11910662765</v>
      </c>
      <c r="J28" s="654">
        <f>IF(SUM('Function Allocators'!$D39:$G39)=0,0,($D28*'Function Allocators'!G39/SUM('Function Allocators'!$D$39:$G$39)))</f>
        <v>79181.217671066988</v>
      </c>
      <c r="K28" s="654">
        <f>IF(SUM('Function Allocators'!$H39:$I39)=0,0,($E28*'Function Allocators'!H39/SUM('Function Allocators'!$H39:$I39)))</f>
        <v>0</v>
      </c>
      <c r="L28" s="654">
        <f>IF(SUM('Function Allocators'!$H39:$I39)=0,0,($E28*'Function Allocators'!I39/SUM('Function Allocators'!$H39:$I39)))</f>
        <v>0</v>
      </c>
      <c r="M28" s="654">
        <f>IF(SUM('Function Allocators'!$J39:$O39)=0,0,($F28*'Function Allocators'!J39/SUM('Function Allocators'!$J39:$O39)))</f>
        <v>3530295.9112760159</v>
      </c>
      <c r="N28" s="654">
        <f>IF(SUM('Function Allocators'!$J39:$O39)=0,0,($F28*'Function Allocators'!K39/SUM('Function Allocators'!$J39:$O39)))</f>
        <v>679722.68622879614</v>
      </c>
      <c r="O28" s="654">
        <f>IF(SUM('Function Allocators'!$J39:$O39)=0,0,($F28*'Function Allocators'!L39/SUM('Function Allocators'!$J39:$O39)))</f>
        <v>144965.24963072277</v>
      </c>
      <c r="P28" s="654">
        <f>IF(SUM('Function Allocators'!$J39:$O39)=0,0,($F28*'Function Allocators'!M39/SUM('Function Allocators'!$J39:$O39)))</f>
        <v>0</v>
      </c>
      <c r="Q28" s="654">
        <f>IF(SUM('Function Allocators'!$J39:$O39)=0,0,($F28*'Function Allocators'!N39/SUM('Function Allocators'!$J39:$O39)))</f>
        <v>0</v>
      </c>
      <c r="R28" s="654">
        <f>IF(SUM('Function Allocators'!$J39:$O39)=0,0,($F28*'Function Allocators'!O39/SUM('Function Allocators'!$J39:$O39)))</f>
        <v>0</v>
      </c>
      <c r="S28" s="654"/>
      <c r="T28" s="456" t="s">
        <v>426</v>
      </c>
      <c r="U28" s="52">
        <f>C28-SUM(D28:F28)</f>
        <v>0</v>
      </c>
      <c r="V28" s="361">
        <f>'G-3 COST OF SERVICE'!J23-SUM('Functionalization SMALL'!G28:J28)</f>
        <v>0</v>
      </c>
      <c r="W28" s="361">
        <f>'G-3 COST OF SERVICE'!K23-SUM('Functionalization SMALL'!K28:L28)</f>
        <v>0</v>
      </c>
      <c r="X28" s="361">
        <f>'G-3 COST OF SERVICE'!L23-SUM('Functionalization SMALL'!M28:R28)</f>
        <v>0</v>
      </c>
    </row>
    <row r="29" spans="1:24">
      <c r="A29" s="382"/>
      <c r="B29" s="407"/>
      <c r="C29" s="460"/>
      <c r="D29" s="460"/>
      <c r="E29" s="460"/>
      <c r="F29" s="460"/>
      <c r="G29" s="456"/>
      <c r="H29" s="456"/>
      <c r="I29" s="456"/>
      <c r="J29" s="456"/>
      <c r="K29" s="456"/>
      <c r="L29" s="456"/>
      <c r="M29" s="456"/>
      <c r="N29" s="456"/>
      <c r="O29" s="456"/>
      <c r="P29" s="456"/>
      <c r="Q29" s="456"/>
      <c r="R29" s="456"/>
      <c r="T29" s="456"/>
      <c r="V29" s="361"/>
      <c r="W29" s="361"/>
      <c r="X29" s="361"/>
    </row>
    <row r="30" spans="1:24">
      <c r="A30" s="390"/>
      <c r="B30" s="407" t="s">
        <v>464</v>
      </c>
      <c r="C30" s="654">
        <f t="shared" ref="C30:R30" si="4">C26+C11</f>
        <v>69756945.508450955</v>
      </c>
      <c r="D30" s="654">
        <f t="shared" si="4"/>
        <v>35058504.779810779</v>
      </c>
      <c r="E30" s="654">
        <f t="shared" si="4"/>
        <v>0</v>
      </c>
      <c r="F30" s="654">
        <f t="shared" si="4"/>
        <v>34698440.728640161</v>
      </c>
      <c r="G30" s="654">
        <f t="shared" si="4"/>
        <v>0</v>
      </c>
      <c r="H30" s="654">
        <f t="shared" si="4"/>
        <v>32148475.298998319</v>
      </c>
      <c r="I30" s="654">
        <f t="shared" si="4"/>
        <v>2279151.1849059951</v>
      </c>
      <c r="J30" s="654">
        <f t="shared" si="4"/>
        <v>630878.29590647097</v>
      </c>
      <c r="K30" s="654">
        <f t="shared" si="4"/>
        <v>0</v>
      </c>
      <c r="L30" s="654">
        <f t="shared" si="4"/>
        <v>0</v>
      </c>
      <c r="M30" s="654">
        <f t="shared" si="4"/>
        <v>23708892.586336754</v>
      </c>
      <c r="N30" s="654">
        <f t="shared" si="4"/>
        <v>9938478.7131971233</v>
      </c>
      <c r="O30" s="654">
        <f t="shared" si="4"/>
        <v>1051069.4291062774</v>
      </c>
      <c r="P30" s="654">
        <f t="shared" si="4"/>
        <v>0</v>
      </c>
      <c r="Q30" s="654">
        <f t="shared" si="4"/>
        <v>0</v>
      </c>
      <c r="R30" s="654">
        <f t="shared" si="4"/>
        <v>0</v>
      </c>
      <c r="S30" s="654"/>
      <c r="T30" s="456"/>
      <c r="U30" s="52">
        <f>C30-SUM(D30:F30)</f>
        <v>0</v>
      </c>
      <c r="V30" s="361"/>
      <c r="W30" s="361"/>
      <c r="X30" s="361"/>
    </row>
    <row r="31" spans="1:24">
      <c r="A31" s="382"/>
      <c r="B31" s="407"/>
      <c r="C31" s="460"/>
      <c r="D31" s="460"/>
      <c r="E31" s="460"/>
      <c r="F31" s="460"/>
      <c r="G31" s="456"/>
      <c r="H31" s="456"/>
      <c r="I31" s="456"/>
      <c r="J31" s="456"/>
      <c r="K31" s="456"/>
      <c r="L31" s="456"/>
      <c r="M31" s="456"/>
      <c r="N31" s="456"/>
      <c r="O31" s="456"/>
      <c r="P31" s="456"/>
      <c r="Q31" s="456"/>
      <c r="R31" s="456"/>
      <c r="T31" s="456"/>
      <c r="V31" s="361"/>
      <c r="W31" s="361"/>
      <c r="X31" s="361"/>
    </row>
    <row r="32" spans="1:24">
      <c r="A32" s="382"/>
      <c r="B32" s="407" t="s">
        <v>465</v>
      </c>
      <c r="C32" s="653">
        <f>SUM(G32:R32)</f>
        <v>78750878.235410973</v>
      </c>
      <c r="D32" s="654">
        <f>'G-3 COST OF SERVICE'!J27</f>
        <v>39578683</v>
      </c>
      <c r="E32" s="654">
        <f>'G-3 COST OF SERVICE'!K27</f>
        <v>0</v>
      </c>
      <c r="F32" s="654">
        <f>'G-3 COST OF SERVICE'!L27</f>
        <v>39172195</v>
      </c>
      <c r="G32" s="456">
        <f t="shared" ref="G32:R32" si="5">+G10+G11+G26+G28</f>
        <v>0</v>
      </c>
      <c r="H32" s="456">
        <f t="shared" si="5"/>
        <v>36293456.447556466</v>
      </c>
      <c r="I32" s="456">
        <f t="shared" si="5"/>
        <v>2573007.6931318664</v>
      </c>
      <c r="J32" s="456">
        <f t="shared" si="5"/>
        <v>712218.96974080021</v>
      </c>
      <c r="K32" s="456">
        <f t="shared" si="5"/>
        <v>0</v>
      </c>
      <c r="L32" s="456">
        <f t="shared" si="5"/>
        <v>0</v>
      </c>
      <c r="M32" s="456">
        <f t="shared" si="5"/>
        <v>27335467.88668979</v>
      </c>
      <c r="N32" s="456">
        <f t="shared" si="5"/>
        <v>10636739.019675504</v>
      </c>
      <c r="O32" s="456">
        <f t="shared" si="5"/>
        <v>1199988.2186165506</v>
      </c>
      <c r="P32" s="456">
        <f t="shared" si="5"/>
        <v>0</v>
      </c>
      <c r="Q32" s="456">
        <f t="shared" si="5"/>
        <v>0</v>
      </c>
      <c r="R32" s="456">
        <f t="shared" si="5"/>
        <v>0</v>
      </c>
      <c r="T32" s="456"/>
      <c r="U32" s="52">
        <f>C32-SUM(D32:F32)</f>
        <v>0.23541097342967987</v>
      </c>
      <c r="V32" s="361">
        <f>'G-3 COST OF SERVICE'!J27-SUM('Functionalization SMALL'!G32:J32)</f>
        <v>-0.11042913049459457</v>
      </c>
      <c r="W32" s="361">
        <f>'G-3 COST OF SERVICE'!K27-SUM('Functionalization SMALL'!K32:L32)</f>
        <v>0</v>
      </c>
      <c r="X32" s="361">
        <f>'G-3 COST OF SERVICE'!L27-SUM('Functionalization SMALL'!M32:R32)</f>
        <v>-0.1249818429350853</v>
      </c>
    </row>
    <row r="33" spans="1:24">
      <c r="A33" s="382"/>
      <c r="B33" s="407"/>
      <c r="C33" s="460"/>
      <c r="D33" s="460"/>
      <c r="E33" s="460"/>
      <c r="F33" s="460"/>
      <c r="G33" s="456"/>
      <c r="H33" s="456"/>
      <c r="I33" s="456"/>
      <c r="J33" s="456"/>
      <c r="K33" s="456"/>
      <c r="L33" s="456"/>
      <c r="M33" s="456"/>
      <c r="N33" s="456"/>
      <c r="O33" s="456"/>
      <c r="P33" s="456"/>
      <c r="Q33" s="456"/>
      <c r="R33" s="456"/>
      <c r="T33" s="456"/>
      <c r="V33" s="361"/>
      <c r="W33" s="361"/>
      <c r="X33" s="361"/>
    </row>
    <row r="34" spans="1:24">
      <c r="A34" s="382"/>
      <c r="B34" s="790" t="s">
        <v>105</v>
      </c>
      <c r="C34" s="790"/>
      <c r="D34" s="406"/>
      <c r="E34" s="406"/>
      <c r="F34" s="406"/>
      <c r="G34" s="456"/>
      <c r="H34" s="456"/>
      <c r="I34" s="456"/>
      <c r="J34" s="456"/>
      <c r="K34" s="456"/>
      <c r="L34" s="456"/>
      <c r="M34" s="456"/>
      <c r="N34" s="456"/>
      <c r="O34" s="456"/>
      <c r="P34" s="456"/>
      <c r="Q34" s="456"/>
      <c r="R34" s="456"/>
      <c r="T34" s="456"/>
      <c r="V34" s="361"/>
      <c r="W34" s="361"/>
      <c r="X34" s="361"/>
    </row>
    <row r="35" spans="1:24">
      <c r="A35" s="390" t="s">
        <v>74</v>
      </c>
      <c r="B35" s="379" t="s">
        <v>255</v>
      </c>
      <c r="C35" s="654">
        <f>SUM(G35:R35)</f>
        <v>50305.941107100203</v>
      </c>
      <c r="D35" s="654">
        <f>'G-3 COST OF SERVICE'!J31</f>
        <v>25282.802506633383</v>
      </c>
      <c r="E35" s="654">
        <f>'G-3 COST OF SERVICE'!K31</f>
        <v>0</v>
      </c>
      <c r="F35" s="654">
        <f>'G-3 COST OF SERVICE'!L31</f>
        <v>25023.138600466817</v>
      </c>
      <c r="G35" s="456">
        <f>IF(SUM('Function Allocators'!$D54:$G54)=0,0,($D35*'Function Allocators'!D54/SUM('Function Allocators'!$D$54:$G$54)))</f>
        <v>0</v>
      </c>
      <c r="H35" s="456">
        <f>IF(SUM('Function Allocators'!$D54:$G54)=0,0,($D35*'Function Allocators'!E54/SUM('Function Allocators'!$D$54:$G$54)))</f>
        <v>23184.204716626333</v>
      </c>
      <c r="I35" s="456">
        <f>IF(SUM('Function Allocators'!$D54:$G54)=0,0,($D35*'Function Allocators'!F54/SUM('Function Allocators'!$D$54:$G$54)))</f>
        <v>1643.6333965937251</v>
      </c>
      <c r="J35" s="456">
        <f>IF(SUM('Function Allocators'!$D54:$G54)=0,0,($D35*'Function Allocators'!G54/SUM('Function Allocators'!$D$54:$G$54)))</f>
        <v>454.96439341332371</v>
      </c>
      <c r="K35" s="456">
        <f>IF(SUM('Function Allocators'!$H54:$I54)=0,0,($E35*'Function Allocators'!H54/SUM('Function Allocators'!$H54:$I54)))</f>
        <v>0</v>
      </c>
      <c r="L35" s="456">
        <f>IF(SUM('Function Allocators'!$H54:$I54)=0,0,($E35*'Function Allocators'!I54/SUM('Function Allocators'!$H54:$I54)))</f>
        <v>0</v>
      </c>
      <c r="M35" s="456">
        <f>IF(SUM('Function Allocators'!$J54:$O54)=0,0,($F35*'Function Allocators'!J54/SUM('Function Allocators'!$J54:$O54)))</f>
        <v>20284.595072981861</v>
      </c>
      <c r="N35" s="456">
        <f>IF(SUM('Function Allocators'!$J54:$O54)=0,0,($F35*'Function Allocators'!K54/SUM('Function Allocators'!$J54:$O54)))</f>
        <v>3905.5931283355317</v>
      </c>
      <c r="O35" s="456">
        <f>IF(SUM('Function Allocators'!$J54:$O54)=0,0,($F35*'Function Allocators'!L54/SUM('Function Allocators'!$J54:$O54)))</f>
        <v>832.95039914942606</v>
      </c>
      <c r="P35" s="456">
        <f>IF(SUM('Function Allocators'!$J54:$O54)=0,0,($F35*'Function Allocators'!M54/SUM('Function Allocators'!$J54:$O54)))</f>
        <v>0</v>
      </c>
      <c r="Q35" s="456">
        <f>IF(SUM('Function Allocators'!$J54:$O54)=0,0,($F35*'Function Allocators'!N54/SUM('Function Allocators'!$J54:$O54)))</f>
        <v>0</v>
      </c>
      <c r="R35" s="456">
        <f>IF(SUM('Function Allocators'!$J54:$O54)=0,0,($F35*'Function Allocators'!O54/SUM('Function Allocators'!$J54:$O54)))</f>
        <v>0</v>
      </c>
      <c r="T35" s="456"/>
      <c r="U35" s="52">
        <f>C35-SUM(D35:F35)</f>
        <v>0</v>
      </c>
      <c r="V35" s="361">
        <f>'G-3 COST OF SERVICE'!J31-SUM('Functionalization SMALL'!G35:J35)</f>
        <v>0</v>
      </c>
      <c r="W35" s="361">
        <f>'G-3 COST OF SERVICE'!K31-SUM('Functionalization SMALL'!K35:L35)</f>
        <v>0</v>
      </c>
      <c r="X35" s="361">
        <f>'G-3 COST OF SERVICE'!L31-SUM('Functionalization SMALL'!M35:R35)</f>
        <v>0</v>
      </c>
    </row>
    <row r="36" spans="1:24">
      <c r="A36" s="390" t="s">
        <v>77</v>
      </c>
      <c r="B36" s="379" t="s">
        <v>258</v>
      </c>
      <c r="C36" s="654">
        <f>SUM(G36:R36)</f>
        <v>2282857.5311427987</v>
      </c>
      <c r="D36" s="654">
        <f>'G-3 COST OF SERVICE'!J33</f>
        <v>2282857.5311427987</v>
      </c>
      <c r="E36" s="654">
        <f>'G-3 COST OF SERVICE'!K33</f>
        <v>0</v>
      </c>
      <c r="F36" s="654">
        <f>'G-3 COST OF SERVICE'!L33</f>
        <v>0</v>
      </c>
      <c r="G36" s="456">
        <f>IF(SUM('Function Allocators'!$D59:$G59)=0,0,($D36*'Function Allocators'!D59/SUM('Function Allocators'!$D$59:$G$59)))</f>
        <v>0</v>
      </c>
      <c r="H36" s="456">
        <f>IF(SUM('Function Allocators'!$D59:$G59)=0,0,($D36*'Function Allocators'!E59/SUM('Function Allocators'!$D$59:$G$59)))</f>
        <v>2282857.5311427987</v>
      </c>
      <c r="I36" s="456">
        <f>IF(SUM('Function Allocators'!$D59:$G59)=0,0,($D36*'Function Allocators'!F59/SUM('Function Allocators'!$D$59:$G$59)))</f>
        <v>0</v>
      </c>
      <c r="J36" s="456">
        <f>IF(SUM('Function Allocators'!$D59:$G59)=0,0,($D36*'Function Allocators'!G59/SUM('Function Allocators'!$D$59:$G$59)))</f>
        <v>0</v>
      </c>
      <c r="K36" s="456">
        <f>IF(SUM('Function Allocators'!$H59:$I59)=0,0,($E36*'Function Allocators'!H59/SUM('Function Allocators'!$H59:$I59)))</f>
        <v>0</v>
      </c>
      <c r="L36" s="456">
        <f>IF(SUM('Function Allocators'!$H59:$I59)=0,0,($E36*'Function Allocators'!I59/SUM('Function Allocators'!$H59:$I59)))</f>
        <v>0</v>
      </c>
      <c r="M36" s="456">
        <f>IF(SUM('Function Allocators'!$J59:$O59)=0,0,($F36*'Function Allocators'!J59/SUM('Function Allocators'!$J59:$O59)))</f>
        <v>0</v>
      </c>
      <c r="N36" s="456">
        <f>IF(SUM('Function Allocators'!$J59:$O59)=0,0,($F36*'Function Allocators'!K59/SUM('Function Allocators'!$J59:$O59)))</f>
        <v>0</v>
      </c>
      <c r="O36" s="456">
        <f>IF(SUM('Function Allocators'!$J59:$O59)=0,0,($F36*'Function Allocators'!L59/SUM('Function Allocators'!$J59:$O59)))</f>
        <v>0</v>
      </c>
      <c r="P36" s="456">
        <f>IF(SUM('Function Allocators'!$J59:$O59)=0,0,($F36*'Function Allocators'!M59/SUM('Function Allocators'!$J59:$O59)))</f>
        <v>0</v>
      </c>
      <c r="Q36" s="456">
        <f>IF(SUM('Function Allocators'!$J59:$O59)=0,0,($F36*'Function Allocators'!N59/SUM('Function Allocators'!$J59:$O59)))</f>
        <v>0</v>
      </c>
      <c r="R36" s="456">
        <f>IF(SUM('Function Allocators'!$J59:$O59)=0,0,($F36*'Function Allocators'!O59/SUM('Function Allocators'!$J59:$O59)))</f>
        <v>0</v>
      </c>
      <c r="T36" s="456"/>
      <c r="U36" s="52">
        <f>C36-SUM(D36:F36)</f>
        <v>0</v>
      </c>
      <c r="V36" s="361">
        <f>'G-3 COST OF SERVICE'!J33-SUM('Functionalization SMALL'!G36:J36)</f>
        <v>0</v>
      </c>
      <c r="W36" s="361">
        <f>'G-3 COST OF SERVICE'!K33-SUM('Functionalization SMALL'!K36:L36)</f>
        <v>0</v>
      </c>
      <c r="X36" s="361">
        <f>'G-3 COST OF SERVICE'!L33-SUM('Functionalization SMALL'!M36:R36)</f>
        <v>0</v>
      </c>
    </row>
    <row r="37" spans="1:24">
      <c r="A37" s="440"/>
      <c r="C37" s="641"/>
      <c r="D37" s="641" t="s">
        <v>466</v>
      </c>
      <c r="E37" s="641"/>
      <c r="F37" s="641"/>
      <c r="G37" s="654"/>
      <c r="H37" s="653"/>
      <c r="I37" s="653"/>
      <c r="J37" s="653"/>
      <c r="K37" s="653"/>
      <c r="L37" s="653"/>
      <c r="M37" s="653"/>
      <c r="N37" s="653"/>
      <c r="O37" s="653"/>
      <c r="P37" s="653"/>
      <c r="Q37" s="653"/>
      <c r="R37" s="653"/>
      <c r="T37" s="456"/>
      <c r="V37" s="361"/>
      <c r="W37" s="361"/>
      <c r="X37" s="361"/>
    </row>
    <row r="38" spans="1:24">
      <c r="A38" s="374"/>
      <c r="B38" s="377" t="s">
        <v>260</v>
      </c>
      <c r="C38" s="640"/>
      <c r="D38" s="640"/>
      <c r="E38" s="640"/>
      <c r="F38" s="640"/>
      <c r="G38" s="654"/>
      <c r="H38" s="653"/>
      <c r="I38" s="653"/>
      <c r="J38" s="653"/>
      <c r="K38" s="653"/>
      <c r="L38" s="653"/>
      <c r="M38" s="653"/>
      <c r="N38" s="653"/>
      <c r="O38" s="653"/>
      <c r="P38" s="653"/>
      <c r="Q38" s="653"/>
      <c r="R38" s="653"/>
      <c r="T38" s="456"/>
      <c r="V38" s="361"/>
      <c r="W38" s="361"/>
      <c r="X38" s="361"/>
    </row>
    <row r="39" spans="1:24">
      <c r="A39" s="386">
        <v>374.1</v>
      </c>
      <c r="B39" s="379" t="s">
        <v>81</v>
      </c>
      <c r="C39" s="653">
        <f t="shared" ref="C39:C50" si="6">SUM(G39:R39)</f>
        <v>-21754.140124443111</v>
      </c>
      <c r="D39" s="653">
        <f>'G-3 COST OF SERVICE'!J36</f>
        <v>-21754.140124443111</v>
      </c>
      <c r="E39" s="653">
        <f>'G-3 COST OF SERVICE'!K36</f>
        <v>0</v>
      </c>
      <c r="F39" s="653">
        <f>'G-3 COST OF SERVICE'!L36</f>
        <v>0</v>
      </c>
      <c r="G39" s="654">
        <f>IF(SUM('Function Allocators'!$D67:$G67)=0,0,($D39*'Function Allocators'!D67/SUM('Function Allocators'!$D67:$G67)))</f>
        <v>0</v>
      </c>
      <c r="H39" s="654">
        <f>IF(SUM('Function Allocators'!$D67:$G67)=0,0,($D39*'Function Allocators'!E67/SUM('Function Allocators'!$D67:$G67)))</f>
        <v>0</v>
      </c>
      <c r="I39" s="654">
        <f>IF(SUM('Function Allocators'!$D67:$G67)=0,0,($D39*'Function Allocators'!F67/SUM('Function Allocators'!$D67:$G67)))</f>
        <v>0</v>
      </c>
      <c r="J39" s="654">
        <f>IF(SUM('Function Allocators'!$D67:$G67)=0,0,($D39*'Function Allocators'!G67/SUM('Function Allocators'!$D67:$G67)))</f>
        <v>-21754.140124443111</v>
      </c>
      <c r="K39" s="653">
        <f>IF(SUM('Function Allocators'!$H67:$I67)=0,0,($E39*'Function Allocators'!H67/SUM('Function Allocators'!$H67:$I67)))</f>
        <v>0</v>
      </c>
      <c r="L39" s="653">
        <f>IF(SUM('Function Allocators'!$H67:$I67)=0,0,($E39*'Function Allocators'!I67/SUM('Function Allocators'!$H67:$I67)))</f>
        <v>0</v>
      </c>
      <c r="M39" s="653">
        <f>IF(SUM('Function Allocators'!$J67:$O67)=0,0,($F39*'Function Allocators'!J67/SUM('Function Allocators'!$J67:$O67)))</f>
        <v>0</v>
      </c>
      <c r="N39" s="653">
        <f>IF(SUM('Function Allocators'!$J67:$O67)=0,0,($F39*'Function Allocators'!K67/SUM('Function Allocators'!$J67:$O67)))</f>
        <v>0</v>
      </c>
      <c r="O39" s="653">
        <f>IF(SUM('Function Allocators'!$J67:$O67)=0,0,($F39*'Function Allocators'!L67/SUM('Function Allocators'!$J67:$O67)))</f>
        <v>0</v>
      </c>
      <c r="P39" s="653">
        <f>IF(SUM('Function Allocators'!$J67:$O67)=0,0,($F39*'Function Allocators'!M67/SUM('Function Allocators'!$J67:$O67)))</f>
        <v>0</v>
      </c>
      <c r="Q39" s="653">
        <f>IF(SUM('Function Allocators'!$J67:$O67)=0,0,($F39*'Function Allocators'!N67/SUM('Function Allocators'!$J67:$O67)))</f>
        <v>0</v>
      </c>
      <c r="R39" s="653">
        <f>IF(SUM('Function Allocators'!$J67:$O67)=0,0,($F39*'Function Allocators'!O67/SUM('Function Allocators'!$J67:$O67)))</f>
        <v>0</v>
      </c>
      <c r="T39" s="360" t="s">
        <v>428</v>
      </c>
      <c r="U39" s="52">
        <f t="shared" ref="U39:U51" si="7">C39-SUM(D39:F39)</f>
        <v>0</v>
      </c>
      <c r="V39" s="361">
        <f>'G-3 COST OF SERVICE'!J36-SUM('Functionalization SMALL'!G39:J39)</f>
        <v>0</v>
      </c>
      <c r="W39" s="361">
        <f>'G-3 COST OF SERVICE'!K36-SUM('Functionalization SMALL'!K39:L39)</f>
        <v>0</v>
      </c>
      <c r="X39" s="361">
        <f>'G-3 COST OF SERVICE'!L36-SUM('Functionalization SMALL'!M39:R39)</f>
        <v>0</v>
      </c>
    </row>
    <row r="40" spans="1:24">
      <c r="A40" s="386">
        <f>+A39+1</f>
        <v>375.1</v>
      </c>
      <c r="B40" s="379" t="s">
        <v>82</v>
      </c>
      <c r="C40" s="653">
        <f t="shared" si="6"/>
        <v>5324.0574798391262</v>
      </c>
      <c r="D40" s="653">
        <f>'G-3 COST OF SERVICE'!J37</f>
        <v>5324.0574798391262</v>
      </c>
      <c r="E40" s="653">
        <f>'G-3 COST OF SERVICE'!K37</f>
        <v>0</v>
      </c>
      <c r="F40" s="653">
        <f>'G-3 COST OF SERVICE'!L37</f>
        <v>0</v>
      </c>
      <c r="G40" s="654">
        <f>IF(SUM('Function Allocators'!$D68:$G68)=0,0,($D40*'Function Allocators'!D68/SUM('Function Allocators'!$D68:$G68)))</f>
        <v>0</v>
      </c>
      <c r="H40" s="654">
        <f>IF(SUM('Function Allocators'!$D68:$G68)=0,0,($D40*'Function Allocators'!E68/SUM('Function Allocators'!$D68:$G68)))</f>
        <v>0</v>
      </c>
      <c r="I40" s="654">
        <f>IF(SUM('Function Allocators'!$D68:$G68)=0,0,($D40*'Function Allocators'!F68/SUM('Function Allocators'!$D68:$G68)))</f>
        <v>0</v>
      </c>
      <c r="J40" s="654">
        <f>IF(SUM('Function Allocators'!$D68:$G68)=0,0,($D40*'Function Allocators'!G68/SUM('Function Allocators'!$D68:$G68)))</f>
        <v>5324.0574798391262</v>
      </c>
      <c r="K40" s="653">
        <f>IF(SUM('Function Allocators'!$H68:$I68)=0,0,($E40*'Function Allocators'!H68/SUM('Function Allocators'!$H68:$I68)))</f>
        <v>0</v>
      </c>
      <c r="L40" s="653">
        <f>IF(SUM('Function Allocators'!$H68:$I68)=0,0,($E40*'Function Allocators'!I68/SUM('Function Allocators'!$H68:$I68)))</f>
        <v>0</v>
      </c>
      <c r="M40" s="653">
        <f>IF(SUM('Function Allocators'!$J68:$O68)=0,0,($F40*'Function Allocators'!J68/SUM('Function Allocators'!$J68:$O68)))</f>
        <v>0</v>
      </c>
      <c r="N40" s="653">
        <f>IF(SUM('Function Allocators'!$J68:$O68)=0,0,($F40*'Function Allocators'!K68/SUM('Function Allocators'!$J68:$O68)))</f>
        <v>0</v>
      </c>
      <c r="O40" s="653">
        <f>IF(SUM('Function Allocators'!$J68:$O68)=0,0,($F40*'Function Allocators'!L68/SUM('Function Allocators'!$J68:$O68)))</f>
        <v>0</v>
      </c>
      <c r="P40" s="653">
        <f>IF(SUM('Function Allocators'!$J68:$O68)=0,0,($F40*'Function Allocators'!M68/SUM('Function Allocators'!$J68:$O68)))</f>
        <v>0</v>
      </c>
      <c r="Q40" s="653">
        <f>IF(SUM('Function Allocators'!$J68:$O68)=0,0,($F40*'Function Allocators'!N68/SUM('Function Allocators'!$J68:$O68)))</f>
        <v>0</v>
      </c>
      <c r="R40" s="653">
        <f>IF(SUM('Function Allocators'!$J68:$O68)=0,0,($F40*'Function Allocators'!O68/SUM('Function Allocators'!$J68:$O68)))</f>
        <v>0</v>
      </c>
      <c r="T40" s="360" t="s">
        <v>428</v>
      </c>
      <c r="U40" s="52">
        <f t="shared" si="7"/>
        <v>0</v>
      </c>
      <c r="V40" s="361">
        <f>'G-3 COST OF SERVICE'!J37-SUM('Functionalization SMALL'!G40:J40)</f>
        <v>0</v>
      </c>
      <c r="W40" s="361">
        <f>'G-3 COST OF SERVICE'!K37-SUM('Functionalization SMALL'!K40:L40)</f>
        <v>0</v>
      </c>
      <c r="X40" s="361">
        <f>'G-3 COST OF SERVICE'!L37-SUM('Functionalization SMALL'!M40:R40)</f>
        <v>0</v>
      </c>
    </row>
    <row r="41" spans="1:24">
      <c r="A41" s="386">
        <f>+A40+1</f>
        <v>376.1</v>
      </c>
      <c r="B41" s="379" t="s">
        <v>83</v>
      </c>
      <c r="C41" s="653">
        <f t="shared" si="6"/>
        <v>15711431.406806177</v>
      </c>
      <c r="D41" s="653">
        <f>'G-3 COST OF SERVICE'!J38</f>
        <v>11627100.267731395</v>
      </c>
      <c r="E41" s="653">
        <f>'G-3 COST OF SERVICE'!K38</f>
        <v>0</v>
      </c>
      <c r="F41" s="653">
        <f>'G-3 COST OF SERVICE'!L38</f>
        <v>4084331.1390747828</v>
      </c>
      <c r="G41" s="654">
        <f>IF(SUM('Function Allocators'!$D69:$G69)=0,0,($D41*'Function Allocators'!D69/SUM('Function Allocators'!$D69:$G69)))</f>
        <v>0</v>
      </c>
      <c r="H41" s="654">
        <f>IF(SUM('Function Allocators'!$D69:$G69)=0,0,($D41*'Function Allocators'!E69/SUM('Function Allocators'!$D69:$G69)))</f>
        <v>11627100.267731395</v>
      </c>
      <c r="I41" s="654">
        <f>IF(SUM('Function Allocators'!$D69:$G69)=0,0,($D41*'Function Allocators'!F69/SUM('Function Allocators'!$D69:$G69)))</f>
        <v>0</v>
      </c>
      <c r="J41" s="654">
        <f>IF(SUM('Function Allocators'!$D69:$G69)=0,0,($D41*'Function Allocators'!G69/SUM('Function Allocators'!$D69:$G69)))</f>
        <v>0</v>
      </c>
      <c r="K41" s="653">
        <f>IF(SUM('Function Allocators'!$H69:$I69)=0,0,($E41*'Function Allocators'!H69/SUM('Function Allocators'!$H69:$I69)))</f>
        <v>0</v>
      </c>
      <c r="L41" s="653">
        <f>IF(SUM('Function Allocators'!$H69:$I69)=0,0,($E41*'Function Allocators'!I69/SUM('Function Allocators'!$H69:$I69)))</f>
        <v>0</v>
      </c>
      <c r="M41" s="653">
        <f>IF(SUM('Function Allocators'!$J69:$O69)=0,0,($F41*'Function Allocators'!J69/SUM('Function Allocators'!$J69:$O69)))</f>
        <v>4084331.1390747824</v>
      </c>
      <c r="N41" s="653">
        <f>IF(SUM('Function Allocators'!$J69:$O69)=0,0,($F41*'Function Allocators'!K69/SUM('Function Allocators'!$J69:$O69)))</f>
        <v>0</v>
      </c>
      <c r="O41" s="653">
        <f>IF(SUM('Function Allocators'!$J69:$O69)=0,0,($F41*'Function Allocators'!L69/SUM('Function Allocators'!$J69:$O69)))</f>
        <v>0</v>
      </c>
      <c r="P41" s="653">
        <f>IF(SUM('Function Allocators'!$J69:$O69)=0,0,($F41*'Function Allocators'!M69/SUM('Function Allocators'!$J69:$O69)))</f>
        <v>0</v>
      </c>
      <c r="Q41" s="653">
        <f>IF(SUM('Function Allocators'!$J69:$O69)=0,0,($F41*'Function Allocators'!N69/SUM('Function Allocators'!$J69:$O69)))</f>
        <v>0</v>
      </c>
      <c r="R41" s="653">
        <f>IF(SUM('Function Allocators'!$J69:$O69)=0,0,($F41*'Function Allocators'!O69/SUM('Function Allocators'!$J69:$O69)))</f>
        <v>0</v>
      </c>
      <c r="T41" s="456"/>
      <c r="U41" s="52">
        <f t="shared" si="7"/>
        <v>0</v>
      </c>
      <c r="V41" s="361">
        <f>'G-3 COST OF SERVICE'!J38-SUM('Functionalization SMALL'!G41:J41)</f>
        <v>0</v>
      </c>
      <c r="W41" s="361">
        <f>'G-3 COST OF SERVICE'!K38-SUM('Functionalization SMALL'!K41:L41)</f>
        <v>0</v>
      </c>
      <c r="X41" s="361">
        <f>'G-3 COST OF SERVICE'!L38-SUM('Functionalization SMALL'!M41:R41)</f>
        <v>0</v>
      </c>
    </row>
    <row r="42" spans="1:24">
      <c r="A42" s="386">
        <v>378</v>
      </c>
      <c r="B42" s="379" t="s">
        <v>84</v>
      </c>
      <c r="C42" s="653">
        <f t="shared" si="6"/>
        <v>538139.62010577356</v>
      </c>
      <c r="D42" s="653">
        <f>'G-3 COST OF SERVICE'!J39</f>
        <v>538139.62010577356</v>
      </c>
      <c r="E42" s="653">
        <f>'G-3 COST OF SERVICE'!K39</f>
        <v>0</v>
      </c>
      <c r="F42" s="653">
        <f>'G-3 COST OF SERVICE'!L39</f>
        <v>0</v>
      </c>
      <c r="G42" s="654">
        <f>IF(SUM('Function Allocators'!$D70:$G70)=0,0,($D42*'Function Allocators'!D70/SUM('Function Allocators'!$D70:$G70)))</f>
        <v>0</v>
      </c>
      <c r="H42" s="654">
        <f>IF(SUM('Function Allocators'!$D70:$G70)=0,0,($D42*'Function Allocators'!E70/SUM('Function Allocators'!$D70:$G70)))</f>
        <v>0</v>
      </c>
      <c r="I42" s="654">
        <f>IF(SUM('Function Allocators'!$D70:$G70)=0,0,($D42*'Function Allocators'!F70/SUM('Function Allocators'!$D70:$G70)))</f>
        <v>538139.62010577356</v>
      </c>
      <c r="J42" s="654">
        <f>IF(SUM('Function Allocators'!$D70:$G70)=0,0,($D42*'Function Allocators'!G70/SUM('Function Allocators'!$D70:$G70)))</f>
        <v>0</v>
      </c>
      <c r="K42" s="653">
        <f>IF(SUM('Function Allocators'!$H70:$I70)=0,0,($E42*'Function Allocators'!H70/SUM('Function Allocators'!$H70:$I70)))</f>
        <v>0</v>
      </c>
      <c r="L42" s="653">
        <f>IF(SUM('Function Allocators'!$H70:$I70)=0,0,($E42*'Function Allocators'!I70/SUM('Function Allocators'!$H70:$I70)))</f>
        <v>0</v>
      </c>
      <c r="M42" s="653">
        <f>IF(SUM('Function Allocators'!$J70:$O70)=0,0,($F42*'Function Allocators'!J70/SUM('Function Allocators'!$J70:$O70)))</f>
        <v>0</v>
      </c>
      <c r="N42" s="653">
        <f>IF(SUM('Function Allocators'!$J70:$O70)=0,0,($F42*'Function Allocators'!K70/SUM('Function Allocators'!$J70:$O70)))</f>
        <v>0</v>
      </c>
      <c r="O42" s="653">
        <f>IF(SUM('Function Allocators'!$J70:$O70)=0,0,($F42*'Function Allocators'!L70/SUM('Function Allocators'!$J70:$O70)))</f>
        <v>0</v>
      </c>
      <c r="P42" s="653">
        <f>IF(SUM('Function Allocators'!$J70:$O70)=0,0,($F42*'Function Allocators'!M70/SUM('Function Allocators'!$J70:$O70)))</f>
        <v>0</v>
      </c>
      <c r="Q42" s="653">
        <f>IF(SUM('Function Allocators'!$J70:$O70)=0,0,($F42*'Function Allocators'!N70/SUM('Function Allocators'!$J70:$O70)))</f>
        <v>0</v>
      </c>
      <c r="R42" s="653">
        <f>IF(SUM('Function Allocators'!$J70:$O70)=0,0,($F42*'Function Allocators'!O70/SUM('Function Allocators'!$J70:$O70)))</f>
        <v>0</v>
      </c>
      <c r="T42" s="456"/>
      <c r="U42" s="52">
        <f t="shared" si="7"/>
        <v>0</v>
      </c>
      <c r="V42" s="361">
        <f>'G-3 COST OF SERVICE'!J39-SUM('Functionalization SMALL'!G42:J42)</f>
        <v>0</v>
      </c>
      <c r="W42" s="361">
        <f>'G-3 COST OF SERVICE'!K39-SUM('Functionalization SMALL'!K42:L42)</f>
        <v>0</v>
      </c>
      <c r="X42" s="361">
        <f>'G-3 COST OF SERVICE'!L39-SUM('Functionalization SMALL'!M42:R42)</f>
        <v>0</v>
      </c>
    </row>
    <row r="43" spans="1:24">
      <c r="A43" s="386">
        <f t="shared" ref="A43:A48" si="8">+A42+1</f>
        <v>379</v>
      </c>
      <c r="B43" s="379" t="s">
        <v>85</v>
      </c>
      <c r="C43" s="653">
        <f t="shared" si="6"/>
        <v>353660.85586031323</v>
      </c>
      <c r="D43" s="653">
        <f>'G-3 COST OF SERVICE'!J40</f>
        <v>353660.85586031323</v>
      </c>
      <c r="E43" s="653">
        <f>'G-3 COST OF SERVICE'!K40</f>
        <v>0</v>
      </c>
      <c r="F43" s="653">
        <f>'G-3 COST OF SERVICE'!L40</f>
        <v>0</v>
      </c>
      <c r="G43" s="654">
        <f>IF(SUM('Function Allocators'!$D71:$G71)=0,0,($D43*'Function Allocators'!D71/SUM('Function Allocators'!$D71:$G71)))</f>
        <v>0</v>
      </c>
      <c r="H43" s="654">
        <f>IF(SUM('Function Allocators'!$D71:$G71)=0,0,($D43*'Function Allocators'!E71/SUM('Function Allocators'!$D71:$G71)))</f>
        <v>0</v>
      </c>
      <c r="I43" s="654">
        <f>IF(SUM('Function Allocators'!$D71:$G71)=0,0,($D43*'Function Allocators'!F71/SUM('Function Allocators'!$D71:$G71)))</f>
        <v>353660.85586031323</v>
      </c>
      <c r="J43" s="654">
        <f>IF(SUM('Function Allocators'!$D71:$G71)=0,0,($D43*'Function Allocators'!G71/SUM('Function Allocators'!$D71:$G71)))</f>
        <v>0</v>
      </c>
      <c r="K43" s="653">
        <f>IF(SUM('Function Allocators'!$H71:$I71)=0,0,($E43*'Function Allocators'!H71/SUM('Function Allocators'!$H71:$I71)))</f>
        <v>0</v>
      </c>
      <c r="L43" s="653">
        <f>IF(SUM('Function Allocators'!$H71:$I71)=0,0,($E43*'Function Allocators'!I71/SUM('Function Allocators'!$H71:$I71)))</f>
        <v>0</v>
      </c>
      <c r="M43" s="653">
        <f>IF(SUM('Function Allocators'!$J71:$O71)=0,0,($F43*'Function Allocators'!J71/SUM('Function Allocators'!$J71:$O71)))</f>
        <v>0</v>
      </c>
      <c r="N43" s="653">
        <f>IF(SUM('Function Allocators'!$J71:$O71)=0,0,($F43*'Function Allocators'!K71/SUM('Function Allocators'!$J71:$O71)))</f>
        <v>0</v>
      </c>
      <c r="O43" s="653">
        <f>IF(SUM('Function Allocators'!$J71:$O71)=0,0,($F43*'Function Allocators'!L71/SUM('Function Allocators'!$J71:$O71)))</f>
        <v>0</v>
      </c>
      <c r="P43" s="653">
        <f>IF(SUM('Function Allocators'!$J71:$O71)=0,0,($F43*'Function Allocators'!M71/SUM('Function Allocators'!$J71:$O71)))</f>
        <v>0</v>
      </c>
      <c r="Q43" s="653">
        <f>IF(SUM('Function Allocators'!$J71:$O71)=0,0,($F43*'Function Allocators'!N71/SUM('Function Allocators'!$J71:$O71)))</f>
        <v>0</v>
      </c>
      <c r="R43" s="653">
        <f>IF(SUM('Function Allocators'!$J71:$O71)=0,0,($F43*'Function Allocators'!O71/SUM('Function Allocators'!$J71:$O71)))</f>
        <v>0</v>
      </c>
      <c r="T43" s="456"/>
      <c r="U43" s="52">
        <f t="shared" si="7"/>
        <v>0</v>
      </c>
      <c r="V43" s="361">
        <f>'G-3 COST OF SERVICE'!J40-SUM('Functionalization SMALL'!G43:J43)</f>
        <v>0</v>
      </c>
      <c r="W43" s="361">
        <f>'G-3 COST OF SERVICE'!K40-SUM('Functionalization SMALL'!K43:L43)</f>
        <v>0</v>
      </c>
      <c r="X43" s="361">
        <f>'G-3 COST OF SERVICE'!L40-SUM('Functionalization SMALL'!M43:R43)</f>
        <v>0</v>
      </c>
    </row>
    <row r="44" spans="1:24">
      <c r="A44" s="386">
        <f t="shared" si="8"/>
        <v>380</v>
      </c>
      <c r="B44" s="379" t="s">
        <v>86</v>
      </c>
      <c r="C44" s="653">
        <f t="shared" si="6"/>
        <v>5763887.2705524722</v>
      </c>
      <c r="D44" s="653">
        <f>'G-3 COST OF SERVICE'!J41</f>
        <v>0</v>
      </c>
      <c r="E44" s="653">
        <f>'G-3 COST OF SERVICE'!K41</f>
        <v>0</v>
      </c>
      <c r="F44" s="653">
        <f>'G-3 COST OF SERVICE'!L41</f>
        <v>5763887.2705524722</v>
      </c>
      <c r="G44" s="654">
        <f>IF(SUM('Function Allocators'!$D72:$G72)=0,0,($D44*'Function Allocators'!D72/SUM('Function Allocators'!$D72:$G72)))</f>
        <v>0</v>
      </c>
      <c r="H44" s="654">
        <f>IF(SUM('Function Allocators'!$D72:$G72)=0,0,($D44*'Function Allocators'!E72/SUM('Function Allocators'!$D72:$G72)))</f>
        <v>0</v>
      </c>
      <c r="I44" s="654">
        <f>IF(SUM('Function Allocators'!$D72:$G72)=0,0,($D44*'Function Allocators'!F72/SUM('Function Allocators'!$D72:$G72)))</f>
        <v>0</v>
      </c>
      <c r="J44" s="654">
        <f>IF(SUM('Function Allocators'!$D72:$G72)=0,0,($D44*'Function Allocators'!G72/SUM('Function Allocators'!$D72:$G72)))</f>
        <v>0</v>
      </c>
      <c r="K44" s="653">
        <f>IF(SUM('Function Allocators'!$H72:$I72)=0,0,($E44*'Function Allocators'!H72/SUM('Function Allocators'!$H72:$I72)))</f>
        <v>0</v>
      </c>
      <c r="L44" s="653">
        <f>IF(SUM('Function Allocators'!$H72:$I72)=0,0,($E44*'Function Allocators'!I72/SUM('Function Allocators'!$H72:$I72)))</f>
        <v>0</v>
      </c>
      <c r="M44" s="653">
        <f>IF(SUM('Function Allocators'!$J72:$O72)=0,0,($F44*'Function Allocators'!J72/SUM('Function Allocators'!$J72:$O72)))</f>
        <v>5763887.2705524722</v>
      </c>
      <c r="N44" s="653">
        <f>IF(SUM('Function Allocators'!$J72:$O72)=0,0,($F44*'Function Allocators'!K72/SUM('Function Allocators'!$J72:$O72)))</f>
        <v>0</v>
      </c>
      <c r="O44" s="653">
        <f>IF(SUM('Function Allocators'!$J72:$O72)=0,0,($F44*'Function Allocators'!L72/SUM('Function Allocators'!$J72:$O72)))</f>
        <v>0</v>
      </c>
      <c r="P44" s="653">
        <f>IF(SUM('Function Allocators'!$J72:$O72)=0,0,($F44*'Function Allocators'!M72/SUM('Function Allocators'!$J72:$O72)))</f>
        <v>0</v>
      </c>
      <c r="Q44" s="653">
        <f>IF(SUM('Function Allocators'!$J72:$O72)=0,0,($F44*'Function Allocators'!N72/SUM('Function Allocators'!$J72:$O72)))</f>
        <v>0</v>
      </c>
      <c r="R44" s="653">
        <f>IF(SUM('Function Allocators'!$J72:$O72)=0,0,($F44*'Function Allocators'!O72/SUM('Function Allocators'!$J72:$O72)))</f>
        <v>0</v>
      </c>
      <c r="T44" s="456"/>
      <c r="U44" s="52">
        <f t="shared" si="7"/>
        <v>0</v>
      </c>
      <c r="V44" s="361">
        <f>'G-3 COST OF SERVICE'!J41-SUM('Functionalization SMALL'!G44:J44)</f>
        <v>0</v>
      </c>
      <c r="W44" s="361">
        <f>'G-3 COST OF SERVICE'!K41-SUM('Functionalization SMALL'!K44:L44)</f>
        <v>0</v>
      </c>
      <c r="X44" s="361">
        <f>'G-3 COST OF SERVICE'!L41-SUM('Functionalization SMALL'!M44:R44)</f>
        <v>0</v>
      </c>
    </row>
    <row r="45" spans="1:24">
      <c r="A45" s="386">
        <f t="shared" si="8"/>
        <v>381</v>
      </c>
      <c r="B45" s="379" t="s">
        <v>88</v>
      </c>
      <c r="C45" s="653">
        <f t="shared" si="6"/>
        <v>1613482.698755818</v>
      </c>
      <c r="D45" s="653">
        <f>'G-3 COST OF SERVICE'!J42</f>
        <v>0</v>
      </c>
      <c r="E45" s="653">
        <f>'G-3 COST OF SERVICE'!K42</f>
        <v>0</v>
      </c>
      <c r="F45" s="653">
        <f>'G-3 COST OF SERVICE'!L42</f>
        <v>1613482.698755818</v>
      </c>
      <c r="G45" s="654">
        <f>IF(SUM('Function Allocators'!$D73:$G73)=0,0,($D45*'Function Allocators'!D73/SUM('Function Allocators'!$D73:$G73)))</f>
        <v>0</v>
      </c>
      <c r="H45" s="654">
        <f>IF(SUM('Function Allocators'!$D73:$G73)=0,0,($D45*'Function Allocators'!E73/SUM('Function Allocators'!$D73:$G73)))</f>
        <v>0</v>
      </c>
      <c r="I45" s="654">
        <f>IF(SUM('Function Allocators'!$D73:$G73)=0,0,($D45*'Function Allocators'!F73/SUM('Function Allocators'!$D73:$G73)))</f>
        <v>0</v>
      </c>
      <c r="J45" s="654">
        <f>IF(SUM('Function Allocators'!$D73:$G73)=0,0,($D45*'Function Allocators'!G73/SUM('Function Allocators'!$D73:$G73)))</f>
        <v>0</v>
      </c>
      <c r="K45" s="653">
        <f>IF(SUM('Function Allocators'!$H73:$I73)=0,0,($E45*'Function Allocators'!H73/SUM('Function Allocators'!$H73:$I73)))</f>
        <v>0</v>
      </c>
      <c r="L45" s="653">
        <f>IF(SUM('Function Allocators'!$H73:$I73)=0,0,($E45*'Function Allocators'!I73/SUM('Function Allocators'!$H73:$I73)))</f>
        <v>0</v>
      </c>
      <c r="M45" s="653">
        <f>IF(SUM('Function Allocators'!$J73:$O73)=0,0,($F45*'Function Allocators'!J73/SUM('Function Allocators'!$J73:$O73)))</f>
        <v>0</v>
      </c>
      <c r="N45" s="653">
        <f>IF(SUM('Function Allocators'!$J73:$O73)=0,0,($F45*'Function Allocators'!K73/SUM('Function Allocators'!$J73:$O73)))</f>
        <v>1613482.698755818</v>
      </c>
      <c r="O45" s="653">
        <f>IF(SUM('Function Allocators'!$J73:$O73)=0,0,($F45*'Function Allocators'!L73/SUM('Function Allocators'!$J73:$O73)))</f>
        <v>0</v>
      </c>
      <c r="P45" s="653">
        <f>IF(SUM('Function Allocators'!$J73:$O73)=0,0,($F45*'Function Allocators'!M73/SUM('Function Allocators'!$J73:$O73)))</f>
        <v>0</v>
      </c>
      <c r="Q45" s="653">
        <f>IF(SUM('Function Allocators'!$J73:$O73)=0,0,($F45*'Function Allocators'!N73/SUM('Function Allocators'!$J73:$O73)))</f>
        <v>0</v>
      </c>
      <c r="R45" s="653">
        <f>IF(SUM('Function Allocators'!$J73:$O73)=0,0,($F45*'Function Allocators'!O73/SUM('Function Allocators'!$J73:$O73)))</f>
        <v>0</v>
      </c>
      <c r="T45" s="456"/>
      <c r="U45" s="52">
        <f t="shared" si="7"/>
        <v>0</v>
      </c>
      <c r="V45" s="361">
        <f>'G-3 COST OF SERVICE'!J42-SUM('Functionalization SMALL'!G45:J45)</f>
        <v>0</v>
      </c>
      <c r="W45" s="361">
        <f>'G-3 COST OF SERVICE'!K42-SUM('Functionalization SMALL'!K45:L45)</f>
        <v>0</v>
      </c>
      <c r="X45" s="361">
        <f>'G-3 COST OF SERVICE'!L42-SUM('Functionalization SMALL'!M45:R45)</f>
        <v>0</v>
      </c>
    </row>
    <row r="46" spans="1:24">
      <c r="A46" s="386">
        <f t="shared" si="8"/>
        <v>382</v>
      </c>
      <c r="B46" s="379" t="s">
        <v>90</v>
      </c>
      <c r="C46" s="653">
        <f t="shared" si="6"/>
        <v>171577.51487454178</v>
      </c>
      <c r="D46" s="653">
        <f>'G-3 COST OF SERVICE'!J43</f>
        <v>0</v>
      </c>
      <c r="E46" s="653">
        <f>'G-3 COST OF SERVICE'!K43</f>
        <v>0</v>
      </c>
      <c r="F46" s="653">
        <f>'G-3 COST OF SERVICE'!L43</f>
        <v>171577.51487454178</v>
      </c>
      <c r="G46" s="654">
        <f>IF(SUM('Function Allocators'!$D74:$G74)=0,0,($D46*'Function Allocators'!D74/SUM('Function Allocators'!$D74:$G74)))</f>
        <v>0</v>
      </c>
      <c r="H46" s="654">
        <f>IF(SUM('Function Allocators'!$D74:$G74)=0,0,($D46*'Function Allocators'!E74/SUM('Function Allocators'!$D74:$G74)))</f>
        <v>0</v>
      </c>
      <c r="I46" s="654">
        <f>IF(SUM('Function Allocators'!$D74:$G74)=0,0,($D46*'Function Allocators'!F74/SUM('Function Allocators'!$D74:$G74)))</f>
        <v>0</v>
      </c>
      <c r="J46" s="654">
        <f>IF(SUM('Function Allocators'!$D74:$G74)=0,0,($D46*'Function Allocators'!G74/SUM('Function Allocators'!$D74:$G74)))</f>
        <v>0</v>
      </c>
      <c r="K46" s="653">
        <f>IF(SUM('Function Allocators'!$H74:$I74)=0,0,($E46*'Function Allocators'!H74/SUM('Function Allocators'!$H74:$I74)))</f>
        <v>0</v>
      </c>
      <c r="L46" s="653">
        <f>IF(SUM('Function Allocators'!$H74:$I74)=0,0,($E46*'Function Allocators'!I74/SUM('Function Allocators'!$H74:$I74)))</f>
        <v>0</v>
      </c>
      <c r="M46" s="653">
        <f>IF(SUM('Function Allocators'!$J74:$O74)=0,0,($F46*'Function Allocators'!J74/SUM('Function Allocators'!$J74:$O74)))</f>
        <v>0</v>
      </c>
      <c r="N46" s="653">
        <f>IF(SUM('Function Allocators'!$J74:$O74)=0,0,($F46*'Function Allocators'!K74/SUM('Function Allocators'!$J74:$O74)))</f>
        <v>171577.51487454178</v>
      </c>
      <c r="O46" s="653">
        <f>IF(SUM('Function Allocators'!$J74:$O74)=0,0,($F46*'Function Allocators'!L74/SUM('Function Allocators'!$J74:$O74)))</f>
        <v>0</v>
      </c>
      <c r="P46" s="653">
        <f>IF(SUM('Function Allocators'!$J74:$O74)=0,0,($F46*'Function Allocators'!M74/SUM('Function Allocators'!$J74:$O74)))</f>
        <v>0</v>
      </c>
      <c r="Q46" s="653">
        <f>IF(SUM('Function Allocators'!$J74:$O74)=0,0,($F46*'Function Allocators'!N74/SUM('Function Allocators'!$J74:$O74)))</f>
        <v>0</v>
      </c>
      <c r="R46" s="653">
        <f>IF(SUM('Function Allocators'!$J74:$O74)=0,0,($F46*'Function Allocators'!O74/SUM('Function Allocators'!$J74:$O74)))</f>
        <v>0</v>
      </c>
      <c r="T46" s="456"/>
      <c r="U46" s="52">
        <f t="shared" si="7"/>
        <v>0</v>
      </c>
      <c r="V46" s="361">
        <f>'G-3 COST OF SERVICE'!J43-SUM('Functionalization SMALL'!G46:J46)</f>
        <v>0</v>
      </c>
      <c r="W46" s="361">
        <f>'G-3 COST OF SERVICE'!K43-SUM('Functionalization SMALL'!K46:L46)</f>
        <v>0</v>
      </c>
      <c r="X46" s="361">
        <f>'G-3 COST OF SERVICE'!L43-SUM('Functionalization SMALL'!M46:R46)</f>
        <v>0</v>
      </c>
    </row>
    <row r="47" spans="1:24">
      <c r="A47" s="386">
        <f t="shared" si="8"/>
        <v>383</v>
      </c>
      <c r="B47" s="379" t="s">
        <v>92</v>
      </c>
      <c r="C47" s="653">
        <f t="shared" si="6"/>
        <v>366815.1896983856</v>
      </c>
      <c r="D47" s="653">
        <f>'G-3 COST OF SERVICE'!J44</f>
        <v>0</v>
      </c>
      <c r="E47" s="653">
        <f>'G-3 COST OF SERVICE'!K44</f>
        <v>0</v>
      </c>
      <c r="F47" s="653">
        <f>'G-3 COST OF SERVICE'!L44</f>
        <v>366815.1896983856</v>
      </c>
      <c r="G47" s="654">
        <f>IF(SUM('Function Allocators'!$D75:$G75)=0,0,($D47*'Function Allocators'!D75/SUM('Function Allocators'!$D75:$G75)))</f>
        <v>0</v>
      </c>
      <c r="H47" s="654">
        <f>IF(SUM('Function Allocators'!$D75:$G75)=0,0,($D47*'Function Allocators'!E75/SUM('Function Allocators'!$D75:$G75)))</f>
        <v>0</v>
      </c>
      <c r="I47" s="654">
        <f>IF(SUM('Function Allocators'!$D75:$G75)=0,0,($D47*'Function Allocators'!F75/SUM('Function Allocators'!$D75:$G75)))</f>
        <v>0</v>
      </c>
      <c r="J47" s="654">
        <f>IF(SUM('Function Allocators'!$D75:$G75)=0,0,($D47*'Function Allocators'!G75/SUM('Function Allocators'!$D75:$G75)))</f>
        <v>0</v>
      </c>
      <c r="K47" s="653">
        <f>IF(SUM('Function Allocators'!$H75:$I75)=0,0,($E47*'Function Allocators'!H75/SUM('Function Allocators'!$H75:$I75)))</f>
        <v>0</v>
      </c>
      <c r="L47" s="653">
        <f>IF(SUM('Function Allocators'!$H75:$I75)=0,0,($E47*'Function Allocators'!I75/SUM('Function Allocators'!$H75:$I75)))</f>
        <v>0</v>
      </c>
      <c r="M47" s="653">
        <f>IF(SUM('Function Allocators'!$J75:$O75)=0,0,($F47*'Function Allocators'!J75/SUM('Function Allocators'!$J75:$O75)))</f>
        <v>0</v>
      </c>
      <c r="N47" s="653">
        <f>IF(SUM('Function Allocators'!$J75:$O75)=0,0,($F47*'Function Allocators'!K75/SUM('Function Allocators'!$J75:$O75)))</f>
        <v>0</v>
      </c>
      <c r="O47" s="653">
        <f>IF(SUM('Function Allocators'!$J75:$O75)=0,0,($F47*'Function Allocators'!L75/SUM('Function Allocators'!$J75:$O75)))</f>
        <v>366815.1896983856</v>
      </c>
      <c r="P47" s="653">
        <f>IF(SUM('Function Allocators'!$J75:$O75)=0,0,($F47*'Function Allocators'!M75/SUM('Function Allocators'!$J75:$O75)))</f>
        <v>0</v>
      </c>
      <c r="Q47" s="653">
        <f>IF(SUM('Function Allocators'!$J75:$O75)=0,0,($F47*'Function Allocators'!N75/SUM('Function Allocators'!$J75:$O75)))</f>
        <v>0</v>
      </c>
      <c r="R47" s="653">
        <f>IF(SUM('Function Allocators'!$J75:$O75)=0,0,($F47*'Function Allocators'!O75/SUM('Function Allocators'!$J75:$O75)))</f>
        <v>0</v>
      </c>
      <c r="T47" s="456"/>
      <c r="U47" s="52">
        <f t="shared" si="7"/>
        <v>0</v>
      </c>
      <c r="V47" s="361">
        <f>'G-3 COST OF SERVICE'!J44-SUM('Functionalization SMALL'!G47:J47)</f>
        <v>0</v>
      </c>
      <c r="W47" s="361">
        <f>'G-3 COST OF SERVICE'!K44-SUM('Functionalization SMALL'!K47:L47)</f>
        <v>0</v>
      </c>
      <c r="X47" s="361">
        <f>'G-3 COST OF SERVICE'!L44-SUM('Functionalization SMALL'!M47:R47)</f>
        <v>0</v>
      </c>
    </row>
    <row r="48" spans="1:24">
      <c r="A48" s="386">
        <f t="shared" si="8"/>
        <v>384</v>
      </c>
      <c r="B48" s="379" t="s">
        <v>109</v>
      </c>
      <c r="C48" s="653">
        <f t="shared" si="6"/>
        <v>124812.48176556654</v>
      </c>
      <c r="D48" s="653">
        <f>'G-3 COST OF SERVICE'!J45</f>
        <v>0</v>
      </c>
      <c r="E48" s="653">
        <f>'G-3 COST OF SERVICE'!K45</f>
        <v>0</v>
      </c>
      <c r="F48" s="653">
        <f>'G-3 COST OF SERVICE'!L45</f>
        <v>124812.48176556654</v>
      </c>
      <c r="G48" s="654">
        <f>IF(SUM('Function Allocators'!$D76:$G76)=0,0,($D48*'Function Allocators'!D76/SUM('Function Allocators'!$D76:$G76)))</f>
        <v>0</v>
      </c>
      <c r="H48" s="654">
        <f>IF(SUM('Function Allocators'!$D76:$G76)=0,0,($D48*'Function Allocators'!E76/SUM('Function Allocators'!$D76:$G76)))</f>
        <v>0</v>
      </c>
      <c r="I48" s="654">
        <f>IF(SUM('Function Allocators'!$D76:$G76)=0,0,($D48*'Function Allocators'!F76/SUM('Function Allocators'!$D76:$G76)))</f>
        <v>0</v>
      </c>
      <c r="J48" s="654">
        <f>IF(SUM('Function Allocators'!$D76:$G76)=0,0,($D48*'Function Allocators'!G76/SUM('Function Allocators'!$D76:$G76)))</f>
        <v>0</v>
      </c>
      <c r="K48" s="653">
        <f>IF(SUM('Function Allocators'!$H76:$I76)=0,0,($E48*'Function Allocators'!H76/SUM('Function Allocators'!$H76:$I76)))</f>
        <v>0</v>
      </c>
      <c r="L48" s="653">
        <f>IF(SUM('Function Allocators'!$H76:$I76)=0,0,($E48*'Function Allocators'!I76/SUM('Function Allocators'!$H76:$I76)))</f>
        <v>0</v>
      </c>
      <c r="M48" s="653">
        <f>IF(SUM('Function Allocators'!$J76:$O76)=0,0,($F48*'Function Allocators'!J76/SUM('Function Allocators'!$J76:$O76)))</f>
        <v>0</v>
      </c>
      <c r="N48" s="653">
        <f>IF(SUM('Function Allocators'!$J76:$O76)=0,0,($F48*'Function Allocators'!K76/SUM('Function Allocators'!$J76:$O76)))</f>
        <v>0</v>
      </c>
      <c r="O48" s="653">
        <f>IF(SUM('Function Allocators'!$J76:$O76)=0,0,($F48*'Function Allocators'!L76/SUM('Function Allocators'!$J76:$O76)))</f>
        <v>124812.48176556654</v>
      </c>
      <c r="P48" s="653">
        <f>IF(SUM('Function Allocators'!$J76:$O76)=0,0,($F48*'Function Allocators'!M76/SUM('Function Allocators'!$J76:$O76)))</f>
        <v>0</v>
      </c>
      <c r="Q48" s="653">
        <f>IF(SUM('Function Allocators'!$J76:$O76)=0,0,($F48*'Function Allocators'!N76/SUM('Function Allocators'!$J76:$O76)))</f>
        <v>0</v>
      </c>
      <c r="R48" s="653">
        <f>IF(SUM('Function Allocators'!$J76:$O76)=0,0,($F48*'Function Allocators'!O76/SUM('Function Allocators'!$J76:$O76)))</f>
        <v>0</v>
      </c>
      <c r="T48" s="456"/>
      <c r="U48" s="52">
        <f t="shared" si="7"/>
        <v>0</v>
      </c>
      <c r="V48" s="361">
        <f>'G-3 COST OF SERVICE'!J45-SUM('Functionalization SMALL'!G48:J48)</f>
        <v>0</v>
      </c>
      <c r="W48" s="361">
        <f>'G-3 COST OF SERVICE'!K45-SUM('Functionalization SMALL'!K48:L48)</f>
        <v>0</v>
      </c>
      <c r="X48" s="361">
        <f>'G-3 COST OF SERVICE'!L45-SUM('Functionalization SMALL'!M48:R48)</f>
        <v>0</v>
      </c>
    </row>
    <row r="49" spans="1:24">
      <c r="A49" s="386">
        <v>385</v>
      </c>
      <c r="B49" s="379" t="s">
        <v>96</v>
      </c>
      <c r="C49" s="653">
        <f t="shared" si="6"/>
        <v>0</v>
      </c>
      <c r="D49" s="653">
        <f>'G-3 COST OF SERVICE'!J46</f>
        <v>0</v>
      </c>
      <c r="E49" s="653">
        <f>'G-3 COST OF SERVICE'!K46</f>
        <v>0</v>
      </c>
      <c r="F49" s="653">
        <f>'G-3 COST OF SERVICE'!L46</f>
        <v>0</v>
      </c>
      <c r="G49" s="654">
        <f>IF(SUM('Function Allocators'!$D77:$G77)=0,0,($D49*'Function Allocators'!D77/SUM('Function Allocators'!$D77:$G77)))</f>
        <v>0</v>
      </c>
      <c r="H49" s="654">
        <f>IF(SUM('Function Allocators'!$D77:$G77)=0,0,($D49*'Function Allocators'!E77/SUM('Function Allocators'!$D77:$G77)))</f>
        <v>0</v>
      </c>
      <c r="I49" s="654">
        <f>IF(SUM('Function Allocators'!$D77:$G77)=0,0,($D49*'Function Allocators'!F77/SUM('Function Allocators'!$D77:$G77)))</f>
        <v>0</v>
      </c>
      <c r="J49" s="654">
        <f>IF(SUM('Function Allocators'!$D77:$G77)=0,0,($D49*'Function Allocators'!G77/SUM('Function Allocators'!$D77:$G77)))</f>
        <v>0</v>
      </c>
      <c r="K49" s="653">
        <f>IF(SUM('Function Allocators'!$H77:$I77)=0,0,($E49*'Function Allocators'!H77/SUM('Function Allocators'!$H77:$I77)))</f>
        <v>0</v>
      </c>
      <c r="L49" s="653">
        <f>IF(SUM('Function Allocators'!$H77:$I77)=0,0,($E49*'Function Allocators'!I77/SUM('Function Allocators'!$H77:$I77)))</f>
        <v>0</v>
      </c>
      <c r="M49" s="653">
        <f>IF(SUM('Function Allocators'!$J77:$O77)=0,0,($F49*'Function Allocators'!J77/SUM('Function Allocators'!$J77:$O77)))</f>
        <v>0</v>
      </c>
      <c r="N49" s="653">
        <f>IF(SUM('Function Allocators'!$J77:$O77)=0,0,($F49*'Function Allocators'!K77/SUM('Function Allocators'!$J77:$O77)))</f>
        <v>0</v>
      </c>
      <c r="O49" s="653">
        <f>IF(SUM('Function Allocators'!$J77:$O77)=0,0,($F49*'Function Allocators'!L77/SUM('Function Allocators'!$J77:$O77)))</f>
        <v>0</v>
      </c>
      <c r="P49" s="653">
        <f>IF(SUM('Function Allocators'!$J77:$O77)=0,0,($F49*'Function Allocators'!M77/SUM('Function Allocators'!$J77:$O77)))</f>
        <v>0</v>
      </c>
      <c r="Q49" s="653">
        <f>IF(SUM('Function Allocators'!$J77:$O77)=0,0,($F49*'Function Allocators'!N77/SUM('Function Allocators'!$J77:$O77)))</f>
        <v>0</v>
      </c>
      <c r="R49" s="653">
        <f>IF(SUM('Function Allocators'!$J77:$O77)=0,0,($F49*'Function Allocators'!O77/SUM('Function Allocators'!$J77:$O77)))</f>
        <v>0</v>
      </c>
      <c r="T49" s="456" t="s">
        <v>462</v>
      </c>
      <c r="U49" s="52">
        <f t="shared" si="7"/>
        <v>0</v>
      </c>
      <c r="V49" s="361">
        <f>'G-3 COST OF SERVICE'!J46-SUM('Functionalization SMALL'!G49:J49)</f>
        <v>0</v>
      </c>
      <c r="W49" s="361">
        <f>'G-3 COST OF SERVICE'!K46-SUM('Functionalization SMALL'!K49:L49)</f>
        <v>0</v>
      </c>
      <c r="X49" s="361">
        <f>'G-3 COST OF SERVICE'!L46-SUM('Functionalization SMALL'!M49:R49)</f>
        <v>0</v>
      </c>
    </row>
    <row r="50" spans="1:24">
      <c r="A50" s="386">
        <v>387</v>
      </c>
      <c r="B50" s="379" t="s">
        <v>98</v>
      </c>
      <c r="C50" s="653">
        <f t="shared" si="6"/>
        <v>340059.80809957429</v>
      </c>
      <c r="D50" s="653">
        <f>'G-3 COST OF SERVICE'!J47</f>
        <v>340059.80809957429</v>
      </c>
      <c r="E50" s="653">
        <f>'G-3 COST OF SERVICE'!K47</f>
        <v>0</v>
      </c>
      <c r="F50" s="653">
        <f>'G-3 COST OF SERVICE'!L47</f>
        <v>0</v>
      </c>
      <c r="G50" s="654">
        <f>IF(SUM('Function Allocators'!$D78:$G78)=0,0,($D50*'Function Allocators'!D78/SUM('Function Allocators'!$D78:$G78)))</f>
        <v>0</v>
      </c>
      <c r="H50" s="654">
        <f>IF(SUM('Function Allocators'!$D78:$G78)=0,0,($D50*'Function Allocators'!E78/SUM('Function Allocators'!$D78:$G78)))</f>
        <v>0</v>
      </c>
      <c r="I50" s="654">
        <f>IF(SUM('Function Allocators'!$D78:$G78)=0,0,($D50*'Function Allocators'!F78/SUM('Function Allocators'!$D78:$G78)))</f>
        <v>0</v>
      </c>
      <c r="J50" s="654">
        <f>IF(SUM('Function Allocators'!$D78:$G78)=0,0,($D50*'Function Allocators'!G78/SUM('Function Allocators'!$D78:$G78)))</f>
        <v>340059.80809957429</v>
      </c>
      <c r="K50" s="653">
        <f>IF(SUM('Function Allocators'!$H78:$I78)=0,0,($E50*'Function Allocators'!H78/SUM('Function Allocators'!$H78:$I78)))</f>
        <v>0</v>
      </c>
      <c r="L50" s="653">
        <f>IF(SUM('Function Allocators'!$H78:$I78)=0,0,($E50*'Function Allocators'!I78/SUM('Function Allocators'!$H78:$I78)))</f>
        <v>0</v>
      </c>
      <c r="M50" s="653">
        <f>IF(SUM('Function Allocators'!$J78:$O78)=0,0,($F50*'Function Allocators'!J78/SUM('Function Allocators'!$J78:$O78)))</f>
        <v>0</v>
      </c>
      <c r="N50" s="653">
        <f>IF(SUM('Function Allocators'!$J78:$O78)=0,0,($F50*'Function Allocators'!K78/SUM('Function Allocators'!$J78:$O78)))</f>
        <v>0</v>
      </c>
      <c r="O50" s="653">
        <f>IF(SUM('Function Allocators'!$J78:$O78)=0,0,($F50*'Function Allocators'!L78/SUM('Function Allocators'!$J78:$O78)))</f>
        <v>0</v>
      </c>
      <c r="P50" s="653">
        <f>IF(SUM('Function Allocators'!$J78:$O78)=0,0,($F50*'Function Allocators'!M78/SUM('Function Allocators'!$J78:$O78)))</f>
        <v>0</v>
      </c>
      <c r="Q50" s="653">
        <f>IF(SUM('Function Allocators'!$J78:$O78)=0,0,($F50*'Function Allocators'!N78/SUM('Function Allocators'!$J78:$O78)))</f>
        <v>0</v>
      </c>
      <c r="R50" s="653">
        <f>IF(SUM('Function Allocators'!$J78:$O78)=0,0,($F50*'Function Allocators'!O78/SUM('Function Allocators'!$J78:$O78)))</f>
        <v>0</v>
      </c>
      <c r="T50" s="360" t="s">
        <v>428</v>
      </c>
      <c r="U50" s="52">
        <f t="shared" si="7"/>
        <v>0</v>
      </c>
      <c r="V50" s="361">
        <f>'G-3 COST OF SERVICE'!J47-SUM('Functionalization SMALL'!G50:J50)</f>
        <v>0</v>
      </c>
      <c r="W50" s="361">
        <f>'G-3 COST OF SERVICE'!K47-SUM('Functionalization SMALL'!K50:L50)</f>
        <v>0</v>
      </c>
      <c r="X50" s="361">
        <f>'G-3 COST OF SERVICE'!L47-SUM('Functionalization SMALL'!M50:R50)</f>
        <v>0</v>
      </c>
    </row>
    <row r="51" spans="1:24">
      <c r="A51" s="374"/>
      <c r="B51" s="377" t="s">
        <v>100</v>
      </c>
      <c r="C51" s="655">
        <f t="shared" ref="C51:R51" si="9">SUM(C39:C50)</f>
        <v>24967436.76387402</v>
      </c>
      <c r="D51" s="655">
        <f t="shared" si="9"/>
        <v>12842530.469152451</v>
      </c>
      <c r="E51" s="655">
        <f t="shared" si="9"/>
        <v>0</v>
      </c>
      <c r="F51" s="655">
        <f t="shared" si="9"/>
        <v>12124906.294721566</v>
      </c>
      <c r="G51" s="655">
        <f t="shared" si="9"/>
        <v>0</v>
      </c>
      <c r="H51" s="655">
        <f t="shared" si="9"/>
        <v>11627100.267731395</v>
      </c>
      <c r="I51" s="655">
        <f t="shared" si="9"/>
        <v>891800.47596608684</v>
      </c>
      <c r="J51" s="655">
        <f t="shared" si="9"/>
        <v>323629.72545497032</v>
      </c>
      <c r="K51" s="655">
        <f t="shared" si="9"/>
        <v>0</v>
      </c>
      <c r="L51" s="655">
        <f t="shared" si="9"/>
        <v>0</v>
      </c>
      <c r="M51" s="655">
        <f t="shared" si="9"/>
        <v>9848218.4096272551</v>
      </c>
      <c r="N51" s="655">
        <f t="shared" si="9"/>
        <v>1785060.2136303596</v>
      </c>
      <c r="O51" s="655">
        <f t="shared" si="9"/>
        <v>491627.67146395217</v>
      </c>
      <c r="P51" s="655">
        <f t="shared" si="9"/>
        <v>0</v>
      </c>
      <c r="Q51" s="655">
        <f t="shared" si="9"/>
        <v>0</v>
      </c>
      <c r="R51" s="655">
        <f t="shared" si="9"/>
        <v>0</v>
      </c>
      <c r="T51" s="456"/>
      <c r="U51" s="52">
        <f t="shared" si="7"/>
        <v>0</v>
      </c>
      <c r="V51" s="361">
        <f>'G-3 COST OF SERVICE'!J48-SUM('Functionalization SMALL'!G51:J51)</f>
        <v>0</v>
      </c>
      <c r="W51" s="361">
        <f>'G-3 COST OF SERVICE'!K48-SUM('Functionalization SMALL'!K51:L51)</f>
        <v>0</v>
      </c>
      <c r="X51" s="361">
        <f>'G-3 COST OF SERVICE'!L48-SUM('Functionalization SMALL'!M51:R51)</f>
        <v>0</v>
      </c>
    </row>
    <row r="52" spans="1:24">
      <c r="A52" s="374"/>
      <c r="B52" s="377"/>
      <c r="C52" s="637"/>
      <c r="D52" s="637"/>
      <c r="E52" s="637"/>
      <c r="F52" s="637"/>
      <c r="G52" s="654"/>
      <c r="H52" s="653"/>
      <c r="I52" s="653"/>
      <c r="J52" s="653"/>
      <c r="K52" s="653"/>
      <c r="L52" s="653"/>
      <c r="M52" s="653"/>
      <c r="N52" s="653"/>
      <c r="O52" s="653"/>
      <c r="P52" s="653"/>
      <c r="Q52" s="653"/>
      <c r="R52" s="653"/>
      <c r="T52" s="456"/>
      <c r="V52" s="361"/>
      <c r="W52" s="361"/>
      <c r="X52" s="361"/>
    </row>
    <row r="53" spans="1:24">
      <c r="A53" s="390" t="s">
        <v>463</v>
      </c>
      <c r="B53" s="377" t="s">
        <v>467</v>
      </c>
      <c r="C53" s="654">
        <f>SUM(G53:R53)</f>
        <v>3149237.4104285808</v>
      </c>
      <c r="D53" s="654">
        <f>'G-3 COST OF SERVICE'!J50</f>
        <v>1582746.4061323272</v>
      </c>
      <c r="E53" s="654">
        <f>'G-3 COST OF SERVICE'!K50</f>
        <v>0</v>
      </c>
      <c r="F53" s="654">
        <f>'G-3 COST OF SERVICE'!L50</f>
        <v>1566491.0042962534</v>
      </c>
      <c r="G53" s="654">
        <f>IF(SUM('Function Allocators'!$D82:$G82)=0,0,($D53*'Function Allocators'!D82/SUM('Function Allocators'!$D$82:$G$82)))</f>
        <v>0</v>
      </c>
      <c r="H53" s="654">
        <f>IF(SUM('Function Allocators'!$D82:$G82)=0,0,($D53*'Function Allocators'!E82/SUM('Function Allocators'!$D$82:$G$82)))</f>
        <v>1451370.6178201165</v>
      </c>
      <c r="I53" s="654">
        <f>IF(SUM('Function Allocators'!$D82:$G82)=0,0,($D53*'Function Allocators'!F82/SUM('Function Allocators'!$D$82:$G$82)))</f>
        <v>102894.24405285969</v>
      </c>
      <c r="J53" s="654">
        <f>IF(SUM('Function Allocators'!$D82:$G82)=0,0,($D53*'Function Allocators'!G82/SUM('Function Allocators'!$D$82:$G$82)))</f>
        <v>28481.544259351129</v>
      </c>
      <c r="K53" s="654">
        <f>IF(SUM('Function Allocators'!$H82:$I82)=0,0,($E53*'Function Allocators'!H82/SUM('Function Allocators'!$H82:$I82)))</f>
        <v>0</v>
      </c>
      <c r="L53" s="654">
        <f>IF(SUM('Function Allocators'!$H82:$I82)=0,0,($E53*'Function Allocators'!I82/SUM('Function Allocators'!$H82:$I82)))</f>
        <v>0</v>
      </c>
      <c r="M53" s="654">
        <f>IF(SUM('Function Allocators'!$J82:$O82)=0,0,($F53*'Function Allocators'!J82/SUM('Function Allocators'!$J82:$O82)))</f>
        <v>1269850.1261158902</v>
      </c>
      <c r="N53" s="654">
        <f>IF(SUM('Function Allocators'!$J82:$O82)=0,0,($F53*'Function Allocators'!K82/SUM('Function Allocators'!$J82:$O82)))</f>
        <v>244496.76755835649</v>
      </c>
      <c r="O53" s="654">
        <f>IF(SUM('Function Allocators'!$J82:$O82)=0,0,($F53*'Function Allocators'!L82/SUM('Function Allocators'!$J82:$O82)))</f>
        <v>52144.110622006774</v>
      </c>
      <c r="P53" s="654">
        <f>IF(SUM('Function Allocators'!$J82:$O82)=0,0,($F53*'Function Allocators'!M82/SUM('Function Allocators'!$J82:$O82)))</f>
        <v>0</v>
      </c>
      <c r="Q53" s="654">
        <f>IF(SUM('Function Allocators'!$J82:$O82)=0,0,($F53*'Function Allocators'!N82/SUM('Function Allocators'!$J82:$O82)))</f>
        <v>0</v>
      </c>
      <c r="R53" s="654">
        <f>IF(SUM('Function Allocators'!$J82:$O82)=0,0,($F53*'Function Allocators'!O82/SUM('Function Allocators'!$J82:$O82)))</f>
        <v>0</v>
      </c>
      <c r="S53" s="654"/>
      <c r="T53" s="456" t="s">
        <v>426</v>
      </c>
      <c r="U53" s="52">
        <f>C53-SUM(D53:F53)</f>
        <v>0</v>
      </c>
      <c r="V53" s="361">
        <f>'G-3 COST OF SERVICE'!J50-SUM('Functionalization SMALL'!G53:J53)</f>
        <v>0</v>
      </c>
      <c r="W53" s="361">
        <f>'G-3 COST OF SERVICE'!K50-SUM('Functionalization SMALL'!K53:L53)</f>
        <v>0</v>
      </c>
      <c r="X53" s="361">
        <f>'G-3 COST OF SERVICE'!L50-SUM('Functionalization SMALL'!M53:R53)</f>
        <v>0</v>
      </c>
    </row>
    <row r="54" spans="1:24">
      <c r="A54" s="381"/>
      <c r="B54" s="381"/>
      <c r="C54" s="653"/>
      <c r="D54" s="653"/>
      <c r="E54" s="653"/>
      <c r="F54" s="653"/>
      <c r="G54" s="654"/>
      <c r="H54" s="653"/>
      <c r="I54" s="653"/>
      <c r="J54" s="653"/>
      <c r="K54" s="653"/>
      <c r="L54" s="653"/>
      <c r="M54" s="653"/>
      <c r="N54" s="653"/>
      <c r="O54" s="653"/>
      <c r="P54" s="653"/>
      <c r="Q54" s="653"/>
      <c r="R54" s="653"/>
      <c r="T54" s="456"/>
      <c r="V54" s="361"/>
      <c r="W54" s="361"/>
      <c r="X54" s="361"/>
    </row>
    <row r="55" spans="1:24">
      <c r="A55" s="381"/>
      <c r="B55" s="377" t="s">
        <v>468</v>
      </c>
      <c r="C55" s="654">
        <f>SUM(G55:R55)</f>
        <v>30449837.646552496</v>
      </c>
      <c r="D55" s="654">
        <f t="shared" ref="D55:R55" si="10">+D35+D36+D51+D53</f>
        <v>16733417.20893421</v>
      </c>
      <c r="E55" s="654">
        <f t="shared" si="10"/>
        <v>0</v>
      </c>
      <c r="F55" s="654">
        <f t="shared" si="10"/>
        <v>13716420.437618285</v>
      </c>
      <c r="G55" s="654">
        <f t="shared" si="10"/>
        <v>0</v>
      </c>
      <c r="H55" s="654">
        <f t="shared" si="10"/>
        <v>15384512.621410936</v>
      </c>
      <c r="I55" s="654">
        <f t="shared" si="10"/>
        <v>996338.3534155403</v>
      </c>
      <c r="J55" s="654">
        <f t="shared" si="10"/>
        <v>352566.23410773481</v>
      </c>
      <c r="K55" s="654">
        <f t="shared" si="10"/>
        <v>0</v>
      </c>
      <c r="L55" s="654">
        <f t="shared" si="10"/>
        <v>0</v>
      </c>
      <c r="M55" s="654">
        <f t="shared" si="10"/>
        <v>11138353.130816126</v>
      </c>
      <c r="N55" s="654">
        <f t="shared" si="10"/>
        <v>2033462.5743170516</v>
      </c>
      <c r="O55" s="654">
        <f t="shared" si="10"/>
        <v>544604.73248510843</v>
      </c>
      <c r="P55" s="654">
        <f t="shared" si="10"/>
        <v>0</v>
      </c>
      <c r="Q55" s="654">
        <f t="shared" si="10"/>
        <v>0</v>
      </c>
      <c r="R55" s="654">
        <f t="shared" si="10"/>
        <v>0</v>
      </c>
      <c r="T55" s="456"/>
      <c r="U55" s="52">
        <f>C55-SUM(D55:F55)</f>
        <v>0</v>
      </c>
      <c r="V55" s="361">
        <f>'G-3 COST OF SERVICE'!J52-SUM('Functionalization SMALL'!G55:J55)</f>
        <v>0</v>
      </c>
      <c r="W55" s="361">
        <f>'G-3 COST OF SERVICE'!K52-SUM('Functionalization SMALL'!K55:L55)</f>
        <v>0</v>
      </c>
      <c r="X55" s="361">
        <f>'G-3 COST OF SERVICE'!L52-SUM('Functionalization SMALL'!M55:R55)</f>
        <v>0</v>
      </c>
    </row>
    <row r="56" spans="1:24">
      <c r="A56" s="381"/>
      <c r="B56" s="381"/>
      <c r="C56" s="638"/>
      <c r="D56" s="638"/>
      <c r="E56" s="638"/>
      <c r="F56" s="638"/>
      <c r="G56" s="654"/>
      <c r="H56" s="653"/>
      <c r="I56" s="653"/>
      <c r="J56" s="653"/>
      <c r="K56" s="653"/>
      <c r="L56" s="653"/>
      <c r="M56" s="653"/>
      <c r="N56" s="653"/>
      <c r="O56" s="653"/>
      <c r="P56" s="653"/>
      <c r="Q56" s="653"/>
      <c r="R56" s="653"/>
      <c r="T56" s="456"/>
      <c r="V56" s="361"/>
      <c r="W56" s="361"/>
      <c r="X56" s="361"/>
    </row>
    <row r="57" spans="1:24">
      <c r="A57" s="390"/>
      <c r="B57" s="377" t="s">
        <v>114</v>
      </c>
      <c r="C57" s="638"/>
      <c r="D57" s="638"/>
      <c r="E57" s="638"/>
      <c r="F57" s="638"/>
      <c r="G57" s="654"/>
      <c r="H57" s="653"/>
      <c r="I57" s="653"/>
      <c r="J57" s="653"/>
      <c r="K57" s="653"/>
      <c r="L57" s="653"/>
      <c r="M57" s="653"/>
      <c r="N57" s="653"/>
      <c r="O57" s="653"/>
      <c r="P57" s="653"/>
      <c r="Q57" s="653"/>
      <c r="R57" s="653"/>
      <c r="T57" s="456"/>
      <c r="V57" s="361"/>
      <c r="W57" s="361"/>
      <c r="X57" s="361"/>
    </row>
    <row r="58" spans="1:24">
      <c r="A58" s="390" t="s">
        <v>115</v>
      </c>
      <c r="B58" s="379" t="s">
        <v>16</v>
      </c>
      <c r="C58" s="653">
        <f>SUM(G58:R58)</f>
        <v>-704981.74636793858</v>
      </c>
      <c r="D58" s="653">
        <f>'G-3 COST OF SERVICE'!J57</f>
        <v>-354310.32343188627</v>
      </c>
      <c r="E58" s="653">
        <f>'G-3 COST OF SERVICE'!K57</f>
        <v>0</v>
      </c>
      <c r="F58" s="653">
        <f>'G-3 COST OF SERVICE'!L57</f>
        <v>-350671.4229360522</v>
      </c>
      <c r="G58" s="654">
        <f>IF(SUM('Function Allocators'!$D95:$G95)=0,0,($D58*'Function Allocators'!D95/SUM('Function Allocators'!$D95:$G95)))</f>
        <v>0</v>
      </c>
      <c r="H58" s="654">
        <f>IF(SUM('Function Allocators'!$D95:$G95)=0,0,($D58*'Function Allocators'!E95/SUM('Function Allocators'!$D95:$G95)))</f>
        <v>-324900.81230131618</v>
      </c>
      <c r="I58" s="654">
        <f>IF(SUM('Function Allocators'!$D95:$G95)=0,0,($D58*'Function Allocators'!F95/SUM('Function Allocators'!$D95:$G95)))</f>
        <v>-23033.691783091737</v>
      </c>
      <c r="J58" s="654">
        <f>IF(SUM('Function Allocators'!$D95:$G95)=0,0,($D58*'Function Allocators'!G95/SUM('Function Allocators'!$D95:$G95)))</f>
        <v>-6375.8193474783275</v>
      </c>
      <c r="K58" s="653">
        <f>IF(SUM('Function Allocators'!$H95:$I95)=0,0,($E58*'Function Allocators'!H95/SUM('Function Allocators'!$H95:$I95)))</f>
        <v>0</v>
      </c>
      <c r="L58" s="653">
        <f>IF(SUM('Function Allocators'!$H95:$I95)=0,0,($E58*'Function Allocators'!I95/SUM('Function Allocators'!$H95:$I95)))</f>
        <v>0</v>
      </c>
      <c r="M58" s="653">
        <f>IF(SUM('Function Allocators'!$J95:$O95)=0,0,($F58*'Function Allocators'!J95/SUM('Function Allocators'!$J95:$O95)))</f>
        <v>-284266.0120098397</v>
      </c>
      <c r="N58" s="653">
        <f>IF(SUM('Function Allocators'!$J95:$O95)=0,0,($F58*'Function Allocators'!K95/SUM('Function Allocators'!$J95:$O95)))</f>
        <v>-54732.538615165504</v>
      </c>
      <c r="O58" s="653">
        <f>IF(SUM('Function Allocators'!$J95:$O95)=0,0,($F58*'Function Allocators'!L95/SUM('Function Allocators'!$J95:$O95)))</f>
        <v>-11672.872311047056</v>
      </c>
      <c r="P58" s="653">
        <f>IF(SUM('Function Allocators'!$J95:$O95)=0,0,($F58*'Function Allocators'!M95/SUM('Function Allocators'!$J95:$O95)))</f>
        <v>0</v>
      </c>
      <c r="Q58" s="653">
        <f>IF(SUM('Function Allocators'!$J95:$O95)=0,0,($F58*'Function Allocators'!N95/SUM('Function Allocators'!$J95:$O95)))</f>
        <v>0</v>
      </c>
      <c r="R58" s="653">
        <f>IF(SUM('Function Allocators'!$J95:$O95)=0,0,($F58*'Function Allocators'!O95/SUM('Function Allocators'!$J95:$O95)))</f>
        <v>0</v>
      </c>
      <c r="T58" s="456" t="s">
        <v>469</v>
      </c>
      <c r="U58" s="52">
        <f>C58-SUM(D58:F58)</f>
        <v>0</v>
      </c>
      <c r="V58" s="361">
        <f>'G-3 COST OF SERVICE'!J57-SUM('Functionalization SMALL'!G58:J58)</f>
        <v>0</v>
      </c>
      <c r="W58" s="361">
        <f>'G-3 COST OF SERVICE'!K57-SUM('Functionalization SMALL'!K58:L58)</f>
        <v>0</v>
      </c>
      <c r="X58" s="361">
        <f>'G-3 COST OF SERVICE'!L57-SUM('Functionalization SMALL'!M58:R58)</f>
        <v>0</v>
      </c>
    </row>
    <row r="59" spans="1:24">
      <c r="A59" s="390" t="s">
        <v>116</v>
      </c>
      <c r="B59" s="379" t="s">
        <v>17</v>
      </c>
      <c r="C59" s="653">
        <f>SUM(G59:R59)</f>
        <v>344583.49606120645</v>
      </c>
      <c r="D59" s="653">
        <f>'G-3 COST OF SERVICE'!J58</f>
        <v>173181.06542153814</v>
      </c>
      <c r="E59" s="653">
        <f>'G-3 COST OF SERVICE'!K58</f>
        <v>0</v>
      </c>
      <c r="F59" s="653">
        <f>'G-3 COST OF SERVICE'!L58</f>
        <v>171402.43063966828</v>
      </c>
      <c r="G59" s="654">
        <f>IF(SUM('Function Allocators'!$D96:$G96)=0,0,($D59*'Function Allocators'!D96/SUM('Function Allocators'!$D96:$G96)))</f>
        <v>0</v>
      </c>
      <c r="H59" s="654">
        <f>IF(SUM('Function Allocators'!$D96:$G96)=0,0,($D59*'Function Allocators'!E96/SUM('Function Allocators'!$D96:$G96)))</f>
        <v>158806.17952550855</v>
      </c>
      <c r="I59" s="654">
        <f>IF(SUM('Function Allocators'!$D96:$G96)=0,0,($D59*'Function Allocators'!F96/SUM('Function Allocators'!$D96:$G96)))</f>
        <v>11258.490142057668</v>
      </c>
      <c r="J59" s="654">
        <f>IF(SUM('Function Allocators'!$D96:$G96)=0,0,($D59*'Function Allocators'!G96/SUM('Function Allocators'!$D96:$G96)))</f>
        <v>3116.3957539719331</v>
      </c>
      <c r="K59" s="653">
        <f>IF(SUM('Function Allocators'!$H96:$I96)=0,0,($E59*'Function Allocators'!H96/SUM('Function Allocators'!$H96:$I96)))</f>
        <v>0</v>
      </c>
      <c r="L59" s="653">
        <f>IF(SUM('Function Allocators'!$H96:$I96)=0,0,($E59*'Function Allocators'!I96/SUM('Function Allocators'!$H96:$I96)))</f>
        <v>0</v>
      </c>
      <c r="M59" s="653">
        <f>IF(SUM('Function Allocators'!$J96:$O96)=0,0,($F59*'Function Allocators'!J96/SUM('Function Allocators'!$J96:$O96)))</f>
        <v>138944.55669864165</v>
      </c>
      <c r="N59" s="653">
        <f>IF(SUM('Function Allocators'!$J96:$O96)=0,0,($F59*'Function Allocators'!K96/SUM('Function Allocators'!$J96:$O96)))</f>
        <v>26752.365719374935</v>
      </c>
      <c r="O59" s="653">
        <f>IF(SUM('Function Allocators'!$J96:$O96)=0,0,($F59*'Function Allocators'!L96/SUM('Function Allocators'!$J96:$O96)))</f>
        <v>5705.508221651703</v>
      </c>
      <c r="P59" s="653">
        <f>IF(SUM('Function Allocators'!$J96:$O96)=0,0,($F59*'Function Allocators'!M96/SUM('Function Allocators'!$J96:$O96)))</f>
        <v>0</v>
      </c>
      <c r="Q59" s="653">
        <f>IF(SUM('Function Allocators'!$J96:$O96)=0,0,($F59*'Function Allocators'!N96/SUM('Function Allocators'!$J96:$O96)))</f>
        <v>0</v>
      </c>
      <c r="R59" s="653">
        <f>IF(SUM('Function Allocators'!$J96:$O96)=0,0,($F59*'Function Allocators'!O96/SUM('Function Allocators'!$J96:$O96)))</f>
        <v>0</v>
      </c>
      <c r="T59" s="456" t="s">
        <v>127</v>
      </c>
      <c r="U59" s="52">
        <f>C59-SUM(D59:F59)</f>
        <v>0</v>
      </c>
      <c r="V59" s="361">
        <f>'G-3 COST OF SERVICE'!J58-SUM('Functionalization SMALL'!G59:J59)</f>
        <v>0</v>
      </c>
      <c r="W59" s="361">
        <f>'G-3 COST OF SERVICE'!K58-SUM('Functionalization SMALL'!K59:L59)</f>
        <v>0</v>
      </c>
      <c r="X59" s="361">
        <f>'G-3 COST OF SERVICE'!L58-SUM('Functionalization SMALL'!M59:R59)</f>
        <v>0</v>
      </c>
    </row>
    <row r="60" spans="1:24">
      <c r="A60" s="385">
        <v>165</v>
      </c>
      <c r="B60" s="381" t="s">
        <v>18</v>
      </c>
      <c r="C60" s="661">
        <f>SUM(G60:R60)</f>
        <v>64460.205335614388</v>
      </c>
      <c r="D60" s="653">
        <f>'G-3 COST OF SERVICE'!J59</f>
        <v>32396.464615734076</v>
      </c>
      <c r="E60" s="653">
        <f>'G-3 COST OF SERVICE'!K59</f>
        <v>0</v>
      </c>
      <c r="F60" s="653">
        <f>'G-3 COST OF SERVICE'!L59</f>
        <v>32063.740719880305</v>
      </c>
      <c r="G60" s="654">
        <f>IF(SUM('Function Allocators'!$D97:$G97)=0,0,($D60*'Function Allocators'!D97/SUM('Function Allocators'!$D97:$G97)))</f>
        <v>0</v>
      </c>
      <c r="H60" s="654">
        <f>IF(SUM('Function Allocators'!$D97:$G97)=0,0,($D60*'Function Allocators'!E97/SUM('Function Allocators'!$D97:$G97)))</f>
        <v>29707.397649016937</v>
      </c>
      <c r="I60" s="654">
        <f>IF(SUM('Function Allocators'!$D97:$G97)=0,0,($D60*'Function Allocators'!F97/SUM('Function Allocators'!$D97:$G97)))</f>
        <v>2106.0921217106734</v>
      </c>
      <c r="J60" s="654">
        <f>IF(SUM('Function Allocators'!$D97:$G97)=0,0,($D60*'Function Allocators'!G97/SUM('Function Allocators'!$D97:$G97)))</f>
        <v>582.97484500646499</v>
      </c>
      <c r="K60" s="653">
        <f>IF(SUM('Function Allocators'!$H97:$I97)=0,0,($E60*'Function Allocators'!H97/SUM('Function Allocators'!$H97:$I97)))</f>
        <v>0</v>
      </c>
      <c r="L60" s="653">
        <f>IF(SUM('Function Allocators'!$H97:$I97)=0,0,($E60*'Function Allocators'!I97/SUM('Function Allocators'!$H97:$I97)))</f>
        <v>0</v>
      </c>
      <c r="M60" s="653">
        <f>IF(SUM('Function Allocators'!$J97:$O97)=0,0,($F60*'Function Allocators'!J97/SUM('Function Allocators'!$J97:$O97)))</f>
        <v>25991.943193557596</v>
      </c>
      <c r="N60" s="653">
        <f>IF(SUM('Function Allocators'!$J97:$O97)=0,0,($F60*'Function Allocators'!K97/SUM('Function Allocators'!$J97:$O97)))</f>
        <v>5004.4851456787492</v>
      </c>
      <c r="O60" s="653">
        <f>IF(SUM('Function Allocators'!$J97:$O97)=0,0,($F60*'Function Allocators'!L97/SUM('Function Allocators'!$J97:$O97)))</f>
        <v>1067.3123806439598</v>
      </c>
      <c r="P60" s="653">
        <f>IF(SUM('Function Allocators'!$J97:$O97)=0,0,($F60*'Function Allocators'!M97/SUM('Function Allocators'!$J97:$O97)))</f>
        <v>0</v>
      </c>
      <c r="Q60" s="653">
        <f>IF(SUM('Function Allocators'!$J97:$O97)=0,0,($F60*'Function Allocators'!N97/SUM('Function Allocators'!$J97:$O97)))</f>
        <v>0</v>
      </c>
      <c r="R60" s="653">
        <f>IF(SUM('Function Allocators'!$J97:$O97)=0,0,($F60*'Function Allocators'!O97/SUM('Function Allocators'!$J97:$O97)))</f>
        <v>0</v>
      </c>
      <c r="T60" s="456" t="s">
        <v>127</v>
      </c>
      <c r="U60" s="52">
        <f>C60-SUM(D60:F60)</f>
        <v>0</v>
      </c>
      <c r="V60" s="361">
        <f>'G-3 COST OF SERVICE'!J59-SUM('Functionalization SMALL'!G60:J60)</f>
        <v>0</v>
      </c>
      <c r="W60" s="361">
        <f>'G-3 COST OF SERVICE'!K59-SUM('Functionalization SMALL'!K60:L60)</f>
        <v>0</v>
      </c>
      <c r="X60" s="361">
        <f>'G-3 COST OF SERVICE'!L59-SUM('Functionalization SMALL'!M60:R60)</f>
        <v>0</v>
      </c>
    </row>
    <row r="61" spans="1:24">
      <c r="A61" s="374"/>
      <c r="B61" s="387" t="s">
        <v>117</v>
      </c>
      <c r="C61" s="653">
        <f t="shared" ref="C61:R61" si="11">SUM(C58:C60)</f>
        <v>-295938.04497111775</v>
      </c>
      <c r="D61" s="655">
        <f t="shared" si="11"/>
        <v>-148732.79339461407</v>
      </c>
      <c r="E61" s="655">
        <f t="shared" si="11"/>
        <v>0</v>
      </c>
      <c r="F61" s="655">
        <f t="shared" si="11"/>
        <v>-147205.25157650362</v>
      </c>
      <c r="G61" s="655">
        <f t="shared" si="11"/>
        <v>0</v>
      </c>
      <c r="H61" s="655">
        <f t="shared" si="11"/>
        <v>-136387.23512679071</v>
      </c>
      <c r="I61" s="655">
        <f t="shared" si="11"/>
        <v>-9669.1095193233959</v>
      </c>
      <c r="J61" s="655">
        <f t="shared" si="11"/>
        <v>-2676.4487484999295</v>
      </c>
      <c r="K61" s="655">
        <f t="shared" si="11"/>
        <v>0</v>
      </c>
      <c r="L61" s="655">
        <f t="shared" si="11"/>
        <v>0</v>
      </c>
      <c r="M61" s="655">
        <f t="shared" si="11"/>
        <v>-119329.51211764045</v>
      </c>
      <c r="N61" s="655">
        <f t="shared" si="11"/>
        <v>-22975.687750111822</v>
      </c>
      <c r="O61" s="655">
        <f t="shared" si="11"/>
        <v>-4900.0517087513936</v>
      </c>
      <c r="P61" s="655">
        <f t="shared" si="11"/>
        <v>0</v>
      </c>
      <c r="Q61" s="655">
        <f t="shared" si="11"/>
        <v>0</v>
      </c>
      <c r="R61" s="655">
        <f t="shared" si="11"/>
        <v>0</v>
      </c>
      <c r="T61" s="456"/>
      <c r="U61" s="52">
        <f>C61-SUM(D61:F61)</f>
        <v>0</v>
      </c>
      <c r="V61" s="361">
        <f>'G-3 COST OF SERVICE'!J60-SUM('Functionalization SMALL'!G61:J61)</f>
        <v>0</v>
      </c>
      <c r="W61" s="361">
        <f>'G-3 COST OF SERVICE'!K60-SUM('Functionalization SMALL'!K61:L61)</f>
        <v>0</v>
      </c>
      <c r="X61" s="361">
        <f>'G-3 COST OF SERVICE'!L60-SUM('Functionalization SMALL'!M61:R61)</f>
        <v>0</v>
      </c>
    </row>
    <row r="62" spans="1:24">
      <c r="A62" s="374"/>
      <c r="B62" s="387"/>
      <c r="C62" s="638"/>
      <c r="D62" s="638"/>
      <c r="E62" s="638"/>
      <c r="F62" s="638"/>
      <c r="G62" s="654"/>
      <c r="H62" s="653"/>
      <c r="I62" s="653"/>
      <c r="J62" s="653"/>
      <c r="K62" s="653"/>
      <c r="L62" s="653"/>
      <c r="M62" s="653"/>
      <c r="N62" s="653"/>
      <c r="O62" s="653"/>
      <c r="P62" s="653"/>
      <c r="Q62" s="653"/>
      <c r="R62" s="653"/>
      <c r="T62" s="456"/>
      <c r="V62" s="361"/>
      <c r="W62" s="361"/>
      <c r="X62" s="361"/>
    </row>
    <row r="63" spans="1:24">
      <c r="A63" s="386"/>
      <c r="B63" s="377" t="s">
        <v>118</v>
      </c>
      <c r="C63" s="638"/>
      <c r="D63" s="638"/>
      <c r="E63" s="638"/>
      <c r="F63" s="638"/>
      <c r="G63" s="654"/>
      <c r="H63" s="653"/>
      <c r="I63" s="653"/>
      <c r="J63" s="653"/>
      <c r="K63" s="653"/>
      <c r="L63" s="653"/>
      <c r="M63" s="653"/>
      <c r="N63" s="653"/>
      <c r="O63" s="653"/>
      <c r="P63" s="653"/>
      <c r="Q63" s="653"/>
      <c r="R63" s="653"/>
      <c r="T63" s="456"/>
      <c r="V63" s="361"/>
      <c r="W63" s="361"/>
      <c r="X63" s="361"/>
    </row>
    <row r="64" spans="1:24">
      <c r="A64" s="385">
        <v>252</v>
      </c>
      <c r="B64" s="381" t="s">
        <v>119</v>
      </c>
      <c r="C64" s="653">
        <f>SUM(G64:R64)</f>
        <v>-424151.61695188645</v>
      </c>
      <c r="D64" s="653">
        <f>'G-3 COST OF SERVICE'!J63</f>
        <v>0</v>
      </c>
      <c r="E64" s="653">
        <f>'G-3 COST OF SERVICE'!K63</f>
        <v>0</v>
      </c>
      <c r="F64" s="653">
        <f>'G-3 COST OF SERVICE'!L63</f>
        <v>-424151.61695188645</v>
      </c>
      <c r="G64" s="654">
        <f>IF(SUM('Function Allocators'!$D101:$G101)=0,0,($D64*'Function Allocators'!D101/SUM('Function Allocators'!$D101:$G101)))</f>
        <v>0</v>
      </c>
      <c r="H64" s="654">
        <f>IF(SUM('Function Allocators'!$D101:$G101)=0,0,($D64*'Function Allocators'!E101/SUM('Function Allocators'!$D101:$G101)))</f>
        <v>0</v>
      </c>
      <c r="I64" s="654">
        <f>IF(SUM('Function Allocators'!$D101:$G101)=0,0,($D64*'Function Allocators'!F101/SUM('Function Allocators'!$D101:$G101)))</f>
        <v>0</v>
      </c>
      <c r="J64" s="654">
        <f>IF(SUM('Function Allocators'!$D101:$G101)=0,0,($D64*'Function Allocators'!G101/SUM('Function Allocators'!$D101:$G101)))</f>
        <v>0</v>
      </c>
      <c r="K64" s="653">
        <f>IF(SUM('Function Allocators'!$H101:$I101)=0,0,($E64*'Function Allocators'!H101/SUM('Function Allocators'!$H101:$I101)))</f>
        <v>0</v>
      </c>
      <c r="L64" s="653">
        <f>IF(SUM('Function Allocators'!$H101:$I101)=0,0,($E64*'Function Allocators'!I101/SUM('Function Allocators'!$H101:$I101)))</f>
        <v>0</v>
      </c>
      <c r="M64" s="653">
        <f>IF(SUM('Function Allocators'!$J101:$O101)=0,0,($F64*'Function Allocators'!J101/SUM('Function Allocators'!$J101:$O101)))</f>
        <v>-424151.61695188645</v>
      </c>
      <c r="N64" s="653">
        <f>IF(SUM('Function Allocators'!$J101:$O101)=0,0,($F64*'Function Allocators'!K101/SUM('Function Allocators'!$J101:$O101)))</f>
        <v>0</v>
      </c>
      <c r="O64" s="653">
        <f>IF(SUM('Function Allocators'!$J101:$O101)=0,0,($F64*'Function Allocators'!L101/SUM('Function Allocators'!$J101:$O101)))</f>
        <v>0</v>
      </c>
      <c r="P64" s="653">
        <f>IF(SUM('Function Allocators'!$J101:$O101)=0,0,($F64*'Function Allocators'!M101/SUM('Function Allocators'!$J101:$O101)))</f>
        <v>0</v>
      </c>
      <c r="Q64" s="653">
        <f>IF(SUM('Function Allocators'!$J101:$O101)=0,0,($F64*'Function Allocators'!N101/SUM('Function Allocators'!$J101:$O101)))</f>
        <v>0</v>
      </c>
      <c r="R64" s="653">
        <f>IF(SUM('Function Allocators'!$J101:$O101)=0,0,($F64*'Function Allocators'!O101/SUM('Function Allocators'!$J101:$O101)))</f>
        <v>0</v>
      </c>
      <c r="T64" s="456" t="s">
        <v>127</v>
      </c>
      <c r="U64" s="52">
        <f>C64-SUM(D64:F64)</f>
        <v>0</v>
      </c>
      <c r="V64" s="361">
        <f>'G-3 COST OF SERVICE'!J63-SUM('Functionalization SMALL'!G64:J64)</f>
        <v>0</v>
      </c>
      <c r="W64" s="361">
        <f>'G-3 COST OF SERVICE'!K63-SUM('Functionalization SMALL'!K64:L64)</f>
        <v>0</v>
      </c>
      <c r="X64" s="361">
        <f>'G-3 COST OF SERVICE'!L63-SUM('Functionalization SMALL'!M64:R64)</f>
        <v>0</v>
      </c>
    </row>
    <row r="65" spans="1:25">
      <c r="A65" s="385">
        <v>235</v>
      </c>
      <c r="B65" s="381" t="s">
        <v>20</v>
      </c>
      <c r="C65" s="653">
        <f>SUM(G65:R65)</f>
        <v>-124540.78407214595</v>
      </c>
      <c r="D65" s="653">
        <f>'G-3 COST OF SERVICE'!J64</f>
        <v>0</v>
      </c>
      <c r="E65" s="653">
        <f>'G-3 COST OF SERVICE'!K64</f>
        <v>0</v>
      </c>
      <c r="F65" s="653">
        <f>'G-3 COST OF SERVICE'!L64</f>
        <v>-124540.78407214595</v>
      </c>
      <c r="G65" s="654">
        <f>IF(SUM('Function Allocators'!$D102:$G102)=0,0,($D65*'Function Allocators'!D102/SUM('Function Allocators'!$D102:$G102)))</f>
        <v>0</v>
      </c>
      <c r="H65" s="654">
        <f>IF(SUM('Function Allocators'!$D102:$G102)=0,0,($D65*'Function Allocators'!E102/SUM('Function Allocators'!$D102:$G102)))</f>
        <v>0</v>
      </c>
      <c r="I65" s="654">
        <f>IF(SUM('Function Allocators'!$D102:$G102)=0,0,($D65*'Function Allocators'!F102/SUM('Function Allocators'!$D102:$G102)))</f>
        <v>0</v>
      </c>
      <c r="J65" s="654">
        <f>IF(SUM('Function Allocators'!$D102:$G102)=0,0,($D65*'Function Allocators'!G102/SUM('Function Allocators'!$D102:$G102)))</f>
        <v>0</v>
      </c>
      <c r="K65" s="653">
        <f>IF(SUM('Function Allocators'!$H102:$I102)=0,0,($E65*'Function Allocators'!H102/SUM('Function Allocators'!$H102:$I102)))</f>
        <v>0</v>
      </c>
      <c r="L65" s="653">
        <f>IF(SUM('Function Allocators'!$H102:$I102)=0,0,($E65*'Function Allocators'!I102/SUM('Function Allocators'!$H102:$I102)))</f>
        <v>0</v>
      </c>
      <c r="M65" s="653">
        <f>IF(SUM('Function Allocators'!$J102:$O102)=0,0,($F65*'Function Allocators'!J102/SUM('Function Allocators'!$J102:$O102)))</f>
        <v>-124540.78407214595</v>
      </c>
      <c r="N65" s="653">
        <f>IF(SUM('Function Allocators'!$J102:$O102)=0,0,($F65*'Function Allocators'!K102/SUM('Function Allocators'!$J102:$O102)))</f>
        <v>0</v>
      </c>
      <c r="O65" s="653">
        <f>IF(SUM('Function Allocators'!$J102:$O102)=0,0,($F65*'Function Allocators'!L102/SUM('Function Allocators'!$J102:$O102)))</f>
        <v>0</v>
      </c>
      <c r="P65" s="653">
        <f>IF(SUM('Function Allocators'!$J102:$O102)=0,0,($F65*'Function Allocators'!M102/SUM('Function Allocators'!$J102:$O102)))</f>
        <v>0</v>
      </c>
      <c r="Q65" s="653">
        <f>IF(SUM('Function Allocators'!$J102:$O102)=0,0,($F65*'Function Allocators'!N102/SUM('Function Allocators'!$J102:$O102)))</f>
        <v>0</v>
      </c>
      <c r="R65" s="653">
        <f>IF(SUM('Function Allocators'!$J102:$O102)=0,0,($F65*'Function Allocators'!O102/SUM('Function Allocators'!$J102:$O102)))</f>
        <v>0</v>
      </c>
      <c r="T65" s="456" t="s">
        <v>127</v>
      </c>
      <c r="U65" s="52">
        <f>C65-SUM(D65:F65)</f>
        <v>0</v>
      </c>
      <c r="V65" s="361">
        <f>'G-3 COST OF SERVICE'!J64-SUM('Functionalization SMALL'!G65:J65)</f>
        <v>0</v>
      </c>
      <c r="W65" s="361">
        <f>'G-3 COST OF SERVICE'!K64-SUM('Functionalization SMALL'!K65:L65)</f>
        <v>0</v>
      </c>
      <c r="X65" s="361">
        <f>'G-3 COST OF SERVICE'!L64-SUM('Functionalization SMALL'!M65:R65)</f>
        <v>0</v>
      </c>
    </row>
    <row r="66" spans="1:25">
      <c r="A66" s="374"/>
      <c r="B66" s="377" t="s">
        <v>121</v>
      </c>
      <c r="C66" s="655">
        <f t="shared" ref="C66:R66" si="12">SUM(C64:C65)</f>
        <v>-548692.40102403238</v>
      </c>
      <c r="D66" s="655">
        <f t="shared" si="12"/>
        <v>0</v>
      </c>
      <c r="E66" s="655">
        <f t="shared" si="12"/>
        <v>0</v>
      </c>
      <c r="F66" s="655">
        <f t="shared" si="12"/>
        <v>-548692.40102403238</v>
      </c>
      <c r="G66" s="655">
        <f t="shared" si="12"/>
        <v>0</v>
      </c>
      <c r="H66" s="655">
        <f t="shared" si="12"/>
        <v>0</v>
      </c>
      <c r="I66" s="655">
        <f t="shared" si="12"/>
        <v>0</v>
      </c>
      <c r="J66" s="655">
        <f t="shared" si="12"/>
        <v>0</v>
      </c>
      <c r="K66" s="655">
        <f t="shared" si="12"/>
        <v>0</v>
      </c>
      <c r="L66" s="655">
        <f t="shared" si="12"/>
        <v>0</v>
      </c>
      <c r="M66" s="655">
        <f t="shared" si="12"/>
        <v>-548692.40102403238</v>
      </c>
      <c r="N66" s="655">
        <f t="shared" si="12"/>
        <v>0</v>
      </c>
      <c r="O66" s="655">
        <f t="shared" si="12"/>
        <v>0</v>
      </c>
      <c r="P66" s="655">
        <f t="shared" si="12"/>
        <v>0</v>
      </c>
      <c r="Q66" s="655">
        <f t="shared" si="12"/>
        <v>0</v>
      </c>
      <c r="R66" s="655">
        <f t="shared" si="12"/>
        <v>0</v>
      </c>
      <c r="T66" s="456"/>
      <c r="U66" s="52">
        <f>C66-SUM(D66:F66)</f>
        <v>0</v>
      </c>
      <c r="V66" s="361">
        <f>'G-3 COST OF SERVICE'!J65-SUM('Functionalization SMALL'!G66:J66)</f>
        <v>0</v>
      </c>
      <c r="W66" s="361">
        <f>'G-3 COST OF SERVICE'!K65-SUM('Functionalization SMALL'!K66:L66)</f>
        <v>0</v>
      </c>
      <c r="X66" s="361">
        <f>'G-3 COST OF SERVICE'!L65-SUM('Functionalization SMALL'!M66:R66)</f>
        <v>0</v>
      </c>
    </row>
    <row r="67" spans="1:25">
      <c r="A67" s="374"/>
      <c r="B67" s="377"/>
      <c r="C67" s="655"/>
      <c r="D67" s="637"/>
      <c r="E67" s="637"/>
      <c r="F67" s="637"/>
      <c r="G67" s="654"/>
      <c r="H67" s="653"/>
      <c r="I67" s="653"/>
      <c r="J67" s="653"/>
      <c r="K67" s="653"/>
      <c r="L67" s="653"/>
      <c r="M67" s="653"/>
      <c r="N67" s="653"/>
      <c r="O67" s="653"/>
      <c r="P67" s="653"/>
      <c r="Q67" s="653"/>
      <c r="R67" s="653"/>
      <c r="T67" s="456"/>
      <c r="V67" s="361"/>
      <c r="W67" s="361"/>
      <c r="X67" s="361"/>
    </row>
    <row r="68" spans="1:25">
      <c r="B68" s="360" t="s">
        <v>123</v>
      </c>
      <c r="C68" s="654">
        <f>SUM(G68:R68)</f>
        <v>0</v>
      </c>
      <c r="D68" s="654">
        <f>'G-3 COST OF SERVICE'!J68</f>
        <v>0</v>
      </c>
      <c r="E68" s="654">
        <f>'G-3 COST OF SERVICE'!K68</f>
        <v>0</v>
      </c>
      <c r="F68" s="654">
        <f>'G-3 COST OF SERVICE'!L68</f>
        <v>0</v>
      </c>
      <c r="G68" s="654">
        <f>IF(SUM('Function Allocators'!$D106:$G106)=0,0,($D68*'Function Allocators'!D106/SUM('Function Allocators'!$D106:$G106)))</f>
        <v>0</v>
      </c>
      <c r="H68" s="654">
        <f>IF(SUM('Function Allocators'!$D106:$G106)=0,0,($D68*'Function Allocators'!E106/SUM('Function Allocators'!$D106:$G106)))</f>
        <v>0</v>
      </c>
      <c r="I68" s="654">
        <f>IF(SUM('Function Allocators'!$D106:$G106)=0,0,($D68*'Function Allocators'!F106/SUM('Function Allocators'!$D106:$G106)))</f>
        <v>0</v>
      </c>
      <c r="J68" s="654">
        <f>IF(SUM('Function Allocators'!$D106:$G106)=0,0,($D68*'Function Allocators'!G106/SUM('Function Allocators'!$D106:$G106)))</f>
        <v>0</v>
      </c>
      <c r="K68" s="654">
        <f>IF(SUM('Function Allocators'!$H106:$I106)=0,0,($E68*'Function Allocators'!H106/SUM('Function Allocators'!$H106:$I106)))</f>
        <v>0</v>
      </c>
      <c r="L68" s="654">
        <f>IF(SUM('Function Allocators'!$H106:$I106)=0,0,($E68*'Function Allocators'!I106/SUM('Function Allocators'!$H106:$I106)))</f>
        <v>0</v>
      </c>
      <c r="M68" s="654">
        <f>IF(SUM('Function Allocators'!$J106:$O106)=0,0,($F68*'Function Allocators'!J106/SUM('Function Allocators'!$J106:$O106)))</f>
        <v>0</v>
      </c>
      <c r="N68" s="654">
        <f>IF(SUM('Function Allocators'!$J106:$O106)=0,0,($F68*'Function Allocators'!K106/SUM('Function Allocators'!$J106:$O106)))</f>
        <v>0</v>
      </c>
      <c r="O68" s="654">
        <f>IF(SUM('Function Allocators'!$J106:$O106)=0,0,($F68*'Function Allocators'!L106/SUM('Function Allocators'!$J106:$O106)))</f>
        <v>0</v>
      </c>
      <c r="P68" s="654">
        <f>IF(SUM('Function Allocators'!$J106:$O106)=0,0,($F68*'Function Allocators'!M106/SUM('Function Allocators'!$J106:$O106)))</f>
        <v>0</v>
      </c>
      <c r="Q68" s="654">
        <f>IF(SUM('Function Allocators'!$J106:$O106)=0,0,($F68*'Function Allocators'!N106/SUM('Function Allocators'!$J106:$O106)))</f>
        <v>0</v>
      </c>
      <c r="R68" s="654">
        <f>IF(SUM('Function Allocators'!$J106:$O106)=0,0,($F68*'Function Allocators'!O106/SUM('Function Allocators'!$J106:$O106)))</f>
        <v>0</v>
      </c>
      <c r="S68" s="654"/>
      <c r="U68" s="52">
        <f>C68-SUM(D68:F68)</f>
        <v>0</v>
      </c>
      <c r="V68" s="361">
        <f>'G-3 COST OF SERVICE'!J68-SUM('Functionalization SMALL'!G68:J68)</f>
        <v>0</v>
      </c>
      <c r="W68" s="361">
        <f>'G-3 COST OF SERVICE'!K68-SUM('Functionalization SMALL'!K68:L68)</f>
        <v>0</v>
      </c>
      <c r="X68" s="361">
        <f>'G-3 COST OF SERVICE'!L68-SUM('Functionalization SMALL'!M68:R68)</f>
        <v>0</v>
      </c>
      <c r="Y68" s="361"/>
    </row>
    <row r="69" spans="1:25">
      <c r="A69" s="663">
        <v>182.3</v>
      </c>
      <c r="B69" s="360" t="s">
        <v>125</v>
      </c>
      <c r="C69" s="654">
        <f>SUM(G69:R69)</f>
        <v>118170.25635101624</v>
      </c>
      <c r="D69" s="654">
        <f>'G-3 COST OF SERVICE'!J69</f>
        <v>48434.851204790553</v>
      </c>
      <c r="E69" s="654">
        <f>'G-3 COST OF SERVICE'!K69</f>
        <v>756.16377353144787</v>
      </c>
      <c r="F69" s="654">
        <f>'G-3 COST OF SERVICE'!L69</f>
        <v>68979.241372694261</v>
      </c>
      <c r="G69" s="654">
        <f>IF(SUM('Function Allocators'!$D107:$G107)=0,0,($D69*'Function Allocators'!D107/SUM('Function Allocators'!$D107:$G107)))</f>
        <v>0</v>
      </c>
      <c r="H69" s="654">
        <f>IF(SUM('Function Allocators'!$D107:$G107)=0,0,($D69*'Function Allocators'!E107/SUM('Function Allocators'!$D107:$G107)))</f>
        <v>34050.478240950608</v>
      </c>
      <c r="I69" s="654">
        <f>IF(SUM('Function Allocators'!$D107:$G107)=0,0,($D69*'Function Allocators'!F107/SUM('Function Allocators'!$D107:$G107)))</f>
        <v>13939.263877260921</v>
      </c>
      <c r="J69" s="654">
        <f>IF(SUM('Function Allocators'!$D107:$G107)=0,0,($D69*'Function Allocators'!G107/SUM('Function Allocators'!$D107:$G107)))</f>
        <v>445.10908657902377</v>
      </c>
      <c r="K69" s="654">
        <f>IF(SUM('Function Allocators'!$H107:$I107)=0,0,($E69*'Function Allocators'!H107/SUM('Function Allocators'!$H107:$I107)))</f>
        <v>756.16377353144787</v>
      </c>
      <c r="L69" s="654">
        <f>IF(SUM('Function Allocators'!$H107:$I107)=0,0,($E69*'Function Allocators'!I107/SUM('Function Allocators'!$H107:$I107)))</f>
        <v>0</v>
      </c>
      <c r="M69" s="654">
        <f>IF(SUM('Function Allocators'!$J107:$O107)=0,0,($F69*'Function Allocators'!J107/SUM('Function Allocators'!$J107:$O107)))</f>
        <v>28865.02247611896</v>
      </c>
      <c r="N69" s="654">
        <f>IF(SUM('Function Allocators'!$J107:$O107)=0,0,($F69*'Function Allocators'!K107/SUM('Function Allocators'!$J107:$O107)))</f>
        <v>34787.428416081915</v>
      </c>
      <c r="O69" s="654">
        <f>IF(SUM('Function Allocators'!$J107:$O107)=0,0,($F69*'Function Allocators'!L107/SUM('Function Allocators'!$J107:$O107)))</f>
        <v>5326.7904804933851</v>
      </c>
      <c r="P69" s="654">
        <f>IF(SUM('Function Allocators'!$J107:$O107)=0,0,($F69*'Function Allocators'!M107/SUM('Function Allocators'!$J107:$O107)))</f>
        <v>0</v>
      </c>
      <c r="Q69" s="654">
        <f>IF(SUM('Function Allocators'!$J107:$O107)=0,0,($F69*'Function Allocators'!N107/SUM('Function Allocators'!$J107:$O107)))</f>
        <v>0</v>
      </c>
      <c r="R69" s="654">
        <f>IF(SUM('Function Allocators'!$J107:$O107)=0,0,($F69*'Function Allocators'!O107/SUM('Function Allocators'!$J107:$O107)))</f>
        <v>0</v>
      </c>
      <c r="T69" s="456"/>
      <c r="U69" s="52">
        <f>C69-SUM(D69:F69)</f>
        <v>0</v>
      </c>
      <c r="V69" s="361">
        <f>'G-3 COST OF SERVICE'!J69-SUM('Functionalization SMALL'!G69:J69)</f>
        <v>0</v>
      </c>
      <c r="W69" s="361">
        <f>'G-3 COST OF SERVICE'!K69-SUM('Functionalization SMALL'!K69:L69)</f>
        <v>0</v>
      </c>
      <c r="X69" s="361">
        <f>'G-3 COST OF SERVICE'!L69-SUM('Functionalization SMALL'!M69:R69)</f>
        <v>0</v>
      </c>
    </row>
    <row r="70" spans="1:25">
      <c r="A70" s="390">
        <v>254</v>
      </c>
      <c r="B70" s="360" t="s">
        <v>126</v>
      </c>
      <c r="C70" s="654">
        <f>SUM(G70:R70)</f>
        <v>-3312416.4775540624</v>
      </c>
      <c r="D70" s="654">
        <f>'G-3 COST OF SERVICE'!J70</f>
        <v>-1664757.0802840933</v>
      </c>
      <c r="E70" s="654">
        <f>'G-3 COST OF SERVICE'!K70</f>
        <v>0</v>
      </c>
      <c r="F70" s="654">
        <f>'G-3 COST OF SERVICE'!L70</f>
        <v>-1647659.3972699686</v>
      </c>
      <c r="G70" s="654">
        <f>IF(SUM('Function Allocators'!$D108:$G108)=0,0,($D70*'Function Allocators'!D108/SUM('Function Allocators'!$D108:$G108)))</f>
        <v>0</v>
      </c>
      <c r="H70" s="654">
        <f>IF(SUM('Function Allocators'!$D108:$G108)=0,0,($D70*'Function Allocators'!E108/SUM('Function Allocators'!$D108:$G108)))</f>
        <v>-1526573.9999603766</v>
      </c>
      <c r="I70" s="654">
        <f>IF(SUM('Function Allocators'!$D108:$G108)=0,0,($D70*'Function Allocators'!F108/SUM('Function Allocators'!$D108:$G108)))</f>
        <v>-108225.75280777889</v>
      </c>
      <c r="J70" s="654">
        <f>IF(SUM('Function Allocators'!$D108:$G108)=0,0,($D70*'Function Allocators'!G108/SUM('Function Allocators'!$D108:$G108)))</f>
        <v>-29957.327515937755</v>
      </c>
      <c r="K70" s="654">
        <f>IF(SUM('Function Allocators'!$H108:$I108)=0,0,($E70*'Function Allocators'!H108/SUM('Function Allocators'!$H108:$I108)))</f>
        <v>0</v>
      </c>
      <c r="L70" s="654">
        <f>IF(SUM('Function Allocators'!$H108:$I108)=0,0,($E70*'Function Allocators'!I108/SUM('Function Allocators'!$H108:$I108)))</f>
        <v>0</v>
      </c>
      <c r="M70" s="654">
        <f>IF(SUM('Function Allocators'!$J108:$O108)=0,0,($F70*'Function Allocators'!J108/SUM('Function Allocators'!$J108:$O108)))</f>
        <v>-1335647.9467044619</v>
      </c>
      <c r="N70" s="654">
        <f>IF(SUM('Function Allocators'!$J108:$O108)=0,0,($F70*'Function Allocators'!K108/SUM('Function Allocators'!$J108:$O108)))</f>
        <v>-257165.470829267</v>
      </c>
      <c r="O70" s="654">
        <f>IF(SUM('Function Allocators'!$J108:$O108)=0,0,($F70*'Function Allocators'!L108/SUM('Function Allocators'!$J108:$O108)))</f>
        <v>-54845.979736239809</v>
      </c>
      <c r="P70" s="654">
        <f>IF(SUM('Function Allocators'!$J108:$O108)=0,0,($F70*'Function Allocators'!M108/SUM('Function Allocators'!$J108:$O108)))</f>
        <v>0</v>
      </c>
      <c r="Q70" s="654">
        <f>IF(SUM('Function Allocators'!$J108:$O108)=0,0,($F70*'Function Allocators'!N108/SUM('Function Allocators'!$J108:$O108)))</f>
        <v>0</v>
      </c>
      <c r="R70" s="654">
        <f>IF(SUM('Function Allocators'!$J108:$O108)=0,0,($F70*'Function Allocators'!O108/SUM('Function Allocators'!$J108:$O108)))</f>
        <v>0</v>
      </c>
      <c r="T70" s="456"/>
      <c r="U70" s="52">
        <f>C70-SUM(D70:F70)</f>
        <v>0</v>
      </c>
      <c r="V70" s="361">
        <f>'G-3 COST OF SERVICE'!J70-SUM('Functionalization SMALL'!G70:J70)</f>
        <v>0</v>
      </c>
      <c r="W70" s="361">
        <f>'G-3 COST OF SERVICE'!K70-SUM('Functionalization SMALL'!K70:L70)</f>
        <v>0</v>
      </c>
      <c r="X70" s="361">
        <f>'G-3 COST OF SERVICE'!L70-SUM('Functionalization SMALL'!M70:R70)</f>
        <v>0</v>
      </c>
    </row>
    <row r="71" spans="1:25">
      <c r="A71" s="390"/>
      <c r="B71" s="379" t="s">
        <v>272</v>
      </c>
      <c r="C71" s="654">
        <f>SUM(G71:R71)</f>
        <v>-5003078.3887444539</v>
      </c>
      <c r="D71" s="654">
        <f>'G-3 COST OF SERVICE'!J73</f>
        <v>-2514451.3763042428</v>
      </c>
      <c r="E71" s="654">
        <f>'G-3 COST OF SERVICE'!K73</f>
        <v>0</v>
      </c>
      <c r="F71" s="654">
        <f>'G-3 COST OF SERVICE'!L73</f>
        <v>-2488627.0124402107</v>
      </c>
      <c r="G71" s="654">
        <f>IF(SUM('Function Allocators'!$D114:$G114)=0,0,($D71*'Function Allocators'!D114/SUM('Function Allocators'!$D$114:$G$114)))</f>
        <v>0</v>
      </c>
      <c r="H71" s="654">
        <f>IF(SUM('Function Allocators'!$D114:$G114)=0,0,($D71*'Function Allocators'!E114/SUM('Function Allocators'!$D$114:$G$114)))</f>
        <v>-2305739.4623458199</v>
      </c>
      <c r="I71" s="654">
        <f>IF(SUM('Function Allocators'!$D114:$G114)=0,0,($D71*'Function Allocators'!F114/SUM('Function Allocators'!$D$114:$G$114)))</f>
        <v>-163464.32540935237</v>
      </c>
      <c r="J71" s="654">
        <f>IF(SUM('Function Allocators'!$D114:$G114)=0,0,($D71*'Function Allocators'!G114/SUM('Function Allocators'!$D$114:$G$114)))</f>
        <v>-45247.588549070548</v>
      </c>
      <c r="K71" s="654">
        <f>IF(SUM('Function Allocators'!$H114:$I114)=0,0,($E71*'Function Allocators'!H114/SUM('Function Allocators'!$D$114:$G$114)))</f>
        <v>0</v>
      </c>
      <c r="L71" s="654">
        <f>IF(SUM('Function Allocators'!$H114:$I114)=0,0,($E71*'Function Allocators'!I114/SUM('Function Allocators'!$D$114:$G$114)))</f>
        <v>0</v>
      </c>
      <c r="M71" s="654">
        <f>IF(SUM('Function Allocators'!$J114:$O114)=0,0,($F71*'Function Allocators'!J114/SUM('Function Allocators'!$J$114:$O$114)))</f>
        <v>-2017364.4897643866</v>
      </c>
      <c r="N71" s="654">
        <f>IF(SUM('Function Allocators'!$J114:$O114)=0,0,($F71*'Function Allocators'!K114/SUM('Function Allocators'!$J$114:$O$114)))</f>
        <v>-388423.07969294261</v>
      </c>
      <c r="O71" s="654">
        <f>IF(SUM('Function Allocators'!$J114:$O114)=0,0,($F71*'Function Allocators'!L114/SUM('Function Allocators'!$J$114:$O$114)))</f>
        <v>-82839.442982881708</v>
      </c>
      <c r="P71" s="654">
        <f>IF(SUM('Function Allocators'!$J114:$O114)=0,0,($F71*'Function Allocators'!M114/SUM('Function Allocators'!$J$114:$O$114)))</f>
        <v>0</v>
      </c>
      <c r="Q71" s="654">
        <f>IF(SUM('Function Allocators'!$J114:$O114)=0,0,($F71*'Function Allocators'!N114/SUM('Function Allocators'!$J$114:$O$114)))</f>
        <v>0</v>
      </c>
      <c r="R71" s="654">
        <f>IF(SUM('Function Allocators'!$J114:$O114)=0,0,($F71*'Function Allocators'!O114/SUM('Function Allocators'!$J$114:$O$114)))</f>
        <v>0</v>
      </c>
      <c r="T71" s="456"/>
      <c r="V71" s="361">
        <f>'G-3 COST OF SERVICE'!J73-SUM('Functionalization SMALL'!G71:J71)</f>
        <v>0</v>
      </c>
      <c r="W71" s="361">
        <f>'G-3 COST OF SERVICE'!K73-SUM('Functionalization SMALL'!K71:L71)</f>
        <v>0</v>
      </c>
      <c r="X71" s="361">
        <f>'G-3 COST OF SERVICE'!L73-SUM('Functionalization SMALL'!M71:R71)</f>
        <v>0</v>
      </c>
    </row>
    <row r="72" spans="1:25">
      <c r="A72" s="374"/>
      <c r="B72" s="377"/>
      <c r="C72" s="661"/>
      <c r="D72" s="661"/>
      <c r="E72" s="661"/>
      <c r="F72" s="661"/>
      <c r="G72" s="662"/>
      <c r="H72" s="661"/>
      <c r="I72" s="661"/>
      <c r="J72" s="661"/>
      <c r="K72" s="661"/>
      <c r="L72" s="661"/>
      <c r="M72" s="661"/>
      <c r="N72" s="661"/>
      <c r="O72" s="661"/>
      <c r="P72" s="661"/>
      <c r="Q72" s="661"/>
      <c r="R72" s="661"/>
      <c r="T72" s="456"/>
      <c r="V72" s="361"/>
      <c r="W72" s="361"/>
      <c r="X72" s="361"/>
    </row>
    <row r="73" spans="1:25">
      <c r="A73" s="390"/>
      <c r="B73" s="377" t="s">
        <v>470</v>
      </c>
      <c r="C73" s="660">
        <f>SUM(G73:R73)</f>
        <v>39259085.532915831</v>
      </c>
      <c r="D73" s="654">
        <f>'G-3 COST OF SERVICE'!J75</f>
        <v>18565759.392287631</v>
      </c>
      <c r="E73" s="654">
        <f>'G-3 COST OF SERVICE'!K75</f>
        <v>756.16377353144787</v>
      </c>
      <c r="F73" s="654">
        <f>'G-3 COST OF SERVICE'!L75</f>
        <v>20692569.741443694</v>
      </c>
      <c r="G73" s="660">
        <f t="shared" ref="G73:R73" si="13">+G32-G55+SUM(G61,G66,G68:G71)</f>
        <v>0</v>
      </c>
      <c r="H73" s="660">
        <f t="shared" si="13"/>
        <v>16974293.606953494</v>
      </c>
      <c r="I73" s="660">
        <f t="shared" si="13"/>
        <v>1309249.4158571323</v>
      </c>
      <c r="J73" s="660">
        <f t="shared" si="13"/>
        <v>282216.47990613617</v>
      </c>
      <c r="K73" s="660">
        <f t="shared" si="13"/>
        <v>756.16377353144787</v>
      </c>
      <c r="L73" s="660">
        <f t="shared" si="13"/>
        <v>0</v>
      </c>
      <c r="M73" s="660">
        <f t="shared" si="13"/>
        <v>12204945.428739261</v>
      </c>
      <c r="N73" s="660">
        <f t="shared" si="13"/>
        <v>7969499.6355022136</v>
      </c>
      <c r="O73" s="660">
        <f t="shared" si="13"/>
        <v>518124.8021840626</v>
      </c>
      <c r="P73" s="660">
        <f t="shared" si="13"/>
        <v>0</v>
      </c>
      <c r="Q73" s="660">
        <f t="shared" si="13"/>
        <v>0</v>
      </c>
      <c r="R73" s="660">
        <f t="shared" si="13"/>
        <v>0</v>
      </c>
      <c r="T73" s="456"/>
      <c r="U73" s="52">
        <f>C73-SUM(D73:F73)</f>
        <v>0.23541097342967987</v>
      </c>
      <c r="V73" s="361">
        <f>'G-3 COST OF SERVICE'!J75-SUM('Functionalization SMALL'!G73:J73)</f>
        <v>-0.11042913421988487</v>
      </c>
      <c r="W73" s="361">
        <f>'G-3 COST OF SERVICE'!K75-SUM('Functionalization SMALL'!K73:L73)</f>
        <v>0</v>
      </c>
      <c r="X73" s="361">
        <f>'G-3 COST OF SERVICE'!L75-SUM('Functionalization SMALL'!M73:R73)</f>
        <v>-0.1249818466603756</v>
      </c>
    </row>
    <row r="74" spans="1:25">
      <c r="A74" s="374"/>
      <c r="B74" s="377"/>
      <c r="C74" s="637"/>
      <c r="D74" s="637"/>
      <c r="E74" s="637"/>
      <c r="F74" s="637"/>
      <c r="G74" s="654"/>
      <c r="H74" s="653"/>
      <c r="I74" s="653"/>
      <c r="J74" s="653"/>
      <c r="K74" s="653"/>
      <c r="L74" s="653"/>
      <c r="M74" s="653"/>
      <c r="N74" s="653"/>
      <c r="O74" s="653"/>
      <c r="P74" s="653"/>
      <c r="Q74" s="653"/>
      <c r="R74" s="653"/>
      <c r="T74" s="456"/>
      <c r="V74" s="361"/>
      <c r="W74" s="361"/>
      <c r="X74" s="361"/>
    </row>
    <row r="75" spans="1:25" ht="11.25">
      <c r="G75" s="456"/>
      <c r="H75" s="456"/>
      <c r="I75" s="456"/>
      <c r="J75" s="456"/>
      <c r="K75" s="456"/>
      <c r="L75" s="456"/>
      <c r="M75" s="456"/>
      <c r="N75" s="456"/>
      <c r="O75" s="456"/>
      <c r="P75" s="456"/>
      <c r="Q75" s="456"/>
      <c r="R75" s="456"/>
      <c r="U75" s="360"/>
      <c r="V75" s="361"/>
      <c r="W75" s="361"/>
      <c r="X75" s="361"/>
    </row>
    <row r="76" spans="1:25" ht="12.75">
      <c r="B76" s="465" t="s">
        <v>437</v>
      </c>
      <c r="C76" s="457"/>
      <c r="D76" s="457"/>
      <c r="E76" s="457"/>
      <c r="F76" s="457"/>
      <c r="G76" s="659"/>
      <c r="H76" s="657"/>
      <c r="I76" s="657"/>
      <c r="J76" s="657"/>
      <c r="K76" s="657"/>
      <c r="L76" s="657"/>
      <c r="M76" s="657"/>
      <c r="N76" s="657"/>
      <c r="O76" s="658"/>
      <c r="P76" s="657"/>
      <c r="Q76" s="657"/>
      <c r="R76" s="657"/>
      <c r="U76" s="360"/>
      <c r="V76" s="361"/>
      <c r="W76" s="361"/>
      <c r="X76" s="361"/>
    </row>
    <row r="77" spans="1:25">
      <c r="A77" s="385">
        <v>807</v>
      </c>
      <c r="B77" s="379" t="s">
        <v>471</v>
      </c>
      <c r="C77" s="654">
        <f>SUM(G77:R77)</f>
        <v>51662.89374096258</v>
      </c>
      <c r="D77" s="654">
        <f>'G-4 COST OF SERVICE'!J7</f>
        <v>0</v>
      </c>
      <c r="E77" s="654">
        <f>'G-4 COST OF SERVICE'!K7</f>
        <v>51662.89374096258</v>
      </c>
      <c r="F77" s="654">
        <f>'G-4 COST OF SERVICE'!L7</f>
        <v>0</v>
      </c>
      <c r="G77" s="654">
        <f>IF(SUM('Function Allocators'!$D123:$G123)=0,0,($D77*'Function Allocators'!D123/SUM('Function Allocators'!$D123:$G123)))</f>
        <v>0</v>
      </c>
      <c r="H77" s="654">
        <f>IF(SUM('Function Allocators'!$D123:$G123)=0,0,($D77*'Function Allocators'!E123/SUM('Function Allocators'!$D123:$G123)))</f>
        <v>0</v>
      </c>
      <c r="I77" s="654">
        <f>IF(SUM('Function Allocators'!$D123:$G123)=0,0,($D77*'Function Allocators'!F123/SUM('Function Allocators'!$D123:$G123)))</f>
        <v>0</v>
      </c>
      <c r="J77" s="654">
        <f>IF(SUM('Function Allocators'!$D123:$G123)=0,0,($D77*'Function Allocators'!G123/SUM('Function Allocators'!$D123:$G123)))</f>
        <v>0</v>
      </c>
      <c r="K77" s="654">
        <f>IF(SUM('Function Allocators'!$H123:$I123)=0,0,($E77*'Function Allocators'!H123/SUM('Function Allocators'!$H$123:$I$123)))</f>
        <v>51662.89374096258</v>
      </c>
      <c r="L77" s="654">
        <f>IF(SUM('Function Allocators'!$H123:$I123)=0,0,($E77*'Function Allocators'!I123/SUM('Function Allocators'!$H$123:$I$123)))</f>
        <v>0</v>
      </c>
      <c r="M77" s="654">
        <f>IF(SUM('Function Allocators'!$J123:$O123)=0,0,($F77*'Function Allocators'!J123/SUM('Function Allocators'!$J123:$O123)))</f>
        <v>0</v>
      </c>
      <c r="N77" s="654">
        <f>IF(SUM('Function Allocators'!$J123:$O123)=0,0,($F77*'Function Allocators'!K123/SUM('Function Allocators'!$J123:$O123)))</f>
        <v>0</v>
      </c>
      <c r="O77" s="654">
        <f>IF(SUM('Function Allocators'!$J123:$O123)=0,0,($F77*'Function Allocators'!L123/SUM('Function Allocators'!$J123:$O123)))</f>
        <v>0</v>
      </c>
      <c r="P77" s="654">
        <f>IF(SUM('Function Allocators'!$J123:$O123)=0,0,($F77*'Function Allocators'!M123/SUM('Function Allocators'!$J123:$O123)))</f>
        <v>0</v>
      </c>
      <c r="Q77" s="654">
        <f>IF(SUM('Function Allocators'!$J123:$O123)=0,0,($F77*'Function Allocators'!N123/SUM('Function Allocators'!$J123:$O123)))</f>
        <v>0</v>
      </c>
      <c r="R77" s="654">
        <f>IF(SUM('Function Allocators'!$J123:$O123)=0,0,($F77*'Function Allocators'!O123/SUM('Function Allocators'!$J123:$O123)))</f>
        <v>0</v>
      </c>
      <c r="U77" s="52">
        <f>C77-SUM(D77:F77)</f>
        <v>0</v>
      </c>
      <c r="V77" s="361">
        <f>'G-4 COST OF SERVICE'!J7-SUM('Functionalization SMALL'!G77:J77)</f>
        <v>0</v>
      </c>
      <c r="W77" s="361">
        <f>'G-4 COST OF SERVICE'!K7-SUM('Functionalization SMALL'!K77:L77)</f>
        <v>0</v>
      </c>
      <c r="X77" s="361">
        <f>'G-4 COST OF SERVICE'!L7-SUM('Functionalization SMALL'!M78:R78)</f>
        <v>0</v>
      </c>
    </row>
    <row r="78" spans="1:25">
      <c r="A78" s="385"/>
      <c r="B78" s="379" t="s">
        <v>277</v>
      </c>
      <c r="C78" s="653">
        <f>SUM(G78:R78)</f>
        <v>49836.945966786247</v>
      </c>
      <c r="D78" s="653">
        <f>'G-4 COST OF SERVICE'!J10</f>
        <v>49836.945966786247</v>
      </c>
      <c r="E78" s="653">
        <f>'G-4 COST OF SERVICE'!K10</f>
        <v>0</v>
      </c>
      <c r="F78" s="653">
        <f>'G-4 COST OF SERVICE'!L10</f>
        <v>0</v>
      </c>
      <c r="G78" s="654">
        <f>IF(SUM('Function Allocators'!$D127:$G127)=0,0,($D78*'Function Allocators'!D127/SUM('Function Allocators'!$D127:$G127)))</f>
        <v>0</v>
      </c>
      <c r="H78" s="654">
        <f>IF(SUM('Function Allocators'!$D127:$G127)=0,0,($D78*'Function Allocators'!E127/SUM('Function Allocators'!$D127:$G127)))</f>
        <v>49836.945966786247</v>
      </c>
      <c r="I78" s="654">
        <f>IF(SUM('Function Allocators'!$D127:$G127)=0,0,($D78*'Function Allocators'!F127/SUM('Function Allocators'!$D127:$G127)))</f>
        <v>0</v>
      </c>
      <c r="J78" s="654">
        <f>IF(SUM('Function Allocators'!$D127:$G127)=0,0,($D78*'Function Allocators'!G127/SUM('Function Allocators'!$D127:$G127)))</f>
        <v>0</v>
      </c>
      <c r="K78" s="654">
        <f>IF(SUM('Function Allocators'!$H127:$I127)=0,0,($E78*'Function Allocators'!H127/SUM('Function Allocators'!$H$127:$I$127)))</f>
        <v>0</v>
      </c>
      <c r="L78" s="654">
        <f>IF(SUM('Function Allocators'!$H127:$I127)=0,0,($E78*'Function Allocators'!I127/SUM('Function Allocators'!$H$127:$I$127)))</f>
        <v>0</v>
      </c>
      <c r="M78" s="654">
        <f>IF(SUM('Function Allocators'!$J127:$O127)=0,0,($F78*'Function Allocators'!J127/SUM('Function Allocators'!$J127:$O127)))</f>
        <v>0</v>
      </c>
      <c r="N78" s="654">
        <f>IF(SUM('Function Allocators'!$J127:$O127)=0,0,($F78*'Function Allocators'!K127/SUM('Function Allocators'!$J127:$O127)))</f>
        <v>0</v>
      </c>
      <c r="O78" s="654">
        <f>IF(SUM('Function Allocators'!$J127:$O127)=0,0,($F78*'Function Allocators'!L127/SUM('Function Allocators'!$J127:$O127)))</f>
        <v>0</v>
      </c>
      <c r="P78" s="654">
        <f>IF(SUM('Function Allocators'!$J127:$O127)=0,0,($F78*'Function Allocators'!M127/SUM('Function Allocators'!$J127:$O127)))</f>
        <v>0</v>
      </c>
      <c r="Q78" s="654">
        <f>IF(SUM('Function Allocators'!$J127:$O127)=0,0,($F78*'Function Allocators'!N127/SUM('Function Allocators'!$J127:$O127)))</f>
        <v>0</v>
      </c>
      <c r="R78" s="654">
        <f>IF(SUM('Function Allocators'!$J127:$O127)=0,0,($F78*'Function Allocators'!O127/SUM('Function Allocators'!$J127:$O127)))</f>
        <v>0</v>
      </c>
      <c r="U78" s="52">
        <f>C78-SUM(D78:F78)</f>
        <v>0</v>
      </c>
      <c r="V78" s="361">
        <f>'G-4 COST OF SERVICE'!J10-SUM('Functionalization SMALL'!G78:J78)</f>
        <v>0</v>
      </c>
      <c r="W78" s="361">
        <f>'G-4 COST OF SERVICE'!K10-SUM('Functionalization SMALL'!K78:L78)</f>
        <v>0</v>
      </c>
      <c r="X78" s="361">
        <f>'G-4 COST OF SERVICE'!L10-SUM('Functionalization SMALL'!M78:R78)</f>
        <v>0</v>
      </c>
    </row>
    <row r="79" spans="1:25" ht="11.25">
      <c r="A79" s="390"/>
      <c r="C79" s="653"/>
      <c r="D79" s="653"/>
      <c r="E79" s="653"/>
      <c r="F79" s="653"/>
      <c r="G79" s="654"/>
      <c r="H79" s="654"/>
      <c r="I79" s="654"/>
      <c r="J79" s="654"/>
      <c r="K79" s="654"/>
      <c r="L79" s="654"/>
      <c r="M79" s="654"/>
      <c r="N79" s="654"/>
      <c r="O79" s="654"/>
      <c r="P79" s="654"/>
      <c r="Q79" s="654"/>
      <c r="R79" s="654"/>
      <c r="U79" s="360"/>
    </row>
    <row r="80" spans="1:25" ht="11.25">
      <c r="A80" s="463"/>
      <c r="B80" s="377" t="s">
        <v>138</v>
      </c>
      <c r="C80" s="653"/>
      <c r="D80" s="653"/>
      <c r="E80" s="653"/>
      <c r="F80" s="653"/>
      <c r="G80" s="654"/>
      <c r="H80" s="654"/>
      <c r="I80" s="654"/>
      <c r="J80" s="654"/>
      <c r="K80" s="654"/>
      <c r="L80" s="654"/>
      <c r="M80" s="654"/>
      <c r="N80" s="654"/>
      <c r="O80" s="654"/>
      <c r="P80" s="654"/>
      <c r="Q80" s="654"/>
      <c r="R80" s="654"/>
      <c r="U80" s="360"/>
      <c r="V80" s="361"/>
      <c r="W80" s="361"/>
      <c r="X80" s="361"/>
    </row>
    <row r="81" spans="1:24">
      <c r="A81" s="385">
        <v>871</v>
      </c>
      <c r="B81" s="379" t="s">
        <v>139</v>
      </c>
      <c r="C81" s="653">
        <f t="shared" ref="C81:C95" si="14">SUM(G81:R81)</f>
        <v>0</v>
      </c>
      <c r="D81" s="653">
        <f>'G-4 COST OF SERVICE'!J13</f>
        <v>0</v>
      </c>
      <c r="E81" s="653">
        <f>'G-4 COST OF SERVICE'!K13</f>
        <v>0</v>
      </c>
      <c r="F81" s="653">
        <f>'G-4 COST OF SERVICE'!L13</f>
        <v>0</v>
      </c>
      <c r="G81" s="654">
        <f>IF(SUM('Function Allocators'!$D134:$G134)=0,0,($D81*'Function Allocators'!D134/SUM('Function Allocators'!$D134:$G134)))</f>
        <v>0</v>
      </c>
      <c r="H81" s="654">
        <f>IF(SUM('Function Allocators'!$D134:$G134)=0,0,($D81*'Function Allocators'!E134/SUM('Function Allocators'!$D134:$G134)))</f>
        <v>0</v>
      </c>
      <c r="I81" s="654">
        <f>IF(SUM('Function Allocators'!$D134:$G134)=0,0,($D81*'Function Allocators'!F134/SUM('Function Allocators'!$D134:$G134)))</f>
        <v>0</v>
      </c>
      <c r="J81" s="654">
        <f>IF(SUM('Function Allocators'!$D134:$G134)=0,0,($D81*'Function Allocators'!G134/SUM('Function Allocators'!$D134:$G134)))</f>
        <v>0</v>
      </c>
      <c r="K81" s="654">
        <f>IF(SUM('Function Allocators'!$H134:$I134)=0,0,($E81*'Function Allocators'!H134/SUM('Function Allocators'!$H134:$I134)))</f>
        <v>0</v>
      </c>
      <c r="L81" s="654">
        <f>IF(SUM('Function Allocators'!$H134:$I134)=0,0,($E81*'Function Allocators'!I134/SUM('Function Allocators'!$H$134:$I$134)))</f>
        <v>0</v>
      </c>
      <c r="M81" s="654">
        <f>IF(SUM('Function Allocators'!$J134:$O134)=0,0,($F81*'Function Allocators'!J134/SUM('Function Allocators'!$J134:$O134)))</f>
        <v>0</v>
      </c>
      <c r="N81" s="654">
        <f>IF(SUM('Function Allocators'!$J134:$O134)=0,0,($F81*'Function Allocators'!K134/SUM('Function Allocators'!$J134:$O134)))</f>
        <v>0</v>
      </c>
      <c r="O81" s="654">
        <f>IF(SUM('Function Allocators'!$J134:$O134)=0,0,($F81*'Function Allocators'!L134/SUM('Function Allocators'!$J134:$O134)))</f>
        <v>0</v>
      </c>
      <c r="P81" s="654">
        <f>IF(SUM('Function Allocators'!$J134:$O134)=0,0,($F81*'Function Allocators'!M134/SUM('Function Allocators'!$J134:$O134)))</f>
        <v>0</v>
      </c>
      <c r="Q81" s="654">
        <f>IF(SUM('Function Allocators'!$J134:$O134)=0,0,($F81*'Function Allocators'!N134/SUM('Function Allocators'!$J134:$O134)))</f>
        <v>0</v>
      </c>
      <c r="R81" s="654">
        <f>IF(SUM('Function Allocators'!$J134:$O134)=0,0,($F81*'Function Allocators'!O134/SUM('Function Allocators'!$J134:$O134)))</f>
        <v>0</v>
      </c>
      <c r="T81" s="360" t="s">
        <v>228</v>
      </c>
      <c r="U81" s="52">
        <f t="shared" ref="U81:U96" si="15">C81-SUM(D81:F81)</f>
        <v>0</v>
      </c>
      <c r="V81" s="361">
        <f>'G-4 COST OF SERVICE'!J13-SUM('Functionalization SMALL'!G81:J81)</f>
        <v>0</v>
      </c>
      <c r="W81" s="361">
        <f>'G-4 COST OF SERVICE'!K13-SUM('Functionalization SMALL'!K81:L81)</f>
        <v>0</v>
      </c>
      <c r="X81" s="361">
        <f>'G-4 COST OF SERVICE'!L13-SUM('Functionalization SMALL'!M81:R81)</f>
        <v>0</v>
      </c>
    </row>
    <row r="82" spans="1:24">
      <c r="A82" s="385">
        <v>874</v>
      </c>
      <c r="B82" s="379" t="s">
        <v>140</v>
      </c>
      <c r="C82" s="653">
        <f t="shared" si="14"/>
        <v>275403.37647959101</v>
      </c>
      <c r="D82" s="653">
        <f>'G-4 COST OF SERVICE'!J14</f>
        <v>148444.6249047211</v>
      </c>
      <c r="E82" s="653">
        <f>'G-4 COST OF SERVICE'!K14</f>
        <v>0</v>
      </c>
      <c r="F82" s="653">
        <f>'G-4 COST OF SERVICE'!L14</f>
        <v>126958.75157486988</v>
      </c>
      <c r="G82" s="654">
        <f>IF(SUM('Function Allocators'!$D135:$G135)=0,0,($D82*'Function Allocators'!D135/SUM('Function Allocators'!$D135:$G135)))</f>
        <v>0</v>
      </c>
      <c r="H82" s="654">
        <f>IF(SUM('Function Allocators'!$D135:$G135)=0,0,($D82*'Function Allocators'!E135/SUM('Function Allocators'!$D135:$G135)))</f>
        <v>148444.6249047211</v>
      </c>
      <c r="I82" s="654">
        <f>IF(SUM('Function Allocators'!$D135:$G135)=0,0,($D82*'Function Allocators'!F135/SUM('Function Allocators'!$D135:$G135)))</f>
        <v>0</v>
      </c>
      <c r="J82" s="654">
        <f>IF(SUM('Function Allocators'!$D135:$G135)=0,0,($D82*'Function Allocators'!G135/SUM('Function Allocators'!$D135:$G135)))</f>
        <v>0</v>
      </c>
      <c r="K82" s="654">
        <f>IF(SUM('Function Allocators'!$H135:$I135)=0,0,($E82*'Function Allocators'!H135/SUM('Function Allocators'!$H135:$I135)))</f>
        <v>0</v>
      </c>
      <c r="L82" s="654">
        <f>IF(SUM('Function Allocators'!$H135:$I135)=0,0,($E82*'Function Allocators'!I135/SUM('Function Allocators'!$H$134:$I$134)))</f>
        <v>0</v>
      </c>
      <c r="M82" s="654">
        <f>IF(SUM('Function Allocators'!$J135:$O135)=0,0,($F82*'Function Allocators'!J135/SUM('Function Allocators'!$J135:$O135)))</f>
        <v>126958.75157486989</v>
      </c>
      <c r="N82" s="654">
        <f>IF(SUM('Function Allocators'!$J135:$O135)=0,0,($F82*'Function Allocators'!K135/SUM('Function Allocators'!$J135:$O135)))</f>
        <v>0</v>
      </c>
      <c r="O82" s="654">
        <f>IF(SUM('Function Allocators'!$J135:$O135)=0,0,($F82*'Function Allocators'!L135/SUM('Function Allocators'!$J135:$O135)))</f>
        <v>0</v>
      </c>
      <c r="P82" s="654">
        <f>IF(SUM('Function Allocators'!$J135:$O135)=0,0,($F82*'Function Allocators'!M135/SUM('Function Allocators'!$J135:$O135)))</f>
        <v>0</v>
      </c>
      <c r="Q82" s="654">
        <f>IF(SUM('Function Allocators'!$J135:$O135)=0,0,($F82*'Function Allocators'!N135/SUM('Function Allocators'!$J135:$O135)))</f>
        <v>0</v>
      </c>
      <c r="R82" s="654">
        <f>IF(SUM('Function Allocators'!$J135:$O135)=0,0,($F82*'Function Allocators'!O135/SUM('Function Allocators'!$J135:$O135)))</f>
        <v>0</v>
      </c>
      <c r="T82" s="360" t="s">
        <v>438</v>
      </c>
      <c r="U82" s="52">
        <f t="shared" si="15"/>
        <v>0</v>
      </c>
      <c r="V82" s="361">
        <f>'G-4 COST OF SERVICE'!J14-SUM('Functionalization SMALL'!G82:J82)</f>
        <v>0</v>
      </c>
      <c r="W82" s="361">
        <f>'G-4 COST OF SERVICE'!K14-SUM('Functionalization SMALL'!K82:L82)</f>
        <v>0</v>
      </c>
      <c r="X82" s="361">
        <f>'G-4 COST OF SERVICE'!L14-SUM('Functionalization SMALL'!M82:R82)</f>
        <v>0</v>
      </c>
    </row>
    <row r="83" spans="1:24">
      <c r="A83" s="385">
        <v>875</v>
      </c>
      <c r="B83" s="379" t="s">
        <v>142</v>
      </c>
      <c r="C83" s="653">
        <f t="shared" si="14"/>
        <v>98490.846453796039</v>
      </c>
      <c r="D83" s="653">
        <f>'G-4 COST OF SERVICE'!J15</f>
        <v>98490.846453796039</v>
      </c>
      <c r="E83" s="653">
        <f>'G-4 COST OF SERVICE'!K15</f>
        <v>0</v>
      </c>
      <c r="F83" s="653">
        <f>'G-4 COST OF SERVICE'!L15</f>
        <v>0</v>
      </c>
      <c r="G83" s="654">
        <f>IF(SUM('Function Allocators'!$D136:$G136)=0,0,($D83*'Function Allocators'!D136/SUM('Function Allocators'!$D136:$G136)))</f>
        <v>0</v>
      </c>
      <c r="H83" s="654">
        <f>IF(SUM('Function Allocators'!$D136:$G136)=0,0,($D83*'Function Allocators'!E136/SUM('Function Allocators'!$D136:$G136)))</f>
        <v>0</v>
      </c>
      <c r="I83" s="654">
        <f>IF(SUM('Function Allocators'!$D136:$G136)=0,0,($D83*'Function Allocators'!F136/SUM('Function Allocators'!$D136:$G136)))</f>
        <v>98490.846453796039</v>
      </c>
      <c r="J83" s="654">
        <f>IF(SUM('Function Allocators'!$D136:$G136)=0,0,($D83*'Function Allocators'!G136/SUM('Function Allocators'!$D136:$G136)))</f>
        <v>0</v>
      </c>
      <c r="K83" s="654">
        <f>IF(SUM('Function Allocators'!$H136:$I136)=0,0,($E83*'Function Allocators'!H136/SUM('Function Allocators'!$H136:$I136)))</f>
        <v>0</v>
      </c>
      <c r="L83" s="654">
        <f>IF(SUM('Function Allocators'!$H136:$I136)=0,0,($E83*'Function Allocators'!I136/SUM('Function Allocators'!$H$134:$I$134)))</f>
        <v>0</v>
      </c>
      <c r="M83" s="654">
        <f>IF(SUM('Function Allocators'!$J136:$O136)=0,0,($F83*'Function Allocators'!J136/SUM('Function Allocators'!$J136:$O136)))</f>
        <v>0</v>
      </c>
      <c r="N83" s="654">
        <f>IF(SUM('Function Allocators'!$J136:$O136)=0,0,($F83*'Function Allocators'!K136/SUM('Function Allocators'!$J136:$O136)))</f>
        <v>0</v>
      </c>
      <c r="O83" s="654">
        <f>IF(SUM('Function Allocators'!$J136:$O136)=0,0,($F83*'Function Allocators'!L136/SUM('Function Allocators'!$J136:$O136)))</f>
        <v>0</v>
      </c>
      <c r="P83" s="654">
        <f>IF(SUM('Function Allocators'!$J136:$O136)=0,0,($F83*'Function Allocators'!M136/SUM('Function Allocators'!$J136:$O136)))</f>
        <v>0</v>
      </c>
      <c r="Q83" s="654">
        <f>IF(SUM('Function Allocators'!$J136:$O136)=0,0,($F83*'Function Allocators'!N136/SUM('Function Allocators'!$J136:$O136)))</f>
        <v>0</v>
      </c>
      <c r="R83" s="654">
        <f>IF(SUM('Function Allocators'!$J136:$O136)=0,0,($F83*'Function Allocators'!O136/SUM('Function Allocators'!$J136:$O136)))</f>
        <v>0</v>
      </c>
      <c r="T83" s="360" t="s">
        <v>431</v>
      </c>
      <c r="U83" s="52">
        <f t="shared" si="15"/>
        <v>0</v>
      </c>
      <c r="V83" s="361">
        <f>'G-4 COST OF SERVICE'!J15-SUM('Functionalization SMALL'!G83:J83)</f>
        <v>0</v>
      </c>
      <c r="W83" s="361">
        <f>'G-4 COST OF SERVICE'!K15-SUM('Functionalization SMALL'!K83:L83)</f>
        <v>0</v>
      </c>
      <c r="X83" s="361">
        <f>'G-4 COST OF SERVICE'!L15-SUM('Functionalization SMALL'!M83:R83)</f>
        <v>0</v>
      </c>
    </row>
    <row r="84" spans="1:24">
      <c r="A84" s="385">
        <v>876</v>
      </c>
      <c r="B84" s="379" t="s">
        <v>144</v>
      </c>
      <c r="C84" s="653">
        <f t="shared" si="14"/>
        <v>29376.041701261409</v>
      </c>
      <c r="D84" s="653">
        <f>'G-4 COST OF SERVICE'!J16</f>
        <v>29376.041701261409</v>
      </c>
      <c r="E84" s="653">
        <f>'G-4 COST OF SERVICE'!K16</f>
        <v>0</v>
      </c>
      <c r="F84" s="653">
        <f>'G-4 COST OF SERVICE'!L16</f>
        <v>0</v>
      </c>
      <c r="G84" s="654">
        <f>IF(SUM('Function Allocators'!$D137:$G137)=0,0,($D84*'Function Allocators'!D137/SUM('Function Allocators'!$D137:$G137)))</f>
        <v>0</v>
      </c>
      <c r="H84" s="654">
        <f>IF(SUM('Function Allocators'!$D137:$G137)=0,0,($D84*'Function Allocators'!E137/SUM('Function Allocators'!$D137:$G137)))</f>
        <v>0</v>
      </c>
      <c r="I84" s="654">
        <f>IF(SUM('Function Allocators'!$D137:$G137)=0,0,($D84*'Function Allocators'!F137/SUM('Function Allocators'!$D137:$G137)))</f>
        <v>29376.041701261409</v>
      </c>
      <c r="J84" s="654">
        <f>IF(SUM('Function Allocators'!$D137:$G137)=0,0,($D84*'Function Allocators'!G137/SUM('Function Allocators'!$D137:$G137)))</f>
        <v>0</v>
      </c>
      <c r="K84" s="654">
        <f>IF(SUM('Function Allocators'!$H137:$I137)=0,0,($E84*'Function Allocators'!H137/SUM('Function Allocators'!$H137:$I137)))</f>
        <v>0</v>
      </c>
      <c r="L84" s="654">
        <f>IF(SUM('Function Allocators'!$H137:$I137)=0,0,($E84*'Function Allocators'!I137/SUM('Function Allocators'!$H$134:$I$134)))</f>
        <v>0</v>
      </c>
      <c r="M84" s="654">
        <f>IF(SUM('Function Allocators'!$J137:$O137)=0,0,($F84*'Function Allocators'!J137/SUM('Function Allocators'!$J137:$O137)))</f>
        <v>0</v>
      </c>
      <c r="N84" s="654">
        <f>IF(SUM('Function Allocators'!$J137:$O137)=0,0,($F84*'Function Allocators'!K137/SUM('Function Allocators'!$J137:$O137)))</f>
        <v>0</v>
      </c>
      <c r="O84" s="654">
        <f>IF(SUM('Function Allocators'!$J137:$O137)=0,0,($F84*'Function Allocators'!L137/SUM('Function Allocators'!$J137:$O137)))</f>
        <v>0</v>
      </c>
      <c r="P84" s="654">
        <f>IF(SUM('Function Allocators'!$J137:$O137)=0,0,($F84*'Function Allocators'!M137/SUM('Function Allocators'!$J137:$O137)))</f>
        <v>0</v>
      </c>
      <c r="Q84" s="654">
        <f>IF(SUM('Function Allocators'!$J137:$O137)=0,0,($F84*'Function Allocators'!N137/SUM('Function Allocators'!$J137:$O137)))</f>
        <v>0</v>
      </c>
      <c r="R84" s="654">
        <f>IF(SUM('Function Allocators'!$J137:$O137)=0,0,($F84*'Function Allocators'!O137/SUM('Function Allocators'!$J137:$O137)))</f>
        <v>0</v>
      </c>
      <c r="T84" s="360" t="s">
        <v>431</v>
      </c>
      <c r="U84" s="52">
        <f t="shared" si="15"/>
        <v>0</v>
      </c>
      <c r="V84" s="361">
        <f>'G-4 COST OF SERVICE'!J16-SUM('Functionalization SMALL'!G84:J84)</f>
        <v>0</v>
      </c>
      <c r="W84" s="361">
        <f>'G-4 COST OF SERVICE'!K16-SUM('Functionalization SMALL'!K84:L84)</f>
        <v>0</v>
      </c>
      <c r="X84" s="361">
        <f>'G-4 COST OF SERVICE'!L16-SUM('Functionalization SMALL'!M84:R84)</f>
        <v>0</v>
      </c>
    </row>
    <row r="85" spans="1:24">
      <c r="A85" s="385">
        <v>877</v>
      </c>
      <c r="B85" s="379" t="s">
        <v>145</v>
      </c>
      <c r="C85" s="653">
        <f t="shared" si="14"/>
        <v>18196.462928500423</v>
      </c>
      <c r="D85" s="653">
        <f>'G-4 COST OF SERVICE'!J17</f>
        <v>18196.462928500423</v>
      </c>
      <c r="E85" s="653">
        <f>'G-4 COST OF SERVICE'!K17</f>
        <v>0</v>
      </c>
      <c r="F85" s="653">
        <f>'G-4 COST OF SERVICE'!L17</f>
        <v>0</v>
      </c>
      <c r="G85" s="654">
        <f>IF(SUM('Function Allocators'!$D138:$G138)=0,0,($D85*'Function Allocators'!D138/SUM('Function Allocators'!$D138:$G138)))</f>
        <v>0</v>
      </c>
      <c r="H85" s="654">
        <f>IF(SUM('Function Allocators'!$D138:$G138)=0,0,($D85*'Function Allocators'!E138/SUM('Function Allocators'!$D138:$G138)))</f>
        <v>0</v>
      </c>
      <c r="I85" s="654">
        <f>IF(SUM('Function Allocators'!$D138:$G138)=0,0,($D85*'Function Allocators'!F138/SUM('Function Allocators'!$D138:$G138)))</f>
        <v>18196.462928500423</v>
      </c>
      <c r="J85" s="654">
        <f>IF(SUM('Function Allocators'!$D138:$G138)=0,0,($D85*'Function Allocators'!G138/SUM('Function Allocators'!$D138:$G138)))</f>
        <v>0</v>
      </c>
      <c r="K85" s="654">
        <f>IF(SUM('Function Allocators'!$H138:$I138)=0,0,($E85*'Function Allocators'!H138/SUM('Function Allocators'!$H138:$I138)))</f>
        <v>0</v>
      </c>
      <c r="L85" s="654">
        <f>IF(SUM('Function Allocators'!$H138:$I138)=0,0,($E85*'Function Allocators'!I138/SUM('Function Allocators'!$H$134:$I$134)))</f>
        <v>0</v>
      </c>
      <c r="M85" s="654">
        <f>IF(SUM('Function Allocators'!$J138:$O138)=0,0,($F85*'Function Allocators'!J138/SUM('Function Allocators'!$J138:$O138)))</f>
        <v>0</v>
      </c>
      <c r="N85" s="654">
        <f>IF(SUM('Function Allocators'!$J138:$O138)=0,0,($F85*'Function Allocators'!K138/SUM('Function Allocators'!$J138:$O138)))</f>
        <v>0</v>
      </c>
      <c r="O85" s="654">
        <f>IF(SUM('Function Allocators'!$J138:$O138)=0,0,($F85*'Function Allocators'!L138/SUM('Function Allocators'!$J138:$O138)))</f>
        <v>0</v>
      </c>
      <c r="P85" s="654">
        <f>IF(SUM('Function Allocators'!$J138:$O138)=0,0,($F85*'Function Allocators'!M138/SUM('Function Allocators'!$J138:$O138)))</f>
        <v>0</v>
      </c>
      <c r="Q85" s="654">
        <f>IF(SUM('Function Allocators'!$J138:$O138)=0,0,($F85*'Function Allocators'!N138/SUM('Function Allocators'!$J138:$O138)))</f>
        <v>0</v>
      </c>
      <c r="R85" s="654">
        <f>IF(SUM('Function Allocators'!$J138:$O138)=0,0,($F85*'Function Allocators'!O138/SUM('Function Allocators'!$J138:$O138)))</f>
        <v>0</v>
      </c>
      <c r="T85" s="360" t="s">
        <v>431</v>
      </c>
      <c r="U85" s="52">
        <f t="shared" si="15"/>
        <v>0</v>
      </c>
      <c r="V85" s="361">
        <f>'G-4 COST OF SERVICE'!J17-SUM('Functionalization SMALL'!G85:J85)</f>
        <v>0</v>
      </c>
      <c r="W85" s="361">
        <f>'G-4 COST OF SERVICE'!K17-SUM('Functionalization SMALL'!K85:L85)</f>
        <v>0</v>
      </c>
      <c r="X85" s="361">
        <f>'G-4 COST OF SERVICE'!L17-SUM('Functionalization SMALL'!M85:R85)</f>
        <v>0</v>
      </c>
    </row>
    <row r="86" spans="1:24">
      <c r="A86" s="385">
        <v>878</v>
      </c>
      <c r="B86" s="379" t="s">
        <v>146</v>
      </c>
      <c r="C86" s="653">
        <f t="shared" si="14"/>
        <v>114807.75081080657</v>
      </c>
      <c r="D86" s="653">
        <f>'G-4 COST OF SERVICE'!J18</f>
        <v>0</v>
      </c>
      <c r="E86" s="653">
        <f>'G-4 COST OF SERVICE'!K18</f>
        <v>0</v>
      </c>
      <c r="F86" s="653">
        <f>'G-4 COST OF SERVICE'!L18</f>
        <v>114807.75081080655</v>
      </c>
      <c r="G86" s="654">
        <f>IF(SUM('Function Allocators'!$D139:$G139)=0,0,($D86*'Function Allocators'!D139/SUM('Function Allocators'!$D139:$G139)))</f>
        <v>0</v>
      </c>
      <c r="H86" s="654">
        <f>IF(SUM('Function Allocators'!$D139:$G139)=0,0,($D86*'Function Allocators'!E139/SUM('Function Allocators'!$D139:$G139)))</f>
        <v>0</v>
      </c>
      <c r="I86" s="654">
        <f>IF(SUM('Function Allocators'!$D139:$G139)=0,0,($D86*'Function Allocators'!F139/SUM('Function Allocators'!$D139:$G139)))</f>
        <v>0</v>
      </c>
      <c r="J86" s="654">
        <f>IF(SUM('Function Allocators'!$D139:$G139)=0,0,($D86*'Function Allocators'!G139/SUM('Function Allocators'!$D139:$G139)))</f>
        <v>0</v>
      </c>
      <c r="K86" s="654">
        <f>IF(SUM('Function Allocators'!$H139:$I139)=0,0,($E86*'Function Allocators'!H139/SUM('Function Allocators'!$H139:$I139)))</f>
        <v>0</v>
      </c>
      <c r="L86" s="654">
        <f>IF(SUM('Function Allocators'!$H139:$I139)=0,0,($E86*'Function Allocators'!I139/SUM('Function Allocators'!$H$134:$I$134)))</f>
        <v>0</v>
      </c>
      <c r="M86" s="654">
        <f>IF(SUM('Function Allocators'!$J139:$O139)=0,0,($F86*'Function Allocators'!J139/SUM('Function Allocators'!$J139:$O139)))</f>
        <v>0</v>
      </c>
      <c r="N86" s="654">
        <f>IF(SUM('Function Allocators'!$J139:$O139)=0,0,($F86*'Function Allocators'!K139/SUM('Function Allocators'!$J139:$O139)))</f>
        <v>99701.26907856563</v>
      </c>
      <c r="O86" s="654">
        <f>IF(SUM('Function Allocators'!$J139:$O139)=0,0,($F86*'Function Allocators'!L139/SUM('Function Allocators'!$J139:$O139)))</f>
        <v>15106.481732240934</v>
      </c>
      <c r="P86" s="654">
        <f>IF(SUM('Function Allocators'!$J139:$O139)=0,0,($F86*'Function Allocators'!M139/SUM('Function Allocators'!$J139:$O139)))</f>
        <v>0</v>
      </c>
      <c r="Q86" s="654">
        <f>IF(SUM('Function Allocators'!$J139:$O139)=0,0,($F86*'Function Allocators'!N139/SUM('Function Allocators'!$J139:$O139)))</f>
        <v>0</v>
      </c>
      <c r="R86" s="654">
        <f>IF(SUM('Function Allocators'!$J139:$O139)=0,0,($F86*'Function Allocators'!O139/SUM('Function Allocators'!$J139:$O139)))</f>
        <v>0</v>
      </c>
      <c r="T86" s="360" t="s">
        <v>439</v>
      </c>
      <c r="U86" s="52">
        <f t="shared" si="15"/>
        <v>0</v>
      </c>
      <c r="V86" s="361">
        <f>'G-4 COST OF SERVICE'!J18-SUM('Functionalization SMALL'!G86:J86)</f>
        <v>0</v>
      </c>
      <c r="W86" s="361">
        <f>'G-4 COST OF SERVICE'!K18-SUM('Functionalization SMALL'!K86:L86)</f>
        <v>0</v>
      </c>
      <c r="X86" s="361">
        <f>'G-4 COST OF SERVICE'!L18-SUM('Functionalization SMALL'!M86:R86)</f>
        <v>0</v>
      </c>
    </row>
    <row r="87" spans="1:24">
      <c r="A87" s="385">
        <v>879</v>
      </c>
      <c r="B87" s="379" t="s">
        <v>148</v>
      </c>
      <c r="C87" s="653">
        <f t="shared" si="14"/>
        <v>106748.35027084916</v>
      </c>
      <c r="D87" s="653">
        <f>'G-4 COST OF SERVICE'!J19</f>
        <v>0</v>
      </c>
      <c r="E87" s="653">
        <f>'G-4 COST OF SERVICE'!K19</f>
        <v>0</v>
      </c>
      <c r="F87" s="653">
        <f>'G-4 COST OF SERVICE'!L19</f>
        <v>106748.35027084914</v>
      </c>
      <c r="G87" s="654">
        <f>IF(SUM('Function Allocators'!$D140:$G140)=0,0,($D87*'Function Allocators'!D140/SUM('Function Allocators'!$D140:$G140)))</f>
        <v>0</v>
      </c>
      <c r="H87" s="654">
        <f>IF(SUM('Function Allocators'!$D140:$G140)=0,0,($D87*'Function Allocators'!E140/SUM('Function Allocators'!$D140:$G140)))</f>
        <v>0</v>
      </c>
      <c r="I87" s="654">
        <f>IF(SUM('Function Allocators'!$D140:$G140)=0,0,($D87*'Function Allocators'!F140/SUM('Function Allocators'!$D140:$G140)))</f>
        <v>0</v>
      </c>
      <c r="J87" s="654">
        <f>IF(SUM('Function Allocators'!$D140:$G140)=0,0,($D87*'Function Allocators'!G140/SUM('Function Allocators'!$D140:$G140)))</f>
        <v>0</v>
      </c>
      <c r="K87" s="654">
        <f>IF(SUM('Function Allocators'!$H140:$I140)=0,0,($E87*'Function Allocators'!H140/SUM('Function Allocators'!$H140:$I140)))</f>
        <v>0</v>
      </c>
      <c r="L87" s="654">
        <f>IF(SUM('Function Allocators'!$H140:$I140)=0,0,($E87*'Function Allocators'!I140/SUM('Function Allocators'!$H$134:$I$134)))</f>
        <v>0</v>
      </c>
      <c r="M87" s="654">
        <f>IF(SUM('Function Allocators'!$J140:$O140)=0,0,($F87*'Function Allocators'!J140/SUM('Function Allocators'!$J140:$O140)))</f>
        <v>0</v>
      </c>
      <c r="N87" s="654">
        <f>IF(SUM('Function Allocators'!$J140:$O140)=0,0,($F87*'Function Allocators'!K140/SUM('Function Allocators'!$J140:$O140)))</f>
        <v>92702.329928800522</v>
      </c>
      <c r="O87" s="654">
        <f>IF(SUM('Function Allocators'!$J140:$O140)=0,0,($F87*'Function Allocators'!L140/SUM('Function Allocators'!$J140:$O140)))</f>
        <v>14046.020342048632</v>
      </c>
      <c r="P87" s="654">
        <f>IF(SUM('Function Allocators'!$J140:$O140)=0,0,($F87*'Function Allocators'!M140/SUM('Function Allocators'!$J140:$O140)))</f>
        <v>0</v>
      </c>
      <c r="Q87" s="654">
        <f>IF(SUM('Function Allocators'!$J140:$O140)=0,0,($F87*'Function Allocators'!N140/SUM('Function Allocators'!$J140:$O140)))</f>
        <v>0</v>
      </c>
      <c r="R87" s="654">
        <f>IF(SUM('Function Allocators'!$J140:$O140)=0,0,($F87*'Function Allocators'!O140/SUM('Function Allocators'!$J140:$O140)))</f>
        <v>0</v>
      </c>
      <c r="T87" s="360" t="s">
        <v>439</v>
      </c>
      <c r="U87" s="52">
        <f t="shared" si="15"/>
        <v>0</v>
      </c>
      <c r="V87" s="361">
        <f>'G-4 COST OF SERVICE'!J19-SUM('Functionalization SMALL'!G87:J87)</f>
        <v>0</v>
      </c>
      <c r="W87" s="361">
        <f>'G-4 COST OF SERVICE'!K19-SUM('Functionalization SMALL'!K87:L87)</f>
        <v>0</v>
      </c>
      <c r="X87" s="361">
        <f>'G-4 COST OF SERVICE'!L19-SUM('Functionalization SMALL'!M87:R87)</f>
        <v>0</v>
      </c>
    </row>
    <row r="88" spans="1:24" ht="12" customHeight="1">
      <c r="A88" s="385">
        <v>880</v>
      </c>
      <c r="B88" s="379" t="s">
        <v>149</v>
      </c>
      <c r="C88" s="653">
        <f t="shared" si="14"/>
        <v>300329.63168382976</v>
      </c>
      <c r="D88" s="653">
        <f>'G-4 COST OF SERVICE'!J20</f>
        <v>140816.21410155512</v>
      </c>
      <c r="E88" s="653">
        <f>'G-4 COST OF SERVICE'!K20</f>
        <v>0</v>
      </c>
      <c r="F88" s="653">
        <f>'G-4 COST OF SERVICE'!L20</f>
        <v>159513.41758227465</v>
      </c>
      <c r="G88" s="654">
        <f>IF(SUM('Function Allocators'!$D141:$G141)=0,0,($D88*'Function Allocators'!D141/SUM('Function Allocators'!$D141:$G141)))</f>
        <v>0</v>
      </c>
      <c r="H88" s="654">
        <f>IF(SUM('Function Allocators'!$D141:$G141)=0,0,($D88*'Function Allocators'!E141/SUM('Function Allocators'!$D141:$G141)))</f>
        <v>127438.41561833893</v>
      </c>
      <c r="I88" s="654">
        <f>IF(SUM('Function Allocators'!$D141:$G141)=0,0,($D88*'Function Allocators'!F141/SUM('Function Allocators'!$D141:$G141)))</f>
        <v>10477.565765396679</v>
      </c>
      <c r="J88" s="654">
        <f>IF(SUM('Function Allocators'!$D141:$G141)=0,0,($D88*'Function Allocators'!G141/SUM('Function Allocators'!$D141:$G141)))</f>
        <v>2900.2327178194951</v>
      </c>
      <c r="K88" s="654">
        <f>IF(SUM('Function Allocators'!$H141:$I141)=0,0,($E88*'Function Allocators'!H141/SUM('Function Allocators'!$H141:$I141)))</f>
        <v>0</v>
      </c>
      <c r="L88" s="654">
        <f>IF(SUM('Function Allocators'!$H141:$I141)=0,0,($E88*'Function Allocators'!I141/SUM('Function Allocators'!$H$134:$I$134)))</f>
        <v>0</v>
      </c>
      <c r="M88" s="654">
        <f>IF(SUM('Function Allocators'!$J141:$O141)=0,0,($F88*'Function Allocators'!J141/SUM('Function Allocators'!$J141:$O141)))</f>
        <v>129306.92412435998</v>
      </c>
      <c r="N88" s="654">
        <f>IF(SUM('Function Allocators'!$J141:$O141)=0,0,($F88*'Function Allocators'!K141/SUM('Function Allocators'!$J141:$O141)))</f>
        <v>24896.737277194545</v>
      </c>
      <c r="O88" s="654">
        <f>IF(SUM('Function Allocators'!$J141:$O141)=0,0,($F88*'Function Allocators'!L141/SUM('Function Allocators'!$J141:$O141)))</f>
        <v>5309.7561807201137</v>
      </c>
      <c r="P88" s="654">
        <f>IF(SUM('Function Allocators'!$J141:$O141)=0,0,($F88*'Function Allocators'!M141/SUM('Function Allocators'!$J141:$O141)))</f>
        <v>0</v>
      </c>
      <c r="Q88" s="654">
        <f>IF(SUM('Function Allocators'!$J141:$O141)=0,0,($F88*'Function Allocators'!N141/SUM('Function Allocators'!$J141:$O141)))</f>
        <v>0</v>
      </c>
      <c r="R88" s="654">
        <f>IF(SUM('Function Allocators'!$J141:$O141)=0,0,($F88*'Function Allocators'!O141/SUM('Function Allocators'!$J141:$O141)))</f>
        <v>0</v>
      </c>
      <c r="T88" s="360" t="s">
        <v>441</v>
      </c>
      <c r="U88" s="52">
        <f t="shared" si="15"/>
        <v>0</v>
      </c>
      <c r="V88" s="361">
        <f>'G-4 COST OF SERVICE'!J20-SUM('Functionalization SMALL'!G88:J88)</f>
        <v>0</v>
      </c>
      <c r="W88" s="361">
        <f>'G-4 COST OF SERVICE'!K20-SUM('Functionalization SMALL'!K88:L88)</f>
        <v>0</v>
      </c>
      <c r="X88" s="361">
        <f>'G-4 COST OF SERVICE'!L20-SUM('Functionalization SMALL'!M88:R88)</f>
        <v>0</v>
      </c>
    </row>
    <row r="89" spans="1:24">
      <c r="A89" s="385">
        <v>881</v>
      </c>
      <c r="B89" s="379" t="s">
        <v>151</v>
      </c>
      <c r="C89" s="653">
        <f t="shared" si="14"/>
        <v>5016.1032048874495</v>
      </c>
      <c r="D89" s="653">
        <f>'G-4 COST OF SERVICE'!J21</f>
        <v>5016.1032048874495</v>
      </c>
      <c r="E89" s="653">
        <f>'G-4 COST OF SERVICE'!K21</f>
        <v>0</v>
      </c>
      <c r="F89" s="653">
        <f>'G-4 COST OF SERVICE'!L21</f>
        <v>0</v>
      </c>
      <c r="G89" s="654">
        <f>IF(SUM('Function Allocators'!$D142:$G142)=0,0,($D89*'Function Allocators'!D142/SUM('Function Allocators'!$D142:$G142)))</f>
        <v>0</v>
      </c>
      <c r="H89" s="654">
        <f>IF(SUM('Function Allocators'!$D142:$G142)=0,0,($D89*'Function Allocators'!E142/SUM('Function Allocators'!$D142:$G142)))</f>
        <v>4664.3789236594512</v>
      </c>
      <c r="I89" s="654">
        <f>IF(SUM('Function Allocators'!$D142:$G142)=0,0,($D89*'Function Allocators'!F142/SUM('Function Allocators'!$D142:$G142)))</f>
        <v>351.72428122799846</v>
      </c>
      <c r="J89" s="654">
        <f>IF(SUM('Function Allocators'!$D142:$G142)=0,0,($D89*'Function Allocators'!G142/SUM('Function Allocators'!$D142:$G142)))</f>
        <v>0</v>
      </c>
      <c r="K89" s="654">
        <f>IF(SUM('Function Allocators'!$H142:$I142)=0,0,($E89*'Function Allocators'!H142/SUM('Function Allocators'!$H142:$I142)))</f>
        <v>0</v>
      </c>
      <c r="L89" s="654">
        <f>IF(SUM('Function Allocators'!$H142:$I142)=0,0,($E89*'Function Allocators'!I142/SUM('Function Allocators'!$H$134:$I$134)))</f>
        <v>0</v>
      </c>
      <c r="M89" s="654">
        <f>IF(SUM('Function Allocators'!$J142:$O142)=0,0,($F89*'Function Allocators'!J142/SUM('Function Allocators'!$J142:$O142)))</f>
        <v>0</v>
      </c>
      <c r="N89" s="654">
        <f>IF(SUM('Function Allocators'!$J142:$O142)=0,0,($F89*'Function Allocators'!K142/SUM('Function Allocators'!$J142:$O142)))</f>
        <v>0</v>
      </c>
      <c r="O89" s="654">
        <f>IF(SUM('Function Allocators'!$J142:$O142)=0,0,($F89*'Function Allocators'!L142/SUM('Function Allocators'!$J142:$O142)))</f>
        <v>0</v>
      </c>
      <c r="P89" s="654">
        <f>IF(SUM('Function Allocators'!$J142:$O142)=0,0,($F89*'Function Allocators'!M142/SUM('Function Allocators'!$J142:$O142)))</f>
        <v>0</v>
      </c>
      <c r="Q89" s="654">
        <f>IF(SUM('Function Allocators'!$J142:$O142)=0,0,($F89*'Function Allocators'!N142/SUM('Function Allocators'!$J142:$O142)))</f>
        <v>0</v>
      </c>
      <c r="R89" s="654">
        <f>IF(SUM('Function Allocators'!$J142:$O142)=0,0,($F89*'Function Allocators'!O142/SUM('Function Allocators'!$J142:$O142)))</f>
        <v>0</v>
      </c>
      <c r="T89" s="360" t="s">
        <v>441</v>
      </c>
      <c r="U89" s="52">
        <f t="shared" si="15"/>
        <v>0</v>
      </c>
      <c r="V89" s="361">
        <f>'G-4 COST OF SERVICE'!J21-SUM('Functionalization SMALL'!G89:J89)</f>
        <v>0</v>
      </c>
      <c r="W89" s="361">
        <f>'G-4 COST OF SERVICE'!K21-SUM('Functionalization SMALL'!K89:L89)</f>
        <v>0</v>
      </c>
      <c r="X89" s="361">
        <f>'G-4 COST OF SERVICE'!L21-SUM('Functionalization SMALL'!M89:R89)</f>
        <v>0</v>
      </c>
    </row>
    <row r="90" spans="1:24">
      <c r="A90" s="385">
        <v>885</v>
      </c>
      <c r="B90" s="379" t="s">
        <v>152</v>
      </c>
      <c r="C90" s="653">
        <f t="shared" si="14"/>
        <v>22078.91515469076</v>
      </c>
      <c r="D90" s="653">
        <f>'G-4 COST OF SERVICE'!J22</f>
        <v>9107.8417147832806</v>
      </c>
      <c r="E90" s="653">
        <f>'G-4 COST OF SERVICE'!K22</f>
        <v>0</v>
      </c>
      <c r="F90" s="653">
        <f>'G-4 COST OF SERVICE'!L22</f>
        <v>12971.073439907479</v>
      </c>
      <c r="G90" s="654">
        <f>IF(SUM('Function Allocators'!$D143:$G143)=0,0,($D90*'Function Allocators'!D143/SUM('Function Allocators'!$D143:$G143)))</f>
        <v>0</v>
      </c>
      <c r="H90" s="654">
        <f>IF(SUM('Function Allocators'!$D143:$G143)=0,0,($D90*'Function Allocators'!E143/SUM('Function Allocators'!$D143:$G143)))</f>
        <v>6402.9589937209648</v>
      </c>
      <c r="I90" s="654">
        <f>IF(SUM('Function Allocators'!$D143:$G143)=0,0,($D90*'Function Allocators'!F143/SUM('Function Allocators'!$D143:$G143)))</f>
        <v>2621.1830088606075</v>
      </c>
      <c r="J90" s="654">
        <f>IF(SUM('Function Allocators'!$D143:$G143)=0,0,($D90*'Function Allocators'!G143/SUM('Function Allocators'!$D143:$G143)))</f>
        <v>83.699712201707925</v>
      </c>
      <c r="K90" s="654">
        <f>IF(SUM('Function Allocators'!$H143:$I143)=0,0,($E90*'Function Allocators'!H143/SUM('Function Allocators'!$H143:$I143)))</f>
        <v>0</v>
      </c>
      <c r="L90" s="654">
        <f>IF(SUM('Function Allocators'!$H143:$I143)=0,0,($E90*'Function Allocators'!I143/SUM('Function Allocators'!$H$134:$I$134)))</f>
        <v>0</v>
      </c>
      <c r="M90" s="654">
        <f>IF(SUM('Function Allocators'!$J143:$O143)=0,0,($F90*'Function Allocators'!J143/SUM('Function Allocators'!$J143:$O143)))</f>
        <v>5427.8695870165238</v>
      </c>
      <c r="N90" s="654">
        <f>IF(SUM('Function Allocators'!$J143:$O143)=0,0,($F90*'Function Allocators'!K143/SUM('Function Allocators'!$J143:$O143)))</f>
        <v>6541.5374218531833</v>
      </c>
      <c r="O90" s="654">
        <f>IF(SUM('Function Allocators'!$J143:$O143)=0,0,($F90*'Function Allocators'!L143/SUM('Function Allocators'!$J143:$O143)))</f>
        <v>1001.6664310377729</v>
      </c>
      <c r="P90" s="654">
        <f>IF(SUM('Function Allocators'!$J143:$O143)=0,0,($F90*'Function Allocators'!M143/SUM('Function Allocators'!$J143:$O143)))</f>
        <v>0</v>
      </c>
      <c r="Q90" s="654">
        <f>IF(SUM('Function Allocators'!$J143:$O143)=0,0,($F90*'Function Allocators'!N143/SUM('Function Allocators'!$J143:$O143)))</f>
        <v>0</v>
      </c>
      <c r="R90" s="654">
        <f>IF(SUM('Function Allocators'!$J143:$O143)=0,0,($F90*'Function Allocators'!O143/SUM('Function Allocators'!$J143:$O143)))</f>
        <v>0</v>
      </c>
      <c r="T90" s="360" t="s">
        <v>441</v>
      </c>
      <c r="U90" s="52">
        <f t="shared" si="15"/>
        <v>0</v>
      </c>
      <c r="V90" s="361">
        <f>'G-4 COST OF SERVICE'!J22-SUM('Functionalization SMALL'!G90:J90)</f>
        <v>0</v>
      </c>
      <c r="W90" s="361">
        <f>'G-4 COST OF SERVICE'!K22-SUM('Functionalization SMALL'!K90:L90)</f>
        <v>0</v>
      </c>
      <c r="X90" s="361">
        <f>'G-4 COST OF SERVICE'!L22-SUM('Functionalization SMALL'!M90:R90)</f>
        <v>0</v>
      </c>
    </row>
    <row r="91" spans="1:24">
      <c r="A91" s="385">
        <v>887</v>
      </c>
      <c r="B91" s="379" t="s">
        <v>154</v>
      </c>
      <c r="C91" s="653">
        <f t="shared" si="14"/>
        <v>90604.329058781979</v>
      </c>
      <c r="D91" s="653">
        <f>'G-4 COST OF SERVICE'!J23</f>
        <v>67050.900161816389</v>
      </c>
      <c r="E91" s="653">
        <f>'G-4 COST OF SERVICE'!K23</f>
        <v>0</v>
      </c>
      <c r="F91" s="653">
        <f>'G-4 COST OF SERVICE'!L23</f>
        <v>23553.428896965594</v>
      </c>
      <c r="G91" s="654">
        <f>IF(SUM('Function Allocators'!$D144:$G144)=0,0,($D91*'Function Allocators'!D144/SUM('Function Allocators'!$D144:$G144)))</f>
        <v>0</v>
      </c>
      <c r="H91" s="654">
        <f>IF(SUM('Function Allocators'!$D144:$G144)=0,0,($D91*'Function Allocators'!E144/SUM('Function Allocators'!$D144:$G144)))</f>
        <v>67050.900161816389</v>
      </c>
      <c r="I91" s="654">
        <f>IF(SUM('Function Allocators'!$D144:$G144)=0,0,($D91*'Function Allocators'!F144/SUM('Function Allocators'!$D144:$G144)))</f>
        <v>0</v>
      </c>
      <c r="J91" s="654">
        <f>IF(SUM('Function Allocators'!$D144:$G144)=0,0,($D91*'Function Allocators'!G144/SUM('Function Allocators'!$D144:$G144)))</f>
        <v>0</v>
      </c>
      <c r="K91" s="654">
        <f>IF(SUM('Function Allocators'!$H144:$I144)=0,0,($E91*'Function Allocators'!H144/SUM('Function Allocators'!$H144:$I144)))</f>
        <v>0</v>
      </c>
      <c r="L91" s="654">
        <f>IF(SUM('Function Allocators'!$H144:$I144)=0,0,($E91*'Function Allocators'!I144/SUM('Function Allocators'!$H$134:$I$134)))</f>
        <v>0</v>
      </c>
      <c r="M91" s="654">
        <f>IF(SUM('Function Allocators'!$J144:$O144)=0,0,($F91*'Function Allocators'!J144/SUM('Function Allocators'!$J144:$O144)))</f>
        <v>23553.428896965594</v>
      </c>
      <c r="N91" s="654">
        <f>IF(SUM('Function Allocators'!$J144:$O144)=0,0,($F91*'Function Allocators'!K144/SUM('Function Allocators'!$J144:$O144)))</f>
        <v>0</v>
      </c>
      <c r="O91" s="654">
        <f>IF(SUM('Function Allocators'!$J144:$O144)=0,0,($F91*'Function Allocators'!L144/SUM('Function Allocators'!$J144:$O144)))</f>
        <v>0</v>
      </c>
      <c r="P91" s="654">
        <f>IF(SUM('Function Allocators'!$J144:$O144)=0,0,($F91*'Function Allocators'!M144/SUM('Function Allocators'!$J144:$O144)))</f>
        <v>0</v>
      </c>
      <c r="Q91" s="654">
        <f>IF(SUM('Function Allocators'!$J144:$O144)=0,0,($F91*'Function Allocators'!N144/SUM('Function Allocators'!$J144:$O144)))</f>
        <v>0</v>
      </c>
      <c r="R91" s="654">
        <f>IF(SUM('Function Allocators'!$J144:$O144)=0,0,($F91*'Function Allocators'!O144/SUM('Function Allocators'!$J144:$O144)))</f>
        <v>0</v>
      </c>
      <c r="T91" s="360" t="s">
        <v>442</v>
      </c>
      <c r="U91" s="52">
        <f t="shared" si="15"/>
        <v>0</v>
      </c>
      <c r="V91" s="361">
        <f>'G-4 COST OF SERVICE'!J23-SUM('Functionalization SMALL'!G91:J91)</f>
        <v>0</v>
      </c>
      <c r="W91" s="361">
        <f>'G-4 COST OF SERVICE'!K23-SUM('Functionalization SMALL'!K91:L91)</f>
        <v>0</v>
      </c>
      <c r="X91" s="361">
        <f>'G-4 COST OF SERVICE'!L23-SUM('Functionalization SMALL'!M91:R91)</f>
        <v>0</v>
      </c>
    </row>
    <row r="92" spans="1:24">
      <c r="A92" s="385">
        <v>889</v>
      </c>
      <c r="B92" s="379" t="s">
        <v>156</v>
      </c>
      <c r="C92" s="653">
        <f t="shared" si="14"/>
        <v>1743.3476030116694</v>
      </c>
      <c r="D92" s="653">
        <f>'G-4 COST OF SERVICE'!J24</f>
        <v>1743.3476030116694</v>
      </c>
      <c r="E92" s="653">
        <f>'G-4 COST OF SERVICE'!K24</f>
        <v>0</v>
      </c>
      <c r="F92" s="653">
        <f>'G-4 COST OF SERVICE'!L24</f>
        <v>0</v>
      </c>
      <c r="G92" s="654">
        <f>IF(SUM('Function Allocators'!$D145:$G145)=0,0,($D92*'Function Allocators'!D145/SUM('Function Allocators'!$D145:$G145)))</f>
        <v>0</v>
      </c>
      <c r="H92" s="654">
        <f>IF(SUM('Function Allocators'!$D145:$G145)=0,0,($D92*'Function Allocators'!E145/SUM('Function Allocators'!$D145:$G145)))</f>
        <v>0</v>
      </c>
      <c r="I92" s="654">
        <f>IF(SUM('Function Allocators'!$D145:$G145)=0,0,($D92*'Function Allocators'!F145/SUM('Function Allocators'!$D145:$G145)))</f>
        <v>1743.3476030116694</v>
      </c>
      <c r="J92" s="654">
        <f>IF(SUM('Function Allocators'!$D145:$G145)=0,0,($D92*'Function Allocators'!G145/SUM('Function Allocators'!$D145:$G145)))</f>
        <v>0</v>
      </c>
      <c r="K92" s="654">
        <f>IF(SUM('Function Allocators'!$H145:$I145)=0,0,($E92*'Function Allocators'!H145/SUM('Function Allocators'!$H145:$I145)))</f>
        <v>0</v>
      </c>
      <c r="L92" s="654">
        <f>IF(SUM('Function Allocators'!$H145:$I145)=0,0,($E92*'Function Allocators'!I145/SUM('Function Allocators'!$H$134:$I$134)))</f>
        <v>0</v>
      </c>
      <c r="M92" s="654">
        <f>IF(SUM('Function Allocators'!$J145:$O145)=0,0,($F92*'Function Allocators'!J145/SUM('Function Allocators'!$J145:$O145)))</f>
        <v>0</v>
      </c>
      <c r="N92" s="654">
        <f>IF(SUM('Function Allocators'!$J145:$O145)=0,0,($F92*'Function Allocators'!K145/SUM('Function Allocators'!$J145:$O145)))</f>
        <v>0</v>
      </c>
      <c r="O92" s="654">
        <f>IF(SUM('Function Allocators'!$J145:$O145)=0,0,($F92*'Function Allocators'!L145/SUM('Function Allocators'!$J145:$O145)))</f>
        <v>0</v>
      </c>
      <c r="P92" s="654">
        <f>IF(SUM('Function Allocators'!$J145:$O145)=0,0,($F92*'Function Allocators'!M145/SUM('Function Allocators'!$J145:$O145)))</f>
        <v>0</v>
      </c>
      <c r="Q92" s="654">
        <f>IF(SUM('Function Allocators'!$J145:$O145)=0,0,($F92*'Function Allocators'!N145/SUM('Function Allocators'!$J145:$O145)))</f>
        <v>0</v>
      </c>
      <c r="R92" s="654">
        <f>IF(SUM('Function Allocators'!$J145:$O145)=0,0,($F92*'Function Allocators'!O145/SUM('Function Allocators'!$J145:$O145)))</f>
        <v>0</v>
      </c>
      <c r="T92" s="360" t="s">
        <v>431</v>
      </c>
      <c r="U92" s="52">
        <f t="shared" si="15"/>
        <v>0</v>
      </c>
      <c r="V92" s="361">
        <f>'G-4 COST OF SERVICE'!J24-SUM('Functionalization SMALL'!G92:J92)</f>
        <v>0</v>
      </c>
      <c r="W92" s="361">
        <f>'G-4 COST OF SERVICE'!K24-SUM('Functionalization SMALL'!K92:L92)</f>
        <v>0</v>
      </c>
      <c r="X92" s="361">
        <f>'G-4 COST OF SERVICE'!L24-SUM('Functionalization SMALL'!M92:R92)</f>
        <v>0</v>
      </c>
    </row>
    <row r="93" spans="1:24">
      <c r="A93" s="385">
        <v>892</v>
      </c>
      <c r="B93" s="379" t="s">
        <v>157</v>
      </c>
      <c r="C93" s="654">
        <f t="shared" si="14"/>
        <v>24237.916624308895</v>
      </c>
      <c r="D93" s="653">
        <f>'G-4 COST OF SERVICE'!J25</f>
        <v>0</v>
      </c>
      <c r="E93" s="653">
        <f>'G-4 COST OF SERVICE'!K25</f>
        <v>0</v>
      </c>
      <c r="F93" s="653">
        <f>'G-4 COST OF SERVICE'!L25</f>
        <v>24237.916624308895</v>
      </c>
      <c r="G93" s="654">
        <f>IF(SUM('Function Allocators'!$D146:$G146)=0,0,($D93*'Function Allocators'!D146/SUM('Function Allocators'!$D146:$G146)))</f>
        <v>0</v>
      </c>
      <c r="H93" s="654">
        <f>IF(SUM('Function Allocators'!$D146:$G146)=0,0,($D93*'Function Allocators'!E146/SUM('Function Allocators'!$D146:$G146)))</f>
        <v>0</v>
      </c>
      <c r="I93" s="654">
        <f>IF(SUM('Function Allocators'!$D146:$G146)=0,0,($D93*'Function Allocators'!F146/SUM('Function Allocators'!$D146:$G146)))</f>
        <v>0</v>
      </c>
      <c r="J93" s="654">
        <f>IF(SUM('Function Allocators'!$D146:$G146)=0,0,($D93*'Function Allocators'!G146/SUM('Function Allocators'!$D146:$G146)))</f>
        <v>0</v>
      </c>
      <c r="K93" s="654">
        <f>IF(SUM('Function Allocators'!$H146:$I146)=0,0,($E93*'Function Allocators'!H146/SUM('Function Allocators'!$H146:$I146)))</f>
        <v>0</v>
      </c>
      <c r="L93" s="654">
        <f>IF(SUM('Function Allocators'!$H146:$I146)=0,0,($E93*'Function Allocators'!I146/SUM('Function Allocators'!$H$134:$I$134)))</f>
        <v>0</v>
      </c>
      <c r="M93" s="654">
        <f>IF(SUM('Function Allocators'!$J146:$O146)=0,0,($F93*'Function Allocators'!J146/SUM('Function Allocators'!$J146:$O146)))</f>
        <v>24237.916624308895</v>
      </c>
      <c r="N93" s="654">
        <f>IF(SUM('Function Allocators'!$J146:$O146)=0,0,($F93*'Function Allocators'!K146/SUM('Function Allocators'!$J146:$O146)))</f>
        <v>0</v>
      </c>
      <c r="O93" s="654">
        <f>IF(SUM('Function Allocators'!$J146:$O146)=0,0,($F93*'Function Allocators'!L146/SUM('Function Allocators'!$J146:$O146)))</f>
        <v>0</v>
      </c>
      <c r="P93" s="654">
        <f>IF(SUM('Function Allocators'!$J146:$O146)=0,0,($F93*'Function Allocators'!M146/SUM('Function Allocators'!$J146:$O146)))</f>
        <v>0</v>
      </c>
      <c r="Q93" s="654">
        <f>IF(SUM('Function Allocators'!$J146:$O146)=0,0,($F93*'Function Allocators'!N146/SUM('Function Allocators'!$J146:$O146)))</f>
        <v>0</v>
      </c>
      <c r="R93" s="654">
        <f>IF(SUM('Function Allocators'!$J146:$O146)=0,0,($F93*'Function Allocators'!O146/SUM('Function Allocators'!$J146:$O146)))</f>
        <v>0</v>
      </c>
      <c r="T93" s="360" t="s">
        <v>449</v>
      </c>
      <c r="U93" s="52">
        <f t="shared" si="15"/>
        <v>0</v>
      </c>
      <c r="V93" s="361">
        <f>'G-4 COST OF SERVICE'!J25-SUM('Functionalization SMALL'!G93:J93)</f>
        <v>0</v>
      </c>
      <c r="W93" s="361">
        <f>'G-4 COST OF SERVICE'!K25-SUM('Functionalization SMALL'!K93:L93)</f>
        <v>0</v>
      </c>
      <c r="X93" s="361">
        <f>'G-4 COST OF SERVICE'!L25-SUM('Functionalization SMALL'!M93:R93)</f>
        <v>0</v>
      </c>
    </row>
    <row r="94" spans="1:24">
      <c r="A94" s="385">
        <v>893</v>
      </c>
      <c r="B94" s="379" t="s">
        <v>158</v>
      </c>
      <c r="C94" s="654">
        <f t="shared" si="14"/>
        <v>23105.187073229437</v>
      </c>
      <c r="D94" s="653">
        <f>'G-4 COST OF SERVICE'!J26</f>
        <v>0</v>
      </c>
      <c r="E94" s="653">
        <f>'G-4 COST OF SERVICE'!K26</f>
        <v>0</v>
      </c>
      <c r="F94" s="653">
        <f>'G-4 COST OF SERVICE'!L26</f>
        <v>23105.187073229434</v>
      </c>
      <c r="G94" s="654">
        <f>IF(SUM('Function Allocators'!$D147:$G147)=0,0,($D94*'Function Allocators'!D147/SUM('Function Allocators'!$D147:$G147)))</f>
        <v>0</v>
      </c>
      <c r="H94" s="654">
        <f>IF(SUM('Function Allocators'!$D147:$G147)=0,0,($D94*'Function Allocators'!E147/SUM('Function Allocators'!$D147:$G147)))</f>
        <v>0</v>
      </c>
      <c r="I94" s="654">
        <f>IF(SUM('Function Allocators'!$D147:$G147)=0,0,($D94*'Function Allocators'!F147/SUM('Function Allocators'!$D147:$G147)))</f>
        <v>0</v>
      </c>
      <c r="J94" s="654">
        <f>IF(SUM('Function Allocators'!$D147:$G147)=0,0,($D94*'Function Allocators'!G147/SUM('Function Allocators'!$D147:$G147)))</f>
        <v>0</v>
      </c>
      <c r="K94" s="654">
        <f>IF(SUM('Function Allocators'!$H147:$I147)=0,0,($E94*'Function Allocators'!H147/SUM('Function Allocators'!$H147:$I147)))</f>
        <v>0</v>
      </c>
      <c r="L94" s="654">
        <f>IF(SUM('Function Allocators'!$H147:$I147)=0,0,($E94*'Function Allocators'!I147/SUM('Function Allocators'!$H$134:$I$134)))</f>
        <v>0</v>
      </c>
      <c r="M94" s="654">
        <f>IF(SUM('Function Allocators'!$J147:$O147)=0,0,($F94*'Function Allocators'!J147/SUM('Function Allocators'!$J147:$O147)))</f>
        <v>0</v>
      </c>
      <c r="N94" s="654">
        <f>IF(SUM('Function Allocators'!$J147:$O147)=0,0,($F94*'Function Allocators'!K147/SUM('Function Allocators'!$J147:$O147)))</f>
        <v>20064.99088458591</v>
      </c>
      <c r="O94" s="654">
        <f>IF(SUM('Function Allocators'!$J147:$O147)=0,0,($F94*'Function Allocators'!L147/SUM('Function Allocators'!$J147:$O147)))</f>
        <v>3040.1961886435265</v>
      </c>
      <c r="P94" s="654">
        <f>IF(SUM('Function Allocators'!$J147:$O147)=0,0,($F94*'Function Allocators'!M147/SUM('Function Allocators'!$J147:$O147)))</f>
        <v>0</v>
      </c>
      <c r="Q94" s="654">
        <f>IF(SUM('Function Allocators'!$J147:$O147)=0,0,($F94*'Function Allocators'!N147/SUM('Function Allocators'!$J147:$O147)))</f>
        <v>0</v>
      </c>
      <c r="R94" s="654">
        <f>IF(SUM('Function Allocators'!$J147:$O147)=0,0,($F94*'Function Allocators'!O147/SUM('Function Allocators'!$J147:$O147)))</f>
        <v>0</v>
      </c>
      <c r="T94" s="360" t="s">
        <v>439</v>
      </c>
      <c r="U94" s="52">
        <f t="shared" si="15"/>
        <v>0</v>
      </c>
      <c r="V94" s="361">
        <f>'G-4 COST OF SERVICE'!J26-SUM('Functionalization SMALL'!G94:J94)</f>
        <v>0</v>
      </c>
      <c r="W94" s="361">
        <f>'G-4 COST OF SERVICE'!K26-SUM('Functionalization SMALL'!K94:L94)</f>
        <v>0</v>
      </c>
      <c r="X94" s="361">
        <f>'G-4 COST OF SERVICE'!L26-SUM('Functionalization SMALL'!M94:R94)</f>
        <v>0</v>
      </c>
    </row>
    <row r="95" spans="1:24">
      <c r="A95" s="385">
        <v>894</v>
      </c>
      <c r="B95" s="379" t="s">
        <v>159</v>
      </c>
      <c r="C95" s="653">
        <f t="shared" si="14"/>
        <v>20090.112735825449</v>
      </c>
      <c r="D95" s="653">
        <f>'G-4 COST OF SERVICE'!J27</f>
        <v>20090.112735825449</v>
      </c>
      <c r="E95" s="653">
        <f>'G-4 COST OF SERVICE'!K27</f>
        <v>0</v>
      </c>
      <c r="F95" s="653">
        <f>'G-4 COST OF SERVICE'!L27</f>
        <v>0</v>
      </c>
      <c r="G95" s="654">
        <f>IF(SUM('Function Allocators'!$D148:$G148)=0,0,($D95*'Function Allocators'!D148/SUM('Function Allocators'!$D148:$G148)))</f>
        <v>0</v>
      </c>
      <c r="H95" s="654">
        <f>IF(SUM('Function Allocators'!$D148:$G148)=0,0,($D95*'Function Allocators'!E148/SUM('Function Allocators'!$D148:$G148)))</f>
        <v>0</v>
      </c>
      <c r="I95" s="654">
        <f>IF(SUM('Function Allocators'!$D148:$G148)=0,0,($D95*'Function Allocators'!F148/SUM('Function Allocators'!$D148:$G148)))</f>
        <v>0</v>
      </c>
      <c r="J95" s="654">
        <f>IF(SUM('Function Allocators'!$D148:$G148)=0,0,($D95*'Function Allocators'!G148/SUM('Function Allocators'!$D148:$G148)))</f>
        <v>20090.112735825449</v>
      </c>
      <c r="K95" s="654">
        <f>IF(SUM('Function Allocators'!$H148:$I148)=0,0,($E95*'Function Allocators'!H148/SUM('Function Allocators'!$H148:$I148)))</f>
        <v>0</v>
      </c>
      <c r="L95" s="654">
        <f>IF(SUM('Function Allocators'!$H148:$I148)=0,0,($E95*'Function Allocators'!I148/SUM('Function Allocators'!$H$134:$I$134)))</f>
        <v>0</v>
      </c>
      <c r="M95" s="654">
        <f>IF(SUM('Function Allocators'!$J148:$O148)=0,0,($F95*'Function Allocators'!J148/SUM('Function Allocators'!$J148:$O148)))</f>
        <v>0</v>
      </c>
      <c r="N95" s="654">
        <f>IF(SUM('Function Allocators'!$J148:$O148)=0,0,($F95*'Function Allocators'!K148/SUM('Function Allocators'!$J148:$O148)))</f>
        <v>0</v>
      </c>
      <c r="O95" s="654">
        <f>IF(SUM('Function Allocators'!$J148:$O148)=0,0,($F95*'Function Allocators'!L148/SUM('Function Allocators'!$J148:$O148)))</f>
        <v>0</v>
      </c>
      <c r="P95" s="654">
        <f>IF(SUM('Function Allocators'!$J148:$O148)=0,0,($F95*'Function Allocators'!M148/SUM('Function Allocators'!$J148:$O148)))</f>
        <v>0</v>
      </c>
      <c r="Q95" s="654">
        <f>IF(SUM('Function Allocators'!$J148:$O148)=0,0,($F95*'Function Allocators'!N148/SUM('Function Allocators'!$J148:$O148)))</f>
        <v>0</v>
      </c>
      <c r="R95" s="654">
        <f>IF(SUM('Function Allocators'!$J148:$O148)=0,0,($F95*'Function Allocators'!O148/SUM('Function Allocators'!$J148:$O148)))</f>
        <v>0</v>
      </c>
      <c r="T95" s="360" t="s">
        <v>428</v>
      </c>
      <c r="U95" s="52">
        <f t="shared" si="15"/>
        <v>0</v>
      </c>
      <c r="V95" s="361">
        <f>'G-4 COST OF SERVICE'!J27-SUM('Functionalization SMALL'!G95:J95)</f>
        <v>0</v>
      </c>
      <c r="W95" s="361">
        <f>'G-4 COST OF SERVICE'!K27-SUM('Functionalization SMALL'!K95:L95)</f>
        <v>0</v>
      </c>
      <c r="X95" s="361">
        <f>'G-4 COST OF SERVICE'!L27-SUM('Functionalization SMALL'!M95:R95)</f>
        <v>0</v>
      </c>
    </row>
    <row r="96" spans="1:24">
      <c r="A96" s="385"/>
      <c r="B96" s="377" t="s">
        <v>282</v>
      </c>
      <c r="C96" s="655">
        <f t="shared" ref="C96:R96" si="16">SUM(C81:C95)</f>
        <v>1130228.3717833697</v>
      </c>
      <c r="D96" s="655">
        <f t="shared" si="16"/>
        <v>538332.49551015836</v>
      </c>
      <c r="E96" s="655">
        <f t="shared" si="16"/>
        <v>0</v>
      </c>
      <c r="F96" s="655">
        <f t="shared" si="16"/>
        <v>591895.87627321167</v>
      </c>
      <c r="G96" s="656">
        <f t="shared" si="16"/>
        <v>0</v>
      </c>
      <c r="H96" s="655">
        <f t="shared" si="16"/>
        <v>354001.27860225679</v>
      </c>
      <c r="I96" s="655">
        <f t="shared" si="16"/>
        <v>161257.17174205484</v>
      </c>
      <c r="J96" s="655">
        <f t="shared" si="16"/>
        <v>23074.045165846652</v>
      </c>
      <c r="K96" s="655">
        <f t="shared" si="16"/>
        <v>0</v>
      </c>
      <c r="L96" s="655">
        <f t="shared" si="16"/>
        <v>0</v>
      </c>
      <c r="M96" s="655">
        <f t="shared" si="16"/>
        <v>309484.89080752089</v>
      </c>
      <c r="N96" s="655">
        <f t="shared" si="16"/>
        <v>243906.86459099982</v>
      </c>
      <c r="O96" s="655">
        <f t="shared" si="16"/>
        <v>38504.120874690976</v>
      </c>
      <c r="P96" s="655">
        <f t="shared" si="16"/>
        <v>0</v>
      </c>
      <c r="Q96" s="655">
        <f t="shared" si="16"/>
        <v>0</v>
      </c>
      <c r="R96" s="655">
        <f t="shared" si="16"/>
        <v>0</v>
      </c>
      <c r="U96" s="52">
        <f t="shared" si="15"/>
        <v>0</v>
      </c>
      <c r="V96" s="361">
        <f>'G-4 COST OF SERVICE'!J28-SUM('Functionalization SMALL'!G96:J96)</f>
        <v>0</v>
      </c>
      <c r="W96" s="361">
        <f>'G-4 COST OF SERVICE'!K28-SUM('Functionalization SMALL'!K96:L96)</f>
        <v>0</v>
      </c>
      <c r="X96" s="361">
        <f>'G-4 COST OF SERVICE'!L28-SUM('Functionalization SMALL'!M96:R96)</f>
        <v>0</v>
      </c>
    </row>
    <row r="97" spans="1:24" ht="11.25">
      <c r="A97" s="452"/>
      <c r="B97" s="451"/>
      <c r="C97" s="653"/>
      <c r="D97" s="653"/>
      <c r="E97" s="653"/>
      <c r="F97" s="653"/>
      <c r="G97" s="654"/>
      <c r="H97" s="653"/>
      <c r="I97" s="653"/>
      <c r="J97" s="653"/>
      <c r="K97" s="653"/>
      <c r="L97" s="653"/>
      <c r="M97" s="653"/>
      <c r="N97" s="653"/>
      <c r="O97" s="653"/>
      <c r="P97" s="653"/>
      <c r="Q97" s="653"/>
      <c r="R97" s="653"/>
      <c r="U97" s="360"/>
      <c r="V97" s="361"/>
      <c r="W97" s="361"/>
      <c r="X97" s="361"/>
    </row>
    <row r="98" spans="1:24" ht="11.25">
      <c r="A98" s="385"/>
      <c r="B98" s="377" t="s">
        <v>161</v>
      </c>
      <c r="C98" s="653"/>
      <c r="D98" s="653"/>
      <c r="E98" s="653"/>
      <c r="F98" s="653"/>
      <c r="G98" s="654"/>
      <c r="H98" s="653"/>
      <c r="I98" s="653"/>
      <c r="J98" s="653"/>
      <c r="K98" s="653"/>
      <c r="L98" s="653"/>
      <c r="M98" s="653"/>
      <c r="N98" s="653"/>
      <c r="O98" s="653"/>
      <c r="P98" s="653"/>
      <c r="Q98" s="653"/>
      <c r="R98" s="653"/>
      <c r="U98" s="360"/>
      <c r="V98" s="361"/>
      <c r="W98" s="361"/>
      <c r="X98" s="361"/>
    </row>
    <row r="99" spans="1:24">
      <c r="A99" s="385">
        <v>901</v>
      </c>
      <c r="B99" s="379" t="s">
        <v>162</v>
      </c>
      <c r="C99" s="654">
        <f t="shared" ref="C99:C107" si="17">SUM(G99:R99)</f>
        <v>7037.1801274282634</v>
      </c>
      <c r="D99" s="654">
        <f>'G-4 COST OF SERVICE'!J31</f>
        <v>0</v>
      </c>
      <c r="E99" s="654">
        <f>'G-4 COST OF SERVICE'!K31</f>
        <v>0</v>
      </c>
      <c r="F99" s="654">
        <f>'G-4 COST OF SERVICE'!L31</f>
        <v>7037.1801274282634</v>
      </c>
      <c r="G99" s="654">
        <f>IF(SUM('Function Allocators'!$D152:$G152)=0,0,($D99*'Function Allocators'!D152/SUM('Function Allocators'!$D152:$G152)))</f>
        <v>0</v>
      </c>
      <c r="H99" s="654">
        <f>IF(SUM('Function Allocators'!$D152:$G152)=0,0,($D99*'Function Allocators'!E152/SUM('Function Allocators'!$D152:$G152)))</f>
        <v>0</v>
      </c>
      <c r="I99" s="654">
        <f>IF(SUM('Function Allocators'!$D152:$G152)=0,0,($D99*'Function Allocators'!F152/SUM('Function Allocators'!$D152:$G152)))</f>
        <v>0</v>
      </c>
      <c r="J99" s="654">
        <f>IF(SUM('Function Allocators'!$D152:$G152)=0,0,($D99*'Function Allocators'!G152/SUM('Function Allocators'!$D152:$G152)))</f>
        <v>0</v>
      </c>
      <c r="K99" s="654">
        <f>IF(SUM('Function Allocators'!$H152:$I152)=0,0,($E99*'Function Allocators'!H152/SUM('Function Allocators'!$H152:$I152)))</f>
        <v>0</v>
      </c>
      <c r="L99" s="654">
        <f>IF(SUM('Function Allocators'!$H152:$I152)=0,0,($E99*'Function Allocators'!I152/SUM('Function Allocators'!$H152:$I152)))</f>
        <v>0</v>
      </c>
      <c r="M99" s="654">
        <f>IF(SUM('Function Allocators'!$J152:$O152)=0,0,($F99*'Function Allocators'!J152/SUM('Function Allocators'!$J152:$O152)))</f>
        <v>5403.8406677385246</v>
      </c>
      <c r="N99" s="654">
        <f>IF(SUM('Function Allocators'!$J152:$O152)=0,0,($F99*'Function Allocators'!K152/SUM('Function Allocators'!$J152:$O152)))</f>
        <v>1418.0440749682175</v>
      </c>
      <c r="O99" s="654">
        <f>IF(SUM('Function Allocators'!$J152:$O152)=0,0,($F99*'Function Allocators'!L152/SUM('Function Allocators'!$J152:$O152)))</f>
        <v>215.29538472152146</v>
      </c>
      <c r="P99" s="654">
        <f>IF(SUM('Function Allocators'!$J152:$O152)=0,0,($F99*'Function Allocators'!M152/SUM('Function Allocators'!$J152:$O152)))</f>
        <v>0</v>
      </c>
      <c r="Q99" s="654">
        <f>IF(SUM('Function Allocators'!$J152:$O152)=0,0,($F99*'Function Allocators'!N152/SUM('Function Allocators'!$J152:$O152)))</f>
        <v>0</v>
      </c>
      <c r="R99" s="654">
        <f>IF(SUM('Function Allocators'!$J152:$O152)=0,0,($F99*'Function Allocators'!O152/SUM('Function Allocators'!$J152:$O152)))</f>
        <v>0</v>
      </c>
      <c r="T99" s="360" t="s">
        <v>69</v>
      </c>
      <c r="U99" s="52">
        <f t="shared" ref="U99:U108" si="18">C99-SUM(D99:F99)</f>
        <v>0</v>
      </c>
      <c r="V99" s="361">
        <f>'G-4 COST OF SERVICE'!J31-SUM('Functionalization SMALL'!G99:J99)</f>
        <v>0</v>
      </c>
      <c r="W99" s="361">
        <f>'G-4 COST OF SERVICE'!K31-SUM('Functionalization SMALL'!K99:L99)</f>
        <v>0</v>
      </c>
      <c r="X99" s="361">
        <f>'G-4 COST OF SERVICE'!L31-SUM('Functionalization SMALL'!M99:R99)</f>
        <v>0</v>
      </c>
    </row>
    <row r="100" spans="1:24">
      <c r="A100" s="385">
        <v>902</v>
      </c>
      <c r="B100" s="379" t="s">
        <v>163</v>
      </c>
      <c r="C100" s="653">
        <f t="shared" si="17"/>
        <v>8486.4263562893393</v>
      </c>
      <c r="D100" s="654">
        <f>'G-4 COST OF SERVICE'!J32</f>
        <v>0</v>
      </c>
      <c r="E100" s="654">
        <f>'G-4 COST OF SERVICE'!K32</f>
        <v>0</v>
      </c>
      <c r="F100" s="654">
        <f>'G-4 COST OF SERVICE'!L32</f>
        <v>8486.4263562893393</v>
      </c>
      <c r="G100" s="654">
        <f>IF(SUM('Function Allocators'!$D153:$G153)=0,0,($D100*'Function Allocators'!D153/SUM('Function Allocators'!$D153:$G153)))</f>
        <v>0</v>
      </c>
      <c r="H100" s="654">
        <f>IF(SUM('Function Allocators'!$D153:$G153)=0,0,($D100*'Function Allocators'!E153/SUM('Function Allocators'!$D153:$G153)))</f>
        <v>0</v>
      </c>
      <c r="I100" s="654">
        <f>IF(SUM('Function Allocators'!$D153:$G153)=0,0,($D100*'Function Allocators'!F153/SUM('Function Allocators'!$D153:$G153)))</f>
        <v>0</v>
      </c>
      <c r="J100" s="654">
        <f>IF(SUM('Function Allocators'!$D153:$G153)=0,0,($D100*'Function Allocators'!G153/SUM('Function Allocators'!$D153:$G153)))</f>
        <v>0</v>
      </c>
      <c r="K100" s="654">
        <f>IF(SUM('Function Allocators'!$H153:$I153)=0,0,($E100*'Function Allocators'!H153/SUM('Function Allocators'!$H153:$I153)))</f>
        <v>0</v>
      </c>
      <c r="L100" s="654">
        <f>IF(SUM('Function Allocators'!$H153:$I153)=0,0,($E100*'Function Allocators'!I153/SUM('Function Allocators'!$H153:$I153)))</f>
        <v>0</v>
      </c>
      <c r="M100" s="654">
        <f>IF(SUM('Function Allocators'!$J153:$O153)=0,0,($F100*'Function Allocators'!J153/SUM('Function Allocators'!$J153:$O153)))</f>
        <v>0</v>
      </c>
      <c r="N100" s="654">
        <f>IF(SUM('Function Allocators'!$J153:$O153)=0,0,($F100*'Function Allocators'!K153/SUM('Function Allocators'!$J153:$O153)))</f>
        <v>0</v>
      </c>
      <c r="O100" s="654">
        <f>IF(SUM('Function Allocators'!$J153:$O153)=0,0,($F100*'Function Allocators'!L153/SUM('Function Allocators'!$J153:$O153)))</f>
        <v>0</v>
      </c>
      <c r="P100" s="654">
        <f>IF(SUM('Function Allocators'!$J153:$O153)=0,0,($F100*'Function Allocators'!M153/SUM('Function Allocators'!$J153:$O153)))</f>
        <v>8486.4263562893393</v>
      </c>
      <c r="Q100" s="654">
        <f>IF(SUM('Function Allocators'!$J153:$O153)=0,0,($F100*'Function Allocators'!N153/SUM('Function Allocators'!$J153:$O153)))</f>
        <v>0</v>
      </c>
      <c r="R100" s="654">
        <f>IF(SUM('Function Allocators'!$J153:$O153)=0,0,($F100*'Function Allocators'!O153/SUM('Function Allocators'!$J153:$O153)))</f>
        <v>0</v>
      </c>
      <c r="T100" s="360" t="s">
        <v>443</v>
      </c>
      <c r="U100" s="52">
        <f t="shared" si="18"/>
        <v>0</v>
      </c>
      <c r="V100" s="361">
        <f>'G-4 COST OF SERVICE'!J32-SUM('Functionalization SMALL'!G100:J100)</f>
        <v>0</v>
      </c>
      <c r="W100" s="361">
        <f>'G-4 COST OF SERVICE'!K32-SUM('Functionalization SMALL'!K100:L100)</f>
        <v>0</v>
      </c>
      <c r="X100" s="361">
        <f>'G-4 COST OF SERVICE'!L32-SUM('Functionalization SMALL'!M100:R100)</f>
        <v>0</v>
      </c>
    </row>
    <row r="101" spans="1:24">
      <c r="A101" s="385">
        <v>903</v>
      </c>
      <c r="B101" s="379" t="s">
        <v>165</v>
      </c>
      <c r="C101" s="653">
        <f t="shared" si="17"/>
        <v>449851.30445871735</v>
      </c>
      <c r="D101" s="654">
        <f>'G-4 COST OF SERVICE'!J33</f>
        <v>0</v>
      </c>
      <c r="E101" s="654">
        <f>'G-4 COST OF SERVICE'!K33</f>
        <v>0</v>
      </c>
      <c r="F101" s="654">
        <f>'G-4 COST OF SERVICE'!L33</f>
        <v>449851.30445871735</v>
      </c>
      <c r="G101" s="654">
        <f>IF(SUM('Function Allocators'!$D154:$G154)=0,0,($D101*'Function Allocators'!D154/SUM('Function Allocators'!$D154:$G154)))</f>
        <v>0</v>
      </c>
      <c r="H101" s="654">
        <f>IF(SUM('Function Allocators'!$D154:$G154)=0,0,($D101*'Function Allocators'!E154/SUM('Function Allocators'!$D154:$G154)))</f>
        <v>0</v>
      </c>
      <c r="I101" s="654">
        <f>IF(SUM('Function Allocators'!$D154:$G154)=0,0,($D101*'Function Allocators'!F154/SUM('Function Allocators'!$D154:$G154)))</f>
        <v>0</v>
      </c>
      <c r="J101" s="654">
        <f>IF(SUM('Function Allocators'!$D154:$G154)=0,0,($D101*'Function Allocators'!G154/SUM('Function Allocators'!$D154:$G154)))</f>
        <v>0</v>
      </c>
      <c r="K101" s="654">
        <f>IF(SUM('Function Allocators'!$H154:$I154)=0,0,($E101*'Function Allocators'!H154/SUM('Function Allocators'!$H154:$I154)))</f>
        <v>0</v>
      </c>
      <c r="L101" s="654">
        <f>IF(SUM('Function Allocators'!$H154:$I154)=0,0,($E101*'Function Allocators'!I154/SUM('Function Allocators'!$H154:$I154)))</f>
        <v>0</v>
      </c>
      <c r="M101" s="654">
        <f>IF(SUM('Function Allocators'!$J154:$O154)=0,0,($F101*'Function Allocators'!J154/SUM('Function Allocators'!$J154:$O154)))</f>
        <v>0</v>
      </c>
      <c r="N101" s="654">
        <f>IF(SUM('Function Allocators'!$J154:$O154)=0,0,($F101*'Function Allocators'!K154/SUM('Function Allocators'!$J154:$O154)))</f>
        <v>0</v>
      </c>
      <c r="O101" s="654">
        <f>IF(SUM('Function Allocators'!$J154:$O154)=0,0,($F101*'Function Allocators'!L154/SUM('Function Allocators'!$J154:$O154)))</f>
        <v>0</v>
      </c>
      <c r="P101" s="654">
        <f>IF(SUM('Function Allocators'!$J154:$O154)=0,0,($F101*'Function Allocators'!M154/SUM('Function Allocators'!$J154:$O154)))</f>
        <v>0</v>
      </c>
      <c r="Q101" s="654">
        <f>IF(SUM('Function Allocators'!$J154:$O154)=0,0,($F101*'Function Allocators'!N154/SUM('Function Allocators'!$J154:$O154)))</f>
        <v>449851.30445871735</v>
      </c>
      <c r="R101" s="654">
        <f>IF(SUM('Function Allocators'!$J154:$O154)=0,0,($F101*'Function Allocators'!O154/SUM('Function Allocators'!$J154:$O154)))</f>
        <v>0</v>
      </c>
      <c r="T101" s="360" t="s">
        <v>444</v>
      </c>
      <c r="U101" s="52">
        <f t="shared" si="18"/>
        <v>0</v>
      </c>
      <c r="V101" s="361">
        <f>'G-4 COST OF SERVICE'!J33-SUM('Functionalization SMALL'!G101:J101)</f>
        <v>0</v>
      </c>
      <c r="W101" s="361">
        <f>'G-4 COST OF SERVICE'!K33-SUM('Functionalization SMALL'!K101:L101)</f>
        <v>0</v>
      </c>
      <c r="X101" s="361">
        <f>'G-4 COST OF SERVICE'!L33-SUM('Functionalization SMALL'!M101:R101)</f>
        <v>0</v>
      </c>
    </row>
    <row r="102" spans="1:24">
      <c r="A102" s="385">
        <v>904</v>
      </c>
      <c r="B102" s="379" t="s">
        <v>167</v>
      </c>
      <c r="C102" s="653">
        <f t="shared" si="17"/>
        <v>59782.066792156133</v>
      </c>
      <c r="D102" s="654">
        <f>'G-4 COST OF SERVICE'!J34</f>
        <v>0</v>
      </c>
      <c r="E102" s="654">
        <f>'G-4 COST OF SERVICE'!K34</f>
        <v>0</v>
      </c>
      <c r="F102" s="654">
        <f>'G-4 COST OF SERVICE'!L34</f>
        <v>59782.066792156133</v>
      </c>
      <c r="G102" s="654">
        <f>IF(SUM('Function Allocators'!$D155:$G155)=0,0,($D102*'Function Allocators'!D155/SUM('Function Allocators'!$D155:$G155)))</f>
        <v>0</v>
      </c>
      <c r="H102" s="654">
        <f>IF(SUM('Function Allocators'!$D155:$G155)=0,0,($D102*'Function Allocators'!E155/SUM('Function Allocators'!$D155:$G155)))</f>
        <v>0</v>
      </c>
      <c r="I102" s="654">
        <f>IF(SUM('Function Allocators'!$D155:$G155)=0,0,($D102*'Function Allocators'!F155/SUM('Function Allocators'!$D155:$G155)))</f>
        <v>0</v>
      </c>
      <c r="J102" s="654">
        <f>IF(SUM('Function Allocators'!$D155:$G155)=0,0,($D102*'Function Allocators'!G155/SUM('Function Allocators'!$D155:$G155)))</f>
        <v>0</v>
      </c>
      <c r="K102" s="654">
        <f>IF(SUM('Function Allocators'!$H155:$I155)=0,0,($E102*'Function Allocators'!H155/SUM('Function Allocators'!$H155:$I155)))</f>
        <v>0</v>
      </c>
      <c r="L102" s="654">
        <f>IF(SUM('Function Allocators'!$H155:$I155)=0,0,($E102*'Function Allocators'!I155/SUM('Function Allocators'!$H155:$I155)))</f>
        <v>0</v>
      </c>
      <c r="M102" s="654">
        <f>IF(SUM('Function Allocators'!$J155:$O155)=0,0,($F102*'Function Allocators'!J155/SUM('Function Allocators'!$J155:$O155)))</f>
        <v>0</v>
      </c>
      <c r="N102" s="654">
        <f>IF(SUM('Function Allocators'!$J155:$O155)=0,0,($F102*'Function Allocators'!K155/SUM('Function Allocators'!$J155:$O155)))</f>
        <v>0</v>
      </c>
      <c r="O102" s="654">
        <f>IF(SUM('Function Allocators'!$J155:$O155)=0,0,($F102*'Function Allocators'!L155/SUM('Function Allocators'!$J155:$O155)))</f>
        <v>0</v>
      </c>
      <c r="P102" s="654">
        <f>IF(SUM('Function Allocators'!$J155:$O155)=0,0,($F102*'Function Allocators'!M155/SUM('Function Allocators'!$J155:$O155)))</f>
        <v>0</v>
      </c>
      <c r="Q102" s="654">
        <f>IF(SUM('Function Allocators'!$J155:$O155)=0,0,($F102*'Function Allocators'!N155/SUM('Function Allocators'!$J155:$O155)))</f>
        <v>0</v>
      </c>
      <c r="R102" s="654">
        <f>IF(SUM('Function Allocators'!$J155:$O155)=0,0,($F102*'Function Allocators'!O155/SUM('Function Allocators'!$J155:$O155)))</f>
        <v>59782.066792156133</v>
      </c>
      <c r="T102" s="360" t="s">
        <v>445</v>
      </c>
      <c r="U102" s="52">
        <f t="shared" si="18"/>
        <v>0</v>
      </c>
      <c r="V102" s="361">
        <f>'G-4 COST OF SERVICE'!J34-SUM('Functionalization SMALL'!G102:J102)</f>
        <v>0</v>
      </c>
      <c r="W102" s="361">
        <f>'G-4 COST OF SERVICE'!K34-SUM('Functionalization SMALL'!K102:L102)</f>
        <v>0</v>
      </c>
      <c r="X102" s="361">
        <f>'G-4 COST OF SERVICE'!L34-SUM('Functionalization SMALL'!M102:R102)</f>
        <v>0</v>
      </c>
    </row>
    <row r="103" spans="1:24">
      <c r="A103" s="385">
        <v>905</v>
      </c>
      <c r="B103" s="379" t="s">
        <v>169</v>
      </c>
      <c r="C103" s="653">
        <f t="shared" si="17"/>
        <v>0</v>
      </c>
      <c r="D103" s="654">
        <f>'G-4 COST OF SERVICE'!J35</f>
        <v>0</v>
      </c>
      <c r="E103" s="654">
        <f>'G-4 COST OF SERVICE'!K35</f>
        <v>0</v>
      </c>
      <c r="F103" s="654">
        <f>'G-4 COST OF SERVICE'!L35</f>
        <v>0</v>
      </c>
      <c r="G103" s="654">
        <f>IF(SUM('Function Allocators'!$D156:$G156)=0,0,($D103*'Function Allocators'!D156/SUM('Function Allocators'!$D156:$G156)))</f>
        <v>0</v>
      </c>
      <c r="H103" s="654">
        <f>IF(SUM('Function Allocators'!$D156:$G156)=0,0,($D103*'Function Allocators'!E156/SUM('Function Allocators'!$D156:$G156)))</f>
        <v>0</v>
      </c>
      <c r="I103" s="654">
        <f>IF(SUM('Function Allocators'!$D156:$G156)=0,0,($D103*'Function Allocators'!F156/SUM('Function Allocators'!$D156:$G156)))</f>
        <v>0</v>
      </c>
      <c r="J103" s="654">
        <f>IF(SUM('Function Allocators'!$D156:$G156)=0,0,($D103*'Function Allocators'!G156/SUM('Function Allocators'!$D156:$G156)))</f>
        <v>0</v>
      </c>
      <c r="K103" s="654">
        <f>IF(SUM('Function Allocators'!$H156:$I156)=0,0,($E103*'Function Allocators'!H156/SUM('Function Allocators'!$H156:$I156)))</f>
        <v>0</v>
      </c>
      <c r="L103" s="654">
        <f>IF(SUM('Function Allocators'!$H156:$I156)=0,0,($E103*'Function Allocators'!I156/SUM('Function Allocators'!$H156:$I156)))</f>
        <v>0</v>
      </c>
      <c r="M103" s="654">
        <f>IF(SUM('Function Allocators'!$J156:$O156)=0,0,($F103*'Function Allocators'!J156/SUM('Function Allocators'!$J156:$O156)))</f>
        <v>0</v>
      </c>
      <c r="N103" s="654">
        <f>IF(SUM('Function Allocators'!$J156:$O156)=0,0,($F103*'Function Allocators'!K156/SUM('Function Allocators'!$J156:$O156)))</f>
        <v>0</v>
      </c>
      <c r="O103" s="654">
        <f>IF(SUM('Function Allocators'!$J156:$O156)=0,0,($F103*'Function Allocators'!L156/SUM('Function Allocators'!$J156:$O156)))</f>
        <v>0</v>
      </c>
      <c r="P103" s="654">
        <f>IF(SUM('Function Allocators'!$J156:$O156)=0,0,($F103*'Function Allocators'!M156/SUM('Function Allocators'!$J156:$O156)))</f>
        <v>0</v>
      </c>
      <c r="Q103" s="654">
        <f>IF(SUM('Function Allocators'!$J156:$O156)=0,0,($F103*'Function Allocators'!N156/SUM('Function Allocators'!$J156:$O156)))</f>
        <v>0</v>
      </c>
      <c r="R103" s="654">
        <f>IF(SUM('Function Allocators'!$J156:$O156)=0,0,($F103*'Function Allocators'!O156/SUM('Function Allocators'!$J156:$O156)))</f>
        <v>0</v>
      </c>
      <c r="T103" s="360" t="s">
        <v>445</v>
      </c>
      <c r="U103" s="52">
        <f t="shared" si="18"/>
        <v>0</v>
      </c>
      <c r="V103" s="361">
        <f>'G-4 COST OF SERVICE'!J35-SUM('Functionalization SMALL'!G103:J103)</f>
        <v>0</v>
      </c>
      <c r="W103" s="361">
        <f>'G-4 COST OF SERVICE'!K35-SUM('Functionalization SMALL'!K103:L103)</f>
        <v>0</v>
      </c>
      <c r="X103" s="361">
        <f>'G-4 COST OF SERVICE'!L35-SUM('Functionalization SMALL'!M103:R103)</f>
        <v>0</v>
      </c>
    </row>
    <row r="104" spans="1:24">
      <c r="A104" s="385">
        <v>907</v>
      </c>
      <c r="B104" s="379" t="s">
        <v>171</v>
      </c>
      <c r="C104" s="654">
        <f t="shared" si="17"/>
        <v>4206.3464395658275</v>
      </c>
      <c r="D104" s="654">
        <f>'G-4 COST OF SERVICE'!J36</f>
        <v>0</v>
      </c>
      <c r="E104" s="654">
        <f>'G-4 COST OF SERVICE'!K36</f>
        <v>0</v>
      </c>
      <c r="F104" s="654">
        <f>'G-4 COST OF SERVICE'!L36</f>
        <v>4206.3464395658275</v>
      </c>
      <c r="G104" s="654">
        <f>IF(SUM('Function Allocators'!$D157:$G157)=0,0,($D104*'Function Allocators'!D157/SUM('Function Allocators'!$D157:$G157)))</f>
        <v>0</v>
      </c>
      <c r="H104" s="654">
        <f>IF(SUM('Function Allocators'!$D157:$G157)=0,0,($D104*'Function Allocators'!E157/SUM('Function Allocators'!$D157:$G157)))</f>
        <v>0</v>
      </c>
      <c r="I104" s="654">
        <f>IF(SUM('Function Allocators'!$D157:$G157)=0,0,($D104*'Function Allocators'!F157/SUM('Function Allocators'!$D157:$G157)))</f>
        <v>0</v>
      </c>
      <c r="J104" s="654">
        <f>IF(SUM('Function Allocators'!$D157:$G157)=0,0,($D104*'Function Allocators'!G157/SUM('Function Allocators'!$D157:$G157)))</f>
        <v>0</v>
      </c>
      <c r="K104" s="654">
        <f>IF(SUM('Function Allocators'!$H157:$I157)=0,0,($E104*'Function Allocators'!H157/SUM('Function Allocators'!$H157:$I157)))</f>
        <v>0</v>
      </c>
      <c r="L104" s="654">
        <f>IF(SUM('Function Allocators'!$H157:$I157)=0,0,($E104*'Function Allocators'!I157/SUM('Function Allocators'!$H157:$I157)))</f>
        <v>0</v>
      </c>
      <c r="M104" s="654">
        <f>IF(SUM('Function Allocators'!$J157:$O157)=0,0,($F104*'Function Allocators'!J157/SUM('Function Allocators'!$J157:$O157)))</f>
        <v>0</v>
      </c>
      <c r="N104" s="654">
        <f>IF(SUM('Function Allocators'!$J157:$O157)=0,0,($F104*'Function Allocators'!K157/SUM('Function Allocators'!$J157:$O157)))</f>
        <v>0</v>
      </c>
      <c r="O104" s="654">
        <f>IF(SUM('Function Allocators'!$J157:$O157)=0,0,($F104*'Function Allocators'!L157/SUM('Function Allocators'!$J157:$O157)))</f>
        <v>0</v>
      </c>
      <c r="P104" s="654">
        <f>IF(SUM('Function Allocators'!$J157:$O157)=0,0,($F104*'Function Allocators'!M157/SUM('Function Allocators'!$J157:$O157)))</f>
        <v>0</v>
      </c>
      <c r="Q104" s="654">
        <f>IF(SUM('Function Allocators'!$J157:$O157)=0,0,($F104*'Function Allocators'!N157/SUM('Function Allocators'!$J157:$O157)))</f>
        <v>0</v>
      </c>
      <c r="R104" s="654">
        <f>IF(SUM('Function Allocators'!$J157:$O157)=0,0,($F104*'Function Allocators'!O157/SUM('Function Allocators'!$J157:$O157)))</f>
        <v>4206.3464395658275</v>
      </c>
      <c r="T104" s="360" t="s">
        <v>445</v>
      </c>
      <c r="U104" s="52">
        <f t="shared" si="18"/>
        <v>0</v>
      </c>
      <c r="V104" s="361">
        <f>'G-4 COST OF SERVICE'!J36-SUM('Functionalization SMALL'!G104:J104)</f>
        <v>0</v>
      </c>
      <c r="W104" s="361">
        <f>'G-4 COST OF SERVICE'!K36-SUM('Functionalization SMALL'!K104:L104)</f>
        <v>0</v>
      </c>
      <c r="X104" s="361">
        <f>'G-4 COST OF SERVICE'!L36-SUM('Functionalization SMALL'!M104:R104)</f>
        <v>0</v>
      </c>
    </row>
    <row r="105" spans="1:24">
      <c r="A105" s="385">
        <v>908</v>
      </c>
      <c r="B105" s="379" t="s">
        <v>172</v>
      </c>
      <c r="C105" s="653">
        <f t="shared" si="17"/>
        <v>8888.3103073382972</v>
      </c>
      <c r="D105" s="654">
        <f>'G-4 COST OF SERVICE'!J37</f>
        <v>0</v>
      </c>
      <c r="E105" s="654">
        <f>'G-4 COST OF SERVICE'!K37</f>
        <v>0</v>
      </c>
      <c r="F105" s="654">
        <f>'G-4 COST OF SERVICE'!L37</f>
        <v>8888.3103073382972</v>
      </c>
      <c r="G105" s="654">
        <f>IF(SUM('Function Allocators'!$D158:$G158)=0,0,($D105*'Function Allocators'!D158/SUM('Function Allocators'!$D158:$G158)))</f>
        <v>0</v>
      </c>
      <c r="H105" s="654">
        <f>IF(SUM('Function Allocators'!$D158:$G158)=0,0,($D105*'Function Allocators'!E158/SUM('Function Allocators'!$D158:$G158)))</f>
        <v>0</v>
      </c>
      <c r="I105" s="654">
        <f>IF(SUM('Function Allocators'!$D158:$G158)=0,0,($D105*'Function Allocators'!F158/SUM('Function Allocators'!$D158:$G158)))</f>
        <v>0</v>
      </c>
      <c r="J105" s="654">
        <f>IF(SUM('Function Allocators'!$D158:$G158)=0,0,($D105*'Function Allocators'!G158/SUM('Function Allocators'!$D158:$G158)))</f>
        <v>0</v>
      </c>
      <c r="K105" s="654">
        <f>IF(SUM('Function Allocators'!$H158:$I158)=0,0,($E105*'Function Allocators'!H158/SUM('Function Allocators'!$H158:$I158)))</f>
        <v>0</v>
      </c>
      <c r="L105" s="654">
        <f>IF(SUM('Function Allocators'!$H158:$I158)=0,0,($E105*'Function Allocators'!I158/SUM('Function Allocators'!$H158:$I158)))</f>
        <v>0</v>
      </c>
      <c r="M105" s="654">
        <f>IF(SUM('Function Allocators'!$J158:$O158)=0,0,($F105*'Function Allocators'!J158/SUM('Function Allocators'!$J158:$O158)))</f>
        <v>0</v>
      </c>
      <c r="N105" s="654">
        <f>IF(SUM('Function Allocators'!$J158:$O158)=0,0,($F105*'Function Allocators'!K158/SUM('Function Allocators'!$J158:$O158)))</f>
        <v>0</v>
      </c>
      <c r="O105" s="654">
        <f>IF(SUM('Function Allocators'!$J158:$O158)=0,0,($F105*'Function Allocators'!L158/SUM('Function Allocators'!$J158:$O158)))</f>
        <v>0</v>
      </c>
      <c r="P105" s="654">
        <f>IF(SUM('Function Allocators'!$J158:$O158)=0,0,($F105*'Function Allocators'!M158/SUM('Function Allocators'!$J158:$O158)))</f>
        <v>0</v>
      </c>
      <c r="Q105" s="654">
        <f>IF(SUM('Function Allocators'!$J158:$O158)=0,0,($F105*'Function Allocators'!N158/SUM('Function Allocators'!$J158:$O158)))</f>
        <v>0</v>
      </c>
      <c r="R105" s="654">
        <f>IF(SUM('Function Allocators'!$J158:$O158)=0,0,($F105*'Function Allocators'!O158/SUM('Function Allocators'!$J158:$O158)))</f>
        <v>8888.3103073382972</v>
      </c>
      <c r="T105" s="360" t="s">
        <v>445</v>
      </c>
      <c r="U105" s="52">
        <f t="shared" si="18"/>
        <v>0</v>
      </c>
      <c r="V105" s="361">
        <f>'G-4 COST OF SERVICE'!J37-SUM('Functionalization SMALL'!G105:J105)</f>
        <v>0</v>
      </c>
      <c r="W105" s="361">
        <f>'G-4 COST OF SERVICE'!K37-SUM('Functionalization SMALL'!K105:L105)</f>
        <v>0</v>
      </c>
      <c r="X105" s="361">
        <f>'G-4 COST OF SERVICE'!L37-SUM('Functionalization SMALL'!M105:R105)</f>
        <v>0</v>
      </c>
    </row>
    <row r="106" spans="1:24">
      <c r="A106" s="385">
        <v>909</v>
      </c>
      <c r="B106" s="379" t="s">
        <v>173</v>
      </c>
      <c r="C106" s="653">
        <f t="shared" si="17"/>
        <v>28969.504416389438</v>
      </c>
      <c r="D106" s="654">
        <f>'G-4 COST OF SERVICE'!J38</f>
        <v>0</v>
      </c>
      <c r="E106" s="654">
        <f>'G-4 COST OF SERVICE'!K38</f>
        <v>0</v>
      </c>
      <c r="F106" s="654">
        <f>'G-4 COST OF SERVICE'!L38</f>
        <v>28969.504416389438</v>
      </c>
      <c r="G106" s="654">
        <f>IF(SUM('Function Allocators'!$D159:$G159)=0,0,($D106*'Function Allocators'!D159/SUM('Function Allocators'!$D159:$G159)))</f>
        <v>0</v>
      </c>
      <c r="H106" s="654">
        <f>IF(SUM('Function Allocators'!$D159:$G159)=0,0,($D106*'Function Allocators'!E159/SUM('Function Allocators'!$D159:$G159)))</f>
        <v>0</v>
      </c>
      <c r="I106" s="654">
        <f>IF(SUM('Function Allocators'!$D159:$G159)=0,0,($D106*'Function Allocators'!F159/SUM('Function Allocators'!$D159:$G159)))</f>
        <v>0</v>
      </c>
      <c r="J106" s="654">
        <f>IF(SUM('Function Allocators'!$D159:$G159)=0,0,($D106*'Function Allocators'!G159/SUM('Function Allocators'!$D159:$G159)))</f>
        <v>0</v>
      </c>
      <c r="K106" s="654">
        <f>IF(SUM('Function Allocators'!$H159:$I159)=0,0,($E106*'Function Allocators'!H159/SUM('Function Allocators'!$H159:$I159)))</f>
        <v>0</v>
      </c>
      <c r="L106" s="654">
        <f>IF(SUM('Function Allocators'!$H159:$I159)=0,0,($E106*'Function Allocators'!I159/SUM('Function Allocators'!$H159:$I159)))</f>
        <v>0</v>
      </c>
      <c r="M106" s="654">
        <f>IF(SUM('Function Allocators'!$J159:$O159)=0,0,($F106*'Function Allocators'!J159/SUM('Function Allocators'!$J159:$O159)))</f>
        <v>0</v>
      </c>
      <c r="N106" s="654">
        <f>IF(SUM('Function Allocators'!$J159:$O159)=0,0,($F106*'Function Allocators'!K159/SUM('Function Allocators'!$J159:$O159)))</f>
        <v>0</v>
      </c>
      <c r="O106" s="654">
        <f>IF(SUM('Function Allocators'!$J159:$O159)=0,0,($F106*'Function Allocators'!L159/SUM('Function Allocators'!$J159:$O159)))</f>
        <v>0</v>
      </c>
      <c r="P106" s="654">
        <f>IF(SUM('Function Allocators'!$J159:$O159)=0,0,($F106*'Function Allocators'!M159/SUM('Function Allocators'!$J159:$O159)))</f>
        <v>0</v>
      </c>
      <c r="Q106" s="654">
        <f>IF(SUM('Function Allocators'!$J159:$O159)=0,0,($F106*'Function Allocators'!N159/SUM('Function Allocators'!$J159:$O159)))</f>
        <v>0</v>
      </c>
      <c r="R106" s="654">
        <f>IF(SUM('Function Allocators'!$J159:$O159)=0,0,($F106*'Function Allocators'!O159/SUM('Function Allocators'!$J159:$O159)))</f>
        <v>28969.504416389438</v>
      </c>
      <c r="T106" s="360" t="s">
        <v>445</v>
      </c>
      <c r="U106" s="52">
        <f t="shared" si="18"/>
        <v>0</v>
      </c>
      <c r="V106" s="361">
        <f>'G-4 COST OF SERVICE'!J38-SUM('Functionalization SMALL'!G106:J106)</f>
        <v>0</v>
      </c>
      <c r="W106" s="361">
        <f>'G-4 COST OF SERVICE'!K38-SUM('Functionalization SMALL'!K106:L106)</f>
        <v>0</v>
      </c>
      <c r="X106" s="361">
        <f>'G-4 COST OF SERVICE'!L38-SUM('Functionalization SMALL'!M106:R106)</f>
        <v>0</v>
      </c>
    </row>
    <row r="107" spans="1:24">
      <c r="A107" s="385">
        <v>910</v>
      </c>
      <c r="B107" s="379" t="s">
        <v>174</v>
      </c>
      <c r="C107" s="653">
        <f t="shared" si="17"/>
        <v>2.0159304788141412</v>
      </c>
      <c r="D107" s="654">
        <f>'G-4 COST OF SERVICE'!J39</f>
        <v>0</v>
      </c>
      <c r="E107" s="654">
        <f>'G-4 COST OF SERVICE'!K39</f>
        <v>0</v>
      </c>
      <c r="F107" s="654">
        <f>'G-4 COST OF SERVICE'!L39</f>
        <v>2.0159304788141412</v>
      </c>
      <c r="G107" s="654">
        <f>IF(SUM('Function Allocators'!$D160:$G160)=0,0,($D107*'Function Allocators'!D160/SUM('Function Allocators'!$D160:$G160)))</f>
        <v>0</v>
      </c>
      <c r="H107" s="654">
        <f>IF(SUM('Function Allocators'!$D160:$G160)=0,0,($D107*'Function Allocators'!E160/SUM('Function Allocators'!$D160:$G160)))</f>
        <v>0</v>
      </c>
      <c r="I107" s="654">
        <f>IF(SUM('Function Allocators'!$D160:$G160)=0,0,($D107*'Function Allocators'!F160/SUM('Function Allocators'!$D160:$G160)))</f>
        <v>0</v>
      </c>
      <c r="J107" s="654">
        <f>IF(SUM('Function Allocators'!$D160:$G160)=0,0,($D107*'Function Allocators'!G160/SUM('Function Allocators'!$D160:$G160)))</f>
        <v>0</v>
      </c>
      <c r="K107" s="654">
        <f>IF(SUM('Function Allocators'!$H160:$I160)=0,0,($E107*'Function Allocators'!H160/SUM('Function Allocators'!$H160:$I160)))</f>
        <v>0</v>
      </c>
      <c r="L107" s="654">
        <f>IF(SUM('Function Allocators'!$H160:$I160)=0,0,($E107*'Function Allocators'!I160/SUM('Function Allocators'!$H160:$I160)))</f>
        <v>0</v>
      </c>
      <c r="M107" s="654">
        <f>IF(SUM('Function Allocators'!$J160:$O160)=0,0,($F107*'Function Allocators'!J160/SUM('Function Allocators'!$J160:$O160)))</f>
        <v>0</v>
      </c>
      <c r="N107" s="654">
        <f>IF(SUM('Function Allocators'!$J160:$O160)=0,0,($F107*'Function Allocators'!K160/SUM('Function Allocators'!$J160:$O160)))</f>
        <v>0</v>
      </c>
      <c r="O107" s="654">
        <f>IF(SUM('Function Allocators'!$J160:$O160)=0,0,($F107*'Function Allocators'!L160/SUM('Function Allocators'!$J160:$O160)))</f>
        <v>0</v>
      </c>
      <c r="P107" s="654">
        <f>IF(SUM('Function Allocators'!$J160:$O160)=0,0,($F107*'Function Allocators'!M160/SUM('Function Allocators'!$J160:$O160)))</f>
        <v>0</v>
      </c>
      <c r="Q107" s="654">
        <f>IF(SUM('Function Allocators'!$J160:$O160)=0,0,($F107*'Function Allocators'!N160/SUM('Function Allocators'!$J160:$O160)))</f>
        <v>0</v>
      </c>
      <c r="R107" s="654">
        <f>IF(SUM('Function Allocators'!$J160:$O160)=0,0,($F107*'Function Allocators'!O160/SUM('Function Allocators'!$J160:$O160)))</f>
        <v>2.0159304788141412</v>
      </c>
      <c r="T107" s="360" t="s">
        <v>445</v>
      </c>
      <c r="U107" s="52">
        <f t="shared" si="18"/>
        <v>0</v>
      </c>
      <c r="V107" s="361">
        <f>'G-4 COST OF SERVICE'!J39-SUM('Functionalization SMALL'!G107:J107)</f>
        <v>0</v>
      </c>
      <c r="W107" s="361">
        <f>'G-4 COST OF SERVICE'!K39-SUM('Functionalization SMALL'!K107:L107)</f>
        <v>0</v>
      </c>
      <c r="X107" s="361">
        <f>'G-4 COST OF SERVICE'!L39-SUM('Functionalization SMALL'!M107:R107)</f>
        <v>0</v>
      </c>
    </row>
    <row r="108" spans="1:24">
      <c r="A108" s="385"/>
      <c r="B108" s="377" t="s">
        <v>175</v>
      </c>
      <c r="C108" s="656">
        <f t="shared" ref="C108:R108" si="19">SUM(C99:C107)</f>
        <v>567223.15482836345</v>
      </c>
      <c r="D108" s="656">
        <f t="shared" si="19"/>
        <v>0</v>
      </c>
      <c r="E108" s="656">
        <f t="shared" si="19"/>
        <v>0</v>
      </c>
      <c r="F108" s="656">
        <f t="shared" si="19"/>
        <v>567223.15482836345</v>
      </c>
      <c r="G108" s="656">
        <f t="shared" si="19"/>
        <v>0</v>
      </c>
      <c r="H108" s="656">
        <f t="shared" si="19"/>
        <v>0</v>
      </c>
      <c r="I108" s="656">
        <f t="shared" si="19"/>
        <v>0</v>
      </c>
      <c r="J108" s="656">
        <f t="shared" si="19"/>
        <v>0</v>
      </c>
      <c r="K108" s="656">
        <f t="shared" si="19"/>
        <v>0</v>
      </c>
      <c r="L108" s="656">
        <f t="shared" si="19"/>
        <v>0</v>
      </c>
      <c r="M108" s="656">
        <f t="shared" si="19"/>
        <v>5403.8406677385246</v>
      </c>
      <c r="N108" s="656">
        <f t="shared" si="19"/>
        <v>1418.0440749682175</v>
      </c>
      <c r="O108" s="656">
        <f t="shared" si="19"/>
        <v>215.29538472152146</v>
      </c>
      <c r="P108" s="656">
        <f t="shared" si="19"/>
        <v>8486.4263562893393</v>
      </c>
      <c r="Q108" s="656">
        <f t="shared" si="19"/>
        <v>449851.30445871735</v>
      </c>
      <c r="R108" s="656">
        <f t="shared" si="19"/>
        <v>101848.2438859285</v>
      </c>
      <c r="U108" s="52">
        <f t="shared" si="18"/>
        <v>0</v>
      </c>
      <c r="V108" s="361">
        <f>'G-4 COST OF SERVICE'!J40-SUM('Functionalization SMALL'!G108:J108)</f>
        <v>0</v>
      </c>
      <c r="W108" s="361">
        <f>'G-4 COST OF SERVICE'!K40-SUM('Functionalization SMALL'!K108:L108)</f>
        <v>0</v>
      </c>
      <c r="X108" s="361">
        <f>'G-4 COST OF SERVICE'!L40-SUM('Functionalization SMALL'!M108:R108)</f>
        <v>0</v>
      </c>
    </row>
    <row r="109" spans="1:24" ht="11.25">
      <c r="A109" s="385"/>
      <c r="B109" s="377"/>
      <c r="C109" s="653"/>
      <c r="D109" s="653"/>
      <c r="E109" s="653"/>
      <c r="F109" s="653"/>
      <c r="G109" s="654"/>
      <c r="H109" s="653"/>
      <c r="I109" s="653"/>
      <c r="J109" s="653"/>
      <c r="K109" s="653"/>
      <c r="L109" s="653"/>
      <c r="M109" s="653"/>
      <c r="N109" s="653"/>
      <c r="O109" s="653"/>
      <c r="P109" s="653"/>
      <c r="Q109" s="653"/>
      <c r="R109" s="653"/>
      <c r="U109" s="360"/>
      <c r="V109" s="361"/>
      <c r="W109" s="361"/>
      <c r="X109" s="361"/>
    </row>
    <row r="110" spans="1:24">
      <c r="A110" s="385" t="s">
        <v>472</v>
      </c>
      <c r="B110" s="377" t="s">
        <v>176</v>
      </c>
      <c r="C110" s="654">
        <f>SUM(G110:R110)</f>
        <v>1420112.7742221276</v>
      </c>
      <c r="D110" s="654">
        <f>'G-4 COST OF SERVICE'!J55</f>
        <v>635334.94712776109</v>
      </c>
      <c r="E110" s="654">
        <f>'G-4 COST OF SERVICE'!K55</f>
        <v>5410.4674110563783</v>
      </c>
      <c r="F110" s="654">
        <f>'G-4 COST OF SERVICE'!L55</f>
        <v>779367.35968331003</v>
      </c>
      <c r="G110" s="654">
        <f>IF(SUM('Function Allocators'!$D164:$G164)=0,0,($D110*'Function Allocators'!D164/SUM('Function Allocators'!$D164:$G164)))</f>
        <v>0</v>
      </c>
      <c r="H110" s="654">
        <f>IF(SUM('Function Allocators'!$D164:$G164)=0,0,($D110*'Function Allocators'!E164/SUM('Function Allocators'!$D164:$G164)))</f>
        <v>446650.67105129518</v>
      </c>
      <c r="I110" s="654">
        <f>IF(SUM('Function Allocators'!$D164:$G164)=0,0,($D110*'Function Allocators'!F164/SUM('Function Allocators'!$D164:$G164)))</f>
        <v>182845.64230443109</v>
      </c>
      <c r="J110" s="654">
        <f>IF(SUM('Function Allocators'!$D164:$G164)=0,0,($D110*'Function Allocators'!G164/SUM('Function Allocators'!$D164:$G164)))</f>
        <v>5838.633772034791</v>
      </c>
      <c r="K110" s="654">
        <f>IF(SUM('Function Allocators'!$H164:$I164)=0,0,($E110*'Function Allocators'!H164/SUM('Function Allocators'!$H$164:$I$164)))</f>
        <v>5410.4674110563792</v>
      </c>
      <c r="L110" s="654">
        <f>IF(SUM('Function Allocators'!$H164:$I164)=0,0,($E110*'Function Allocators'!I164/SUM('Function Allocators'!$H$164:$I$164)))</f>
        <v>0</v>
      </c>
      <c r="M110" s="654">
        <f>IF(SUM('Function Allocators'!$J164:$O164)=0,0,($F110*'Function Allocators'!J164/SUM('Function Allocators'!$J164:$O164)))</f>
        <v>326133.71656066895</v>
      </c>
      <c r="N110" s="654">
        <f>IF(SUM('Function Allocators'!$J164:$O164)=0,0,($F110*'Function Allocators'!K164/SUM('Function Allocators'!$J164:$O164)))</f>
        <v>393048.48379423306</v>
      </c>
      <c r="O110" s="654">
        <f>IF(SUM('Function Allocators'!$J164:$O164)=0,0,($F110*'Function Allocators'!L164/SUM('Function Allocators'!$J164:$O164)))</f>
        <v>60185.159328408037</v>
      </c>
      <c r="P110" s="654">
        <f>IF(SUM('Function Allocators'!$J164:$O164)=0,0,($F110*'Function Allocators'!M164/SUM('Function Allocators'!$J164:$O164)))</f>
        <v>0</v>
      </c>
      <c r="Q110" s="654">
        <f>IF(SUM('Function Allocators'!$J164:$O164)=0,0,($F110*'Function Allocators'!N164/SUM('Function Allocators'!$J164:$O164)))</f>
        <v>0</v>
      </c>
      <c r="R110" s="654">
        <f>IF(SUM('Function Allocators'!$J164:$O164)=0,0,($F110*'Function Allocators'!O164/SUM('Function Allocators'!$J164:$O164)))</f>
        <v>0</v>
      </c>
      <c r="U110" s="52">
        <f>C110-SUM(D110:F110)</f>
        <v>0</v>
      </c>
      <c r="V110" s="361">
        <f>'G-4 COST OF SERVICE'!J55-SUM('Functionalization SMALL'!G110:J110)</f>
        <v>0</v>
      </c>
      <c r="W110" s="361">
        <f>'G-4 COST OF SERVICE'!K55-SUM('Functionalization SMALL'!K110:L110)</f>
        <v>0</v>
      </c>
      <c r="X110" s="361">
        <f>'G-4 COST OF SERVICE'!L55-SUM('Functionalization SMALL'!M110:R110)</f>
        <v>0</v>
      </c>
    </row>
    <row r="111" spans="1:24" ht="11.25">
      <c r="A111" s="385"/>
      <c r="B111" s="377"/>
      <c r="C111" s="653"/>
      <c r="D111" s="653"/>
      <c r="E111" s="653"/>
      <c r="F111" s="653"/>
      <c r="G111" s="654"/>
      <c r="H111" s="653"/>
      <c r="I111" s="653"/>
      <c r="J111" s="653"/>
      <c r="K111" s="653"/>
      <c r="L111" s="653"/>
      <c r="M111" s="653"/>
      <c r="N111" s="653"/>
      <c r="O111" s="653"/>
      <c r="P111" s="653"/>
      <c r="Q111" s="653"/>
      <c r="R111" s="653"/>
      <c r="U111" s="360"/>
      <c r="V111" s="361"/>
      <c r="W111" s="361"/>
      <c r="X111" s="361"/>
    </row>
    <row r="112" spans="1:24" ht="11.25">
      <c r="A112" s="385"/>
      <c r="B112" s="406" t="s">
        <v>190</v>
      </c>
      <c r="C112" s="653"/>
      <c r="D112" s="653"/>
      <c r="E112" s="653"/>
      <c r="F112" s="653"/>
      <c r="G112" s="654"/>
      <c r="H112" s="653"/>
      <c r="I112" s="653"/>
      <c r="J112" s="653"/>
      <c r="K112" s="653"/>
      <c r="L112" s="653"/>
      <c r="M112" s="653"/>
      <c r="N112" s="653"/>
      <c r="O112" s="653"/>
      <c r="P112" s="653"/>
      <c r="Q112" s="653"/>
      <c r="R112" s="653"/>
      <c r="U112" s="360"/>
      <c r="V112" s="361"/>
      <c r="W112" s="361"/>
      <c r="X112" s="361"/>
    </row>
    <row r="113" spans="1:24">
      <c r="A113" s="385"/>
      <c r="B113" s="377" t="s">
        <v>191</v>
      </c>
      <c r="C113" s="654">
        <f>SUM(G113:R113)</f>
        <v>448240.14549181942</v>
      </c>
      <c r="D113" s="654">
        <f>'G-4 COST OF SERVICE'!J64</f>
        <v>225276.91216718371</v>
      </c>
      <c r="E113" s="654">
        <f>'G-4 COST OF SERVICE'!K64</f>
        <v>0</v>
      </c>
      <c r="F113" s="654">
        <f>'G-4 COST OF SERVICE'!L64</f>
        <v>222963.23332463572</v>
      </c>
      <c r="G113" s="654">
        <f>IF(SUM('Function Allocators'!$D180:$G180)=0,0,($D113*'Function Allocators'!D180/SUM('Function Allocators'!$D180:$G180)))</f>
        <v>0</v>
      </c>
      <c r="H113" s="654">
        <f>IF(SUM('Function Allocators'!$D180:$G180)=0,0,($D113*'Function Allocators'!E180/SUM('Function Allocators'!$D180:$G180)))</f>
        <v>206577.81305071412</v>
      </c>
      <c r="I113" s="654">
        <f>IF(SUM('Function Allocators'!$D180:$G180)=0,0,($D113*'Function Allocators'!F180/SUM('Function Allocators'!$D180:$G180)))</f>
        <v>14645.237853768263</v>
      </c>
      <c r="J113" s="654">
        <f>IF(SUM('Function Allocators'!$D180:$G180)=0,0,($D113*'Function Allocators'!G180/SUM('Function Allocators'!$D180:$G180)))</f>
        <v>4053.8612627013372</v>
      </c>
      <c r="K113" s="654">
        <f>IF(SUM('Function Allocators'!$H180:$I180)=0,0,($E113*'Function Allocators'!H180/SUM('Function Allocators'!$H$180:$I$180)))</f>
        <v>0</v>
      </c>
      <c r="L113" s="654">
        <f>IF(SUM('Function Allocators'!$H180:$I180)=0,0,($E113*'Function Allocators'!I180/SUM('Function Allocators'!$H$180:$I$180)))</f>
        <v>0</v>
      </c>
      <c r="M113" s="654">
        <f>IF(SUM('Function Allocators'!$J180:$O180)=0,0,($F113*'Function Allocators'!J180/SUM('Function Allocators'!$J180:$O180)))</f>
        <v>180741.47197780528</v>
      </c>
      <c r="N113" s="654">
        <f>IF(SUM('Function Allocators'!$J180:$O180)=0,0,($F113*'Function Allocators'!K180/SUM('Function Allocators'!$J180:$O180)))</f>
        <v>34799.938003297633</v>
      </c>
      <c r="O113" s="654">
        <f>IF(SUM('Function Allocators'!$J180:$O180)=0,0,($F113*'Function Allocators'!L180/SUM('Function Allocators'!$J180:$O180)))</f>
        <v>7421.8233435328248</v>
      </c>
      <c r="P113" s="654">
        <f>IF(SUM('Function Allocators'!$J180:$O180)=0,0,($F113*'Function Allocators'!M180/SUM('Function Allocators'!$J180:$O180)))</f>
        <v>0</v>
      </c>
      <c r="Q113" s="654">
        <f>IF(SUM('Function Allocators'!$J180:$O180)=0,0,($F113*'Function Allocators'!N180/SUM('Function Allocators'!$J180:$O180)))</f>
        <v>0</v>
      </c>
      <c r="R113" s="654">
        <f>IF(SUM('Function Allocators'!$J180:$O180)=0,0,($F113*'Function Allocators'!O180/SUM('Function Allocators'!$J180:$O180)))</f>
        <v>0</v>
      </c>
      <c r="U113" s="52">
        <f>C113-SUM(D113:F113)</f>
        <v>0</v>
      </c>
      <c r="V113" s="361">
        <f>'G-4 COST OF SERVICE'!J64-SUM('Functionalization SMALL'!G113:J113)</f>
        <v>0</v>
      </c>
      <c r="W113" s="361">
        <f>'G-4 COST OF SERVICE'!K64-SUM('Functionalization SMALL'!K113:L113)</f>
        <v>0</v>
      </c>
      <c r="X113" s="361">
        <f>'G-4 COST OF SERVICE'!L64-SUM('Functionalization SMALL'!M113:R113)</f>
        <v>0</v>
      </c>
    </row>
    <row r="114" spans="1:24">
      <c r="A114" s="385"/>
      <c r="B114" s="377" t="s">
        <v>286</v>
      </c>
      <c r="C114" s="654">
        <f>SUM(G114:R114)</f>
        <v>54766.832185005667</v>
      </c>
      <c r="D114" s="654">
        <f>'G-4 COST OF SERVICE'!J66</f>
        <v>54766.832185005667</v>
      </c>
      <c r="E114" s="654">
        <f>'G-4 COST OF SERVICE'!K66</f>
        <v>0</v>
      </c>
      <c r="F114" s="654">
        <f>'G-4 COST OF SERVICE'!L66</f>
        <v>0</v>
      </c>
      <c r="G114" s="654">
        <f>IF(SUM('Function Allocators'!$D186:$G186)=0,0,($D114*'Function Allocators'!D186/SUM('Function Allocators'!$D186:$G186)))</f>
        <v>0</v>
      </c>
      <c r="H114" s="654">
        <f>IF(SUM('Function Allocators'!$D186:$G186)=0,0,($D114*'Function Allocators'!E186/SUM('Function Allocators'!$D186:$G186)))</f>
        <v>54766.832185005667</v>
      </c>
      <c r="I114" s="654">
        <f>IF(SUM('Function Allocators'!$D186:$G186)=0,0,($D114*'Function Allocators'!F186/SUM('Function Allocators'!$D186:$G186)))</f>
        <v>0</v>
      </c>
      <c r="J114" s="654">
        <f>IF(SUM('Function Allocators'!$D186:$G186)=0,0,($D114*'Function Allocators'!G186/SUM('Function Allocators'!$D186:$G186)))</f>
        <v>0</v>
      </c>
      <c r="K114" s="654">
        <f>IF(SUM('Function Allocators'!$H186:$I186)=0,0,($E114*'Function Allocators'!H186/SUM('Function Allocators'!$H$186:$I$186)))</f>
        <v>0</v>
      </c>
      <c r="L114" s="654">
        <f>IF(SUM('Function Allocators'!$H186:$I186)=0,0,($E114*'Function Allocators'!I186/SUM('Function Allocators'!$H$186:$I$186)))</f>
        <v>0</v>
      </c>
      <c r="M114" s="654">
        <f>IF(SUM('Function Allocators'!$J186:$O186)=0,0,($F114*'Function Allocators'!J186/SUM('Function Allocators'!$J186:$O186)))</f>
        <v>0</v>
      </c>
      <c r="N114" s="654">
        <f>IF(SUM('Function Allocators'!$J186:$O186)=0,0,($F114*'Function Allocators'!K186/SUM('Function Allocators'!$J186:$O186)))</f>
        <v>0</v>
      </c>
      <c r="O114" s="654">
        <f>IF(SUM('Function Allocators'!$J186:$O186)=0,0,($F114*'Function Allocators'!L186/SUM('Function Allocators'!$J186:$O186)))</f>
        <v>0</v>
      </c>
      <c r="P114" s="654">
        <f>IF(SUM('Function Allocators'!$J186:$O186)=0,0,($F114*'Function Allocators'!M186/SUM('Function Allocators'!$J186:$O186)))</f>
        <v>0</v>
      </c>
      <c r="Q114" s="654">
        <f>IF(SUM('Function Allocators'!$J186:$O186)=0,0,($F114*'Function Allocators'!N186/SUM('Function Allocators'!$J186:$O186)))</f>
        <v>0</v>
      </c>
      <c r="R114" s="654">
        <f>IF(SUM('Function Allocators'!$J186:$O186)=0,0,($F114*'Function Allocators'!O186/SUM('Function Allocators'!$J186:$O186)))</f>
        <v>0</v>
      </c>
      <c r="U114" s="52">
        <f>C114-SUM(D114:F114)</f>
        <v>0</v>
      </c>
      <c r="V114" s="361">
        <f>'G-4 COST OF SERVICE'!J66-SUM('Functionalization SMALL'!G114:J114)</f>
        <v>0</v>
      </c>
      <c r="W114" s="361">
        <f>'G-4 COST OF SERVICE'!K66-SUM('Functionalization SMALL'!K114:L114)</f>
        <v>0</v>
      </c>
      <c r="X114" s="361">
        <f>'G-4 COST OF SERVICE'!L66-SUM('Functionalization SMALL'!M114:R114)</f>
        <v>0</v>
      </c>
    </row>
    <row r="115" spans="1:24" ht="11.25">
      <c r="A115" s="385"/>
      <c r="B115" s="377"/>
      <c r="C115" s="653"/>
      <c r="D115" s="653"/>
      <c r="E115" s="653"/>
      <c r="F115" s="653"/>
      <c r="G115" s="654"/>
      <c r="H115" s="653"/>
      <c r="I115" s="653"/>
      <c r="J115" s="653"/>
      <c r="K115" s="653"/>
      <c r="L115" s="653"/>
      <c r="M115" s="653"/>
      <c r="N115" s="653"/>
      <c r="O115" s="653"/>
      <c r="P115" s="653"/>
      <c r="Q115" s="653"/>
      <c r="R115" s="653"/>
      <c r="U115" s="360"/>
      <c r="V115" s="361"/>
      <c r="W115" s="361"/>
      <c r="X115" s="361"/>
    </row>
    <row r="116" spans="1:24" ht="11.25">
      <c r="A116" s="385"/>
      <c r="B116" s="377" t="s">
        <v>197</v>
      </c>
      <c r="C116" s="653"/>
      <c r="D116" s="653"/>
      <c r="E116" s="653"/>
      <c r="F116" s="653"/>
      <c r="G116" s="654"/>
      <c r="H116" s="653"/>
      <c r="I116" s="653"/>
      <c r="J116" s="653"/>
      <c r="K116" s="653"/>
      <c r="L116" s="653"/>
      <c r="M116" s="653"/>
      <c r="N116" s="653"/>
      <c r="O116" s="653"/>
      <c r="P116" s="653"/>
      <c r="Q116" s="653"/>
      <c r="R116" s="653"/>
      <c r="U116" s="360"/>
      <c r="V116" s="361"/>
      <c r="W116" s="361"/>
      <c r="X116" s="361"/>
    </row>
    <row r="117" spans="1:24">
      <c r="A117" s="385">
        <v>374</v>
      </c>
      <c r="B117" s="379" t="s">
        <v>81</v>
      </c>
      <c r="C117" s="653">
        <f t="shared" ref="C117:C128" si="20">SUM(G117:R117)</f>
        <v>1503.1286612566546</v>
      </c>
      <c r="D117" s="653">
        <f>'G-4 COST OF SERVICE'!J69</f>
        <v>1503.1286612566546</v>
      </c>
      <c r="E117" s="653">
        <f>'G-4 COST OF SERVICE'!K69</f>
        <v>0</v>
      </c>
      <c r="F117" s="653">
        <f>'G-4 COST OF SERVICE'!L69</f>
        <v>0</v>
      </c>
      <c r="G117" s="654">
        <f>IF(SUM('Function Allocators'!$D194:$G194)=0,0,($D117*'Function Allocators'!D194/SUM('Function Allocators'!$D194:$G194)))</f>
        <v>0</v>
      </c>
      <c r="H117" s="654">
        <f>IF(SUM('Function Allocators'!$D194:$G194)=0,0,($D117*'Function Allocators'!E194/SUM('Function Allocators'!$D194:$G194)))</f>
        <v>0</v>
      </c>
      <c r="I117" s="654">
        <f>IF(SUM('Function Allocators'!$D194:$G194)=0,0,($D117*'Function Allocators'!F194/SUM('Function Allocators'!$D194:$G194)))</f>
        <v>0</v>
      </c>
      <c r="J117" s="654">
        <f>IF(SUM('Function Allocators'!$D194:$G194)=0,0,($D117*'Function Allocators'!G194/SUM('Function Allocators'!$D194:$G194)))</f>
        <v>1503.1286612566546</v>
      </c>
      <c r="K117" s="654">
        <f>IF(SUM('Function Allocators'!$H194:$I194)=0,0,($E117*'Function Allocators'!H194/SUM('Function Allocators'!$H194:$I194)))</f>
        <v>0</v>
      </c>
      <c r="L117" s="654">
        <f>IF(SUM('Function Allocators'!$H194:$I194)=0,0,($E117*'Function Allocators'!I194/SUM('Function Allocators'!$H194:$I194)))</f>
        <v>0</v>
      </c>
      <c r="M117" s="654">
        <f>IF(SUM('Function Allocators'!$J194:$O194)=0,0,($F117*'Function Allocators'!J194/SUM('Function Allocators'!$J194:$O194)))</f>
        <v>0</v>
      </c>
      <c r="N117" s="654">
        <f>IF(SUM('Function Allocators'!$J194:$O194)=0,0,($F117*'Function Allocators'!K194/SUM('Function Allocators'!$J194:$O194)))</f>
        <v>0</v>
      </c>
      <c r="O117" s="654">
        <f>IF(SUM('Function Allocators'!$J194:$O194)=0,0,($F117*'Function Allocators'!L194/SUM('Function Allocators'!$J194:$O194)))</f>
        <v>0</v>
      </c>
      <c r="P117" s="654">
        <f>IF(SUM('Function Allocators'!$J194:$O194)=0,0,($F117*'Function Allocators'!M194/SUM('Function Allocators'!$J194:$O194)))</f>
        <v>0</v>
      </c>
      <c r="Q117" s="654">
        <f>IF(SUM('Function Allocators'!$J194:$O194)=0,0,($F117*'Function Allocators'!N194/SUM('Function Allocators'!$J194:$O194)))</f>
        <v>0</v>
      </c>
      <c r="R117" s="654">
        <f>IF(SUM('Function Allocators'!$J194:$O194)=0,0,($F117*'Function Allocators'!O194/SUM('Function Allocators'!$J194:$O194)))</f>
        <v>0</v>
      </c>
      <c r="T117" s="360" t="s">
        <v>428</v>
      </c>
      <c r="U117" s="52">
        <f t="shared" ref="U117:U129" si="21">C117-SUM(D117:F117)</f>
        <v>0</v>
      </c>
      <c r="V117" s="361">
        <f>'G-4 COST OF SERVICE'!J69-SUM('Functionalization SMALL'!G117:J117)</f>
        <v>0</v>
      </c>
      <c r="W117" s="361">
        <f>'G-4 COST OF SERVICE'!K69-SUM('Functionalization SMALL'!K117:L117)</f>
        <v>0</v>
      </c>
      <c r="X117" s="361">
        <f>'G-4 COST OF SERVICE'!L69-SUM('Functionalization SMALL'!M117:R117)</f>
        <v>0</v>
      </c>
    </row>
    <row r="118" spans="1:24">
      <c r="A118" s="390">
        <v>375</v>
      </c>
      <c r="B118" s="379" t="s">
        <v>82</v>
      </c>
      <c r="C118" s="653">
        <f t="shared" si="20"/>
        <v>1016.211356893807</v>
      </c>
      <c r="D118" s="653">
        <f>'G-4 COST OF SERVICE'!J70</f>
        <v>1016.211356893807</v>
      </c>
      <c r="E118" s="653">
        <f>'G-4 COST OF SERVICE'!K70</f>
        <v>0</v>
      </c>
      <c r="F118" s="653">
        <f>'G-4 COST OF SERVICE'!L70</f>
        <v>0</v>
      </c>
      <c r="G118" s="654">
        <f>IF(SUM('Function Allocators'!$D195:$G195)=0,0,($D118*'Function Allocators'!D195/SUM('Function Allocators'!$D195:$G195)))</f>
        <v>0</v>
      </c>
      <c r="H118" s="654">
        <f>IF(SUM('Function Allocators'!$D195:$G195)=0,0,($D118*'Function Allocators'!E195/SUM('Function Allocators'!$D195:$G195)))</f>
        <v>0</v>
      </c>
      <c r="I118" s="654">
        <f>IF(SUM('Function Allocators'!$D195:$G195)=0,0,($D118*'Function Allocators'!F195/SUM('Function Allocators'!$D195:$G195)))</f>
        <v>0</v>
      </c>
      <c r="J118" s="654">
        <f>IF(SUM('Function Allocators'!$D195:$G195)=0,0,($D118*'Function Allocators'!G195/SUM('Function Allocators'!$D195:$G195)))</f>
        <v>1016.211356893807</v>
      </c>
      <c r="K118" s="654">
        <f>IF(SUM('Function Allocators'!$H195:$I195)=0,0,($E118*'Function Allocators'!H195/SUM('Function Allocators'!$H195:$I195)))</f>
        <v>0</v>
      </c>
      <c r="L118" s="654">
        <f>IF(SUM('Function Allocators'!$H195:$I195)=0,0,($E118*'Function Allocators'!I195/SUM('Function Allocators'!$H195:$I195)))</f>
        <v>0</v>
      </c>
      <c r="M118" s="654">
        <f>IF(SUM('Function Allocators'!$J195:$O195)=0,0,($F118*'Function Allocators'!J195/SUM('Function Allocators'!$J195:$O195)))</f>
        <v>0</v>
      </c>
      <c r="N118" s="654">
        <f>IF(SUM('Function Allocators'!$J195:$O195)=0,0,($F118*'Function Allocators'!K195/SUM('Function Allocators'!$J195:$O195)))</f>
        <v>0</v>
      </c>
      <c r="O118" s="654">
        <f>IF(SUM('Function Allocators'!$J195:$O195)=0,0,($F118*'Function Allocators'!L195/SUM('Function Allocators'!$J195:$O195)))</f>
        <v>0</v>
      </c>
      <c r="P118" s="654">
        <f>IF(SUM('Function Allocators'!$J195:$O195)=0,0,($F118*'Function Allocators'!M195/SUM('Function Allocators'!$J195:$O195)))</f>
        <v>0</v>
      </c>
      <c r="Q118" s="654">
        <f>IF(SUM('Function Allocators'!$J195:$O195)=0,0,($F118*'Function Allocators'!N195/SUM('Function Allocators'!$J195:$O195)))</f>
        <v>0</v>
      </c>
      <c r="R118" s="654">
        <f>IF(SUM('Function Allocators'!$J195:$O195)=0,0,($F118*'Function Allocators'!O195/SUM('Function Allocators'!$J195:$O195)))</f>
        <v>0</v>
      </c>
      <c r="T118" s="360" t="s">
        <v>428</v>
      </c>
      <c r="U118" s="52">
        <f t="shared" si="21"/>
        <v>0</v>
      </c>
      <c r="V118" s="361">
        <f>'G-4 COST OF SERVICE'!J70-SUM('Functionalization SMALL'!G118:J118)</f>
        <v>0</v>
      </c>
      <c r="W118" s="361">
        <f>'G-4 COST OF SERVICE'!K70-SUM('Functionalization SMALL'!K118:L118)</f>
        <v>0</v>
      </c>
      <c r="X118" s="361">
        <f>'G-4 COST OF SERVICE'!L70-SUM('Functionalization SMALL'!M118:R118)</f>
        <v>0</v>
      </c>
    </row>
    <row r="119" spans="1:24">
      <c r="A119" s="385">
        <v>376</v>
      </c>
      <c r="B119" s="379" t="s">
        <v>83</v>
      </c>
      <c r="C119" s="653">
        <f t="shared" si="20"/>
        <v>785911.04947308567</v>
      </c>
      <c r="D119" s="653">
        <f>'G-4 COST OF SERVICE'!J71</f>
        <v>581606.24179557955</v>
      </c>
      <c r="E119" s="653">
        <f>'G-4 COST OF SERVICE'!K71</f>
        <v>0</v>
      </c>
      <c r="F119" s="653">
        <f>'G-4 COST OF SERVICE'!L71</f>
        <v>204304.80767750615</v>
      </c>
      <c r="G119" s="654">
        <f>IF(SUM('Function Allocators'!$D196:$G196)=0,0,($D119*'Function Allocators'!D196/SUM('Function Allocators'!$D196:$G196)))</f>
        <v>0</v>
      </c>
      <c r="H119" s="654">
        <f>IF(SUM('Function Allocators'!$D196:$G196)=0,0,($D119*'Function Allocators'!E196/SUM('Function Allocators'!$D196:$G196)))</f>
        <v>581606.24179557955</v>
      </c>
      <c r="I119" s="654">
        <f>IF(SUM('Function Allocators'!$D196:$G196)=0,0,($D119*'Function Allocators'!F196/SUM('Function Allocators'!$D196:$G196)))</f>
        <v>0</v>
      </c>
      <c r="J119" s="654">
        <f>IF(SUM('Function Allocators'!$D196:$G196)=0,0,($D119*'Function Allocators'!G196/SUM('Function Allocators'!$D196:$G196)))</f>
        <v>0</v>
      </c>
      <c r="K119" s="654">
        <f>IF(SUM('Function Allocators'!$H196:$I196)=0,0,($E119*'Function Allocators'!H196/SUM('Function Allocators'!$H196:$I196)))</f>
        <v>0</v>
      </c>
      <c r="L119" s="654">
        <f>IF(SUM('Function Allocators'!$H196:$I196)=0,0,($E119*'Function Allocators'!I196/SUM('Function Allocators'!$H196:$I196)))</f>
        <v>0</v>
      </c>
      <c r="M119" s="654">
        <f>IF(SUM('Function Allocators'!$J196:$O196)=0,0,($F119*'Function Allocators'!J196/SUM('Function Allocators'!$J196:$O196)))</f>
        <v>204304.80767750615</v>
      </c>
      <c r="N119" s="654">
        <f>IF(SUM('Function Allocators'!$J196:$O196)=0,0,($F119*'Function Allocators'!K196/SUM('Function Allocators'!$J196:$O196)))</f>
        <v>0</v>
      </c>
      <c r="O119" s="654">
        <f>IF(SUM('Function Allocators'!$J196:$O196)=0,0,($F119*'Function Allocators'!L196/SUM('Function Allocators'!$J196:$O196)))</f>
        <v>0</v>
      </c>
      <c r="P119" s="654">
        <f>IF(SUM('Function Allocators'!$J196:$O196)=0,0,($F119*'Function Allocators'!M196/SUM('Function Allocators'!$J196:$O196)))</f>
        <v>0</v>
      </c>
      <c r="Q119" s="654">
        <f>IF(SUM('Function Allocators'!$J196:$O196)=0,0,($F119*'Function Allocators'!N196/SUM('Function Allocators'!$J196:$O196)))</f>
        <v>0</v>
      </c>
      <c r="R119" s="654">
        <f>IF(SUM('Function Allocators'!$J196:$O196)=0,0,($F119*'Function Allocators'!O196/SUM('Function Allocators'!$J196:$O196)))</f>
        <v>0</v>
      </c>
      <c r="T119" s="360" t="s">
        <v>442</v>
      </c>
      <c r="U119" s="52">
        <f t="shared" si="21"/>
        <v>0</v>
      </c>
      <c r="V119" s="361">
        <f>'G-4 COST OF SERVICE'!J71-SUM('Functionalization SMALL'!G119:J119)</f>
        <v>0</v>
      </c>
      <c r="W119" s="361">
        <f>'G-4 COST OF SERVICE'!K71-SUM('Functionalization SMALL'!K119:L119)</f>
        <v>0</v>
      </c>
      <c r="X119" s="361">
        <f>'G-4 COST OF SERVICE'!L71-SUM('Functionalization SMALL'!M119:R119)</f>
        <v>0</v>
      </c>
    </row>
    <row r="120" spans="1:24">
      <c r="A120" s="385">
        <v>378</v>
      </c>
      <c r="B120" s="379" t="s">
        <v>198</v>
      </c>
      <c r="C120" s="653">
        <f t="shared" si="20"/>
        <v>30248.538277838205</v>
      </c>
      <c r="D120" s="653">
        <f>'G-4 COST OF SERVICE'!J72</f>
        <v>30248.538277838205</v>
      </c>
      <c r="E120" s="653">
        <f>'G-4 COST OF SERVICE'!K72</f>
        <v>0</v>
      </c>
      <c r="F120" s="653">
        <f>'G-4 COST OF SERVICE'!L72</f>
        <v>0</v>
      </c>
      <c r="G120" s="654">
        <f>IF(SUM('Function Allocators'!$D197:$G197)=0,0,($D120*'Function Allocators'!D197/SUM('Function Allocators'!$D197:$G197)))</f>
        <v>0</v>
      </c>
      <c r="H120" s="654">
        <f>IF(SUM('Function Allocators'!$D197:$G197)=0,0,($D120*'Function Allocators'!E197/SUM('Function Allocators'!$D197:$G197)))</f>
        <v>0</v>
      </c>
      <c r="I120" s="654">
        <f>IF(SUM('Function Allocators'!$D197:$G197)=0,0,($D120*'Function Allocators'!F197/SUM('Function Allocators'!$D197:$G197)))</f>
        <v>30248.538277838205</v>
      </c>
      <c r="J120" s="654">
        <f>IF(SUM('Function Allocators'!$D197:$G197)=0,0,($D120*'Function Allocators'!G197/SUM('Function Allocators'!$D197:$G197)))</f>
        <v>0</v>
      </c>
      <c r="K120" s="654">
        <f>IF(SUM('Function Allocators'!$H197:$I197)=0,0,($E120*'Function Allocators'!H197/SUM('Function Allocators'!$H197:$I197)))</f>
        <v>0</v>
      </c>
      <c r="L120" s="654">
        <f>IF(SUM('Function Allocators'!$H197:$I197)=0,0,($E120*'Function Allocators'!I197/SUM('Function Allocators'!$H197:$I197)))</f>
        <v>0</v>
      </c>
      <c r="M120" s="654">
        <f>IF(SUM('Function Allocators'!$J197:$O197)=0,0,($F120*'Function Allocators'!J197/SUM('Function Allocators'!$J197:$O197)))</f>
        <v>0</v>
      </c>
      <c r="N120" s="654">
        <f>IF(SUM('Function Allocators'!$J197:$O197)=0,0,($F120*'Function Allocators'!K197/SUM('Function Allocators'!$J197:$O197)))</f>
        <v>0</v>
      </c>
      <c r="O120" s="654">
        <f>IF(SUM('Function Allocators'!$J197:$O197)=0,0,($F120*'Function Allocators'!L197/SUM('Function Allocators'!$J197:$O197)))</f>
        <v>0</v>
      </c>
      <c r="P120" s="654">
        <f>IF(SUM('Function Allocators'!$J197:$O197)=0,0,($F120*'Function Allocators'!M197/SUM('Function Allocators'!$J197:$O197)))</f>
        <v>0</v>
      </c>
      <c r="Q120" s="654">
        <f>IF(SUM('Function Allocators'!$J197:$O197)=0,0,($F120*'Function Allocators'!N197/SUM('Function Allocators'!$J197:$O197)))</f>
        <v>0</v>
      </c>
      <c r="R120" s="654">
        <f>IF(SUM('Function Allocators'!$J197:$O197)=0,0,($F120*'Function Allocators'!O197/SUM('Function Allocators'!$J197:$O197)))</f>
        <v>0</v>
      </c>
      <c r="T120" s="360" t="s">
        <v>448</v>
      </c>
      <c r="U120" s="52">
        <f t="shared" si="21"/>
        <v>0</v>
      </c>
      <c r="V120" s="361">
        <f>'G-4 COST OF SERVICE'!J72-SUM('Functionalization SMALL'!G120:J120)</f>
        <v>0</v>
      </c>
      <c r="W120" s="361">
        <f>'G-4 COST OF SERVICE'!K72-SUM('Functionalization SMALL'!K120:L120)</f>
        <v>0</v>
      </c>
      <c r="X120" s="361">
        <f>'G-4 COST OF SERVICE'!L72-SUM('Functionalization SMALL'!M120:R120)</f>
        <v>0</v>
      </c>
    </row>
    <row r="121" spans="1:24">
      <c r="A121" s="385">
        <v>379</v>
      </c>
      <c r="B121" s="379" t="s">
        <v>199</v>
      </c>
      <c r="C121" s="653">
        <f t="shared" si="20"/>
        <v>22156.058897290939</v>
      </c>
      <c r="D121" s="653">
        <f>'G-4 COST OF SERVICE'!J73</f>
        <v>22156.058897290939</v>
      </c>
      <c r="E121" s="653">
        <f>'G-4 COST OF SERVICE'!K73</f>
        <v>0</v>
      </c>
      <c r="F121" s="653">
        <f>'G-4 COST OF SERVICE'!L73</f>
        <v>0</v>
      </c>
      <c r="G121" s="654">
        <f>IF(SUM('Function Allocators'!$D198:$G198)=0,0,($D121*'Function Allocators'!D198/SUM('Function Allocators'!$D198:$G198)))</f>
        <v>0</v>
      </c>
      <c r="H121" s="654">
        <f>IF(SUM('Function Allocators'!$D198:$G198)=0,0,($D121*'Function Allocators'!E198/SUM('Function Allocators'!$D198:$G198)))</f>
        <v>0</v>
      </c>
      <c r="I121" s="654">
        <f>IF(SUM('Function Allocators'!$D198:$G198)=0,0,($D121*'Function Allocators'!F198/SUM('Function Allocators'!$D198:$G198)))</f>
        <v>22156.058897290939</v>
      </c>
      <c r="J121" s="654">
        <f>IF(SUM('Function Allocators'!$D198:$G198)=0,0,($D121*'Function Allocators'!G198/SUM('Function Allocators'!$D198:$G198)))</f>
        <v>0</v>
      </c>
      <c r="K121" s="654">
        <f>IF(SUM('Function Allocators'!$H198:$I198)=0,0,($E121*'Function Allocators'!H198/SUM('Function Allocators'!$H198:$I198)))</f>
        <v>0</v>
      </c>
      <c r="L121" s="654">
        <f>IF(SUM('Function Allocators'!$H198:$I198)=0,0,($E121*'Function Allocators'!I198/SUM('Function Allocators'!$H198:$I198)))</f>
        <v>0</v>
      </c>
      <c r="M121" s="654">
        <f>IF(SUM('Function Allocators'!$J198:$O198)=0,0,($F121*'Function Allocators'!J198/SUM('Function Allocators'!$J198:$O198)))</f>
        <v>0</v>
      </c>
      <c r="N121" s="654">
        <f>IF(SUM('Function Allocators'!$J198:$O198)=0,0,($F121*'Function Allocators'!K198/SUM('Function Allocators'!$J198:$O198)))</f>
        <v>0</v>
      </c>
      <c r="O121" s="654">
        <f>IF(SUM('Function Allocators'!$J198:$O198)=0,0,($F121*'Function Allocators'!L198/SUM('Function Allocators'!$J198:$O198)))</f>
        <v>0</v>
      </c>
      <c r="P121" s="654">
        <f>IF(SUM('Function Allocators'!$J198:$O198)=0,0,($F121*'Function Allocators'!M198/SUM('Function Allocators'!$J198:$O198)))</f>
        <v>0</v>
      </c>
      <c r="Q121" s="654">
        <f>IF(SUM('Function Allocators'!$J198:$O198)=0,0,($F121*'Function Allocators'!N198/SUM('Function Allocators'!$J198:$O198)))</f>
        <v>0</v>
      </c>
      <c r="R121" s="654">
        <f>IF(SUM('Function Allocators'!$J198:$O198)=0,0,($F121*'Function Allocators'!O198/SUM('Function Allocators'!$J198:$O198)))</f>
        <v>0</v>
      </c>
      <c r="T121" s="360" t="s">
        <v>448</v>
      </c>
      <c r="U121" s="52">
        <f t="shared" si="21"/>
        <v>0</v>
      </c>
      <c r="V121" s="361">
        <f>'G-4 COST OF SERVICE'!J73-SUM('Functionalization SMALL'!G121:J121)</f>
        <v>0</v>
      </c>
      <c r="W121" s="361">
        <f>'G-4 COST OF SERVICE'!K73-SUM('Functionalization SMALL'!K121:L121)</f>
        <v>0</v>
      </c>
      <c r="X121" s="361">
        <f>'G-4 COST OF SERVICE'!L73-SUM('Functionalization SMALL'!M121:R121)</f>
        <v>0</v>
      </c>
    </row>
    <row r="122" spans="1:24">
      <c r="A122" s="385">
        <v>380</v>
      </c>
      <c r="B122" s="379" t="s">
        <v>86</v>
      </c>
      <c r="C122" s="653">
        <f t="shared" si="20"/>
        <v>319915.85732291103</v>
      </c>
      <c r="D122" s="653">
        <f>'G-4 COST OF SERVICE'!J74</f>
        <v>0</v>
      </c>
      <c r="E122" s="653">
        <f>'G-4 COST OF SERVICE'!K74</f>
        <v>0</v>
      </c>
      <c r="F122" s="653">
        <f>'G-4 COST OF SERVICE'!L74</f>
        <v>319915.85732291103</v>
      </c>
      <c r="G122" s="654">
        <f>IF(SUM('Function Allocators'!$D199:$G199)=0,0,($D122*'Function Allocators'!D199/SUM('Function Allocators'!$D199:$G199)))</f>
        <v>0</v>
      </c>
      <c r="H122" s="654">
        <f>IF(SUM('Function Allocators'!$D199:$G199)=0,0,($D122*'Function Allocators'!E199/SUM('Function Allocators'!$D199:$G199)))</f>
        <v>0</v>
      </c>
      <c r="I122" s="654">
        <f>IF(SUM('Function Allocators'!$D199:$G199)=0,0,($D122*'Function Allocators'!F199/SUM('Function Allocators'!$D199:$G199)))</f>
        <v>0</v>
      </c>
      <c r="J122" s="654">
        <f>IF(SUM('Function Allocators'!$D199:$G199)=0,0,($D122*'Function Allocators'!G199/SUM('Function Allocators'!$D199:$G199)))</f>
        <v>0</v>
      </c>
      <c r="K122" s="654">
        <f>IF(SUM('Function Allocators'!$H199:$I199)=0,0,($E122*'Function Allocators'!H199/SUM('Function Allocators'!$H199:$I199)))</f>
        <v>0</v>
      </c>
      <c r="L122" s="654">
        <f>IF(SUM('Function Allocators'!$H199:$I199)=0,0,($E122*'Function Allocators'!I199/SUM('Function Allocators'!$H199:$I199)))</f>
        <v>0</v>
      </c>
      <c r="M122" s="654">
        <f>IF(SUM('Function Allocators'!$J199:$O199)=0,0,($F122*'Function Allocators'!J199/SUM('Function Allocators'!$J199:$O199)))</f>
        <v>319915.85732291103</v>
      </c>
      <c r="N122" s="654">
        <f>IF(SUM('Function Allocators'!$J199:$O199)=0,0,($F122*'Function Allocators'!K199/SUM('Function Allocators'!$J199:$O199)))</f>
        <v>0</v>
      </c>
      <c r="O122" s="654">
        <f>IF(SUM('Function Allocators'!$J199:$O199)=0,0,($F122*'Function Allocators'!L199/SUM('Function Allocators'!$J199:$O199)))</f>
        <v>0</v>
      </c>
      <c r="P122" s="654">
        <f>IF(SUM('Function Allocators'!$J199:$O199)=0,0,($F122*'Function Allocators'!M199/SUM('Function Allocators'!$J199:$O199)))</f>
        <v>0</v>
      </c>
      <c r="Q122" s="654">
        <f>IF(SUM('Function Allocators'!$J199:$O199)=0,0,($F122*'Function Allocators'!N199/SUM('Function Allocators'!$J199:$O199)))</f>
        <v>0</v>
      </c>
      <c r="R122" s="654">
        <f>IF(SUM('Function Allocators'!$J199:$O199)=0,0,($F122*'Function Allocators'!O199/SUM('Function Allocators'!$J199:$O199)))</f>
        <v>0</v>
      </c>
      <c r="T122" s="360" t="s">
        <v>449</v>
      </c>
      <c r="U122" s="52">
        <f t="shared" si="21"/>
        <v>0</v>
      </c>
      <c r="V122" s="361">
        <f>'G-4 COST OF SERVICE'!J74-SUM('Functionalization SMALL'!G122:J122)</f>
        <v>0</v>
      </c>
      <c r="W122" s="361">
        <f>'G-4 COST OF SERVICE'!K74-SUM('Functionalization SMALL'!K122:L122)</f>
        <v>0</v>
      </c>
      <c r="X122" s="361">
        <f>'G-4 COST OF SERVICE'!L74-SUM('Functionalization SMALL'!M122:R122)</f>
        <v>0</v>
      </c>
    </row>
    <row r="123" spans="1:24">
      <c r="A123" s="385">
        <v>381</v>
      </c>
      <c r="B123" s="379" t="s">
        <v>88</v>
      </c>
      <c r="C123" s="653">
        <f t="shared" si="20"/>
        <v>301227.77062259644</v>
      </c>
      <c r="D123" s="653">
        <f>'G-4 COST OF SERVICE'!J75</f>
        <v>0</v>
      </c>
      <c r="E123" s="653">
        <f>'G-4 COST OF SERVICE'!K75</f>
        <v>0</v>
      </c>
      <c r="F123" s="653">
        <f>'G-4 COST OF SERVICE'!L75</f>
        <v>301227.77062259644</v>
      </c>
      <c r="G123" s="654">
        <f>IF(SUM('Function Allocators'!$D200:$G200)=0,0,($D123*'Function Allocators'!D200/SUM('Function Allocators'!$D200:$G200)))</f>
        <v>0</v>
      </c>
      <c r="H123" s="654">
        <f>IF(SUM('Function Allocators'!$D200:$G200)=0,0,($D123*'Function Allocators'!E200/SUM('Function Allocators'!$D200:$G200)))</f>
        <v>0</v>
      </c>
      <c r="I123" s="654">
        <f>IF(SUM('Function Allocators'!$D200:$G200)=0,0,($D123*'Function Allocators'!F200/SUM('Function Allocators'!$D200:$G200)))</f>
        <v>0</v>
      </c>
      <c r="J123" s="654">
        <f>IF(SUM('Function Allocators'!$D200:$G200)=0,0,($D123*'Function Allocators'!G200/SUM('Function Allocators'!$D200:$G200)))</f>
        <v>0</v>
      </c>
      <c r="K123" s="654">
        <f>IF(SUM('Function Allocators'!$H200:$I200)=0,0,($E123*'Function Allocators'!H200/SUM('Function Allocators'!$H200:$I200)))</f>
        <v>0</v>
      </c>
      <c r="L123" s="654">
        <f>IF(SUM('Function Allocators'!$H200:$I200)=0,0,($E123*'Function Allocators'!I200/SUM('Function Allocators'!$H200:$I200)))</f>
        <v>0</v>
      </c>
      <c r="M123" s="654">
        <f>IF(SUM('Function Allocators'!$J200:$O200)=0,0,($F123*'Function Allocators'!J200/SUM('Function Allocators'!$J200:$O200)))</f>
        <v>0</v>
      </c>
      <c r="N123" s="654">
        <f>IF(SUM('Function Allocators'!$J200:$O200)=0,0,($F123*'Function Allocators'!K200/SUM('Function Allocators'!$J200:$O200)))</f>
        <v>301227.77062259644</v>
      </c>
      <c r="O123" s="654">
        <f>IF(SUM('Function Allocators'!$J200:$O200)=0,0,($F123*'Function Allocators'!L200/SUM('Function Allocators'!$J200:$O200)))</f>
        <v>0</v>
      </c>
      <c r="P123" s="654">
        <f>IF(SUM('Function Allocators'!$J200:$O200)=0,0,($F123*'Function Allocators'!M200/SUM('Function Allocators'!$J200:$O200)))</f>
        <v>0</v>
      </c>
      <c r="Q123" s="654">
        <f>IF(SUM('Function Allocators'!$J200:$O200)=0,0,($F123*'Function Allocators'!N200/SUM('Function Allocators'!$J200:$O200)))</f>
        <v>0</v>
      </c>
      <c r="R123" s="654">
        <f>IF(SUM('Function Allocators'!$J200:$O200)=0,0,($F123*'Function Allocators'!O200/SUM('Function Allocators'!$J200:$O200)))</f>
        <v>0</v>
      </c>
      <c r="T123" s="360" t="s">
        <v>450</v>
      </c>
      <c r="U123" s="52">
        <f t="shared" si="21"/>
        <v>0</v>
      </c>
      <c r="V123" s="361">
        <f>'G-4 COST OF SERVICE'!J75-SUM('Functionalization SMALL'!G123:J123)</f>
        <v>0</v>
      </c>
      <c r="W123" s="361">
        <f>'G-4 COST OF SERVICE'!K75-SUM('Functionalization SMALL'!K123:L123)</f>
        <v>0</v>
      </c>
      <c r="X123" s="361">
        <f>'G-4 COST OF SERVICE'!L75-SUM('Functionalization SMALL'!M123:R123)</f>
        <v>0</v>
      </c>
    </row>
    <row r="124" spans="1:24">
      <c r="A124" s="385">
        <v>382</v>
      </c>
      <c r="B124" s="379" t="s">
        <v>90</v>
      </c>
      <c r="C124" s="653">
        <f t="shared" si="20"/>
        <v>42698.956486296418</v>
      </c>
      <c r="D124" s="653">
        <f>'G-4 COST OF SERVICE'!J76</f>
        <v>0</v>
      </c>
      <c r="E124" s="653">
        <f>'G-4 COST OF SERVICE'!K76</f>
        <v>0</v>
      </c>
      <c r="F124" s="653">
        <f>'G-4 COST OF SERVICE'!L76</f>
        <v>42698.956486296418</v>
      </c>
      <c r="G124" s="654">
        <f>IF(SUM('Function Allocators'!$D201:$G201)=0,0,($D124*'Function Allocators'!D201/SUM('Function Allocators'!$D201:$G201)))</f>
        <v>0</v>
      </c>
      <c r="H124" s="654">
        <f>IF(SUM('Function Allocators'!$D201:$G201)=0,0,($D124*'Function Allocators'!E201/SUM('Function Allocators'!$D201:$G201)))</f>
        <v>0</v>
      </c>
      <c r="I124" s="654">
        <f>IF(SUM('Function Allocators'!$D201:$G201)=0,0,($D124*'Function Allocators'!F201/SUM('Function Allocators'!$D201:$G201)))</f>
        <v>0</v>
      </c>
      <c r="J124" s="654">
        <f>IF(SUM('Function Allocators'!$D201:$G201)=0,0,($D124*'Function Allocators'!G201/SUM('Function Allocators'!$D201:$G201)))</f>
        <v>0</v>
      </c>
      <c r="K124" s="654">
        <f>IF(SUM('Function Allocators'!$H201:$I201)=0,0,($E124*'Function Allocators'!H201/SUM('Function Allocators'!$H201:$I201)))</f>
        <v>0</v>
      </c>
      <c r="L124" s="654">
        <f>IF(SUM('Function Allocators'!$H201:$I201)=0,0,($E124*'Function Allocators'!I201/SUM('Function Allocators'!$H201:$I201)))</f>
        <v>0</v>
      </c>
      <c r="M124" s="654">
        <f>IF(SUM('Function Allocators'!$J201:$O201)=0,0,($F124*'Function Allocators'!J201/SUM('Function Allocators'!$J201:$O201)))</f>
        <v>0</v>
      </c>
      <c r="N124" s="654">
        <f>IF(SUM('Function Allocators'!$J201:$O201)=0,0,($F124*'Function Allocators'!K201/SUM('Function Allocators'!$J201:$O201)))</f>
        <v>42698.956486296418</v>
      </c>
      <c r="O124" s="654">
        <f>IF(SUM('Function Allocators'!$J201:$O201)=0,0,($F124*'Function Allocators'!L201/SUM('Function Allocators'!$J201:$O201)))</f>
        <v>0</v>
      </c>
      <c r="P124" s="654">
        <f>IF(SUM('Function Allocators'!$J201:$O201)=0,0,($F124*'Function Allocators'!M201/SUM('Function Allocators'!$J201:$O201)))</f>
        <v>0</v>
      </c>
      <c r="Q124" s="654">
        <f>IF(SUM('Function Allocators'!$J201:$O201)=0,0,($F124*'Function Allocators'!N201/SUM('Function Allocators'!$J201:$O201)))</f>
        <v>0</v>
      </c>
      <c r="R124" s="654">
        <f>IF(SUM('Function Allocators'!$J201:$O201)=0,0,($F124*'Function Allocators'!O201/SUM('Function Allocators'!$J201:$O201)))</f>
        <v>0</v>
      </c>
      <c r="T124" s="360" t="s">
        <v>450</v>
      </c>
      <c r="U124" s="52">
        <f t="shared" si="21"/>
        <v>0</v>
      </c>
      <c r="V124" s="361">
        <f>'G-4 COST OF SERVICE'!J76-SUM('Functionalization SMALL'!G124:J124)</f>
        <v>0</v>
      </c>
      <c r="W124" s="361">
        <f>'G-4 COST OF SERVICE'!K76-SUM('Functionalization SMALL'!K124:L124)</f>
        <v>0</v>
      </c>
      <c r="X124" s="361">
        <f>'G-4 COST OF SERVICE'!L76-SUM('Functionalization SMALL'!M124:R124)</f>
        <v>0</v>
      </c>
    </row>
    <row r="125" spans="1:24">
      <c r="A125" s="385">
        <v>383</v>
      </c>
      <c r="B125" s="379" t="s">
        <v>92</v>
      </c>
      <c r="C125" s="653">
        <f t="shared" si="20"/>
        <v>15580.360836950917</v>
      </c>
      <c r="D125" s="653">
        <f>'G-4 COST OF SERVICE'!J77</f>
        <v>0</v>
      </c>
      <c r="E125" s="653">
        <f>'G-4 COST OF SERVICE'!K77</f>
        <v>0</v>
      </c>
      <c r="F125" s="653">
        <f>'G-4 COST OF SERVICE'!L77</f>
        <v>15580.360836950917</v>
      </c>
      <c r="G125" s="654">
        <f>IF(SUM('Function Allocators'!$D202:$G202)=0,0,($D125*'Function Allocators'!D202/SUM('Function Allocators'!$D202:$G202)))</f>
        <v>0</v>
      </c>
      <c r="H125" s="654">
        <f>IF(SUM('Function Allocators'!$D202:$G202)=0,0,($D125*'Function Allocators'!E202/SUM('Function Allocators'!$D202:$G202)))</f>
        <v>0</v>
      </c>
      <c r="I125" s="654">
        <f>IF(SUM('Function Allocators'!$D202:$G202)=0,0,($D125*'Function Allocators'!F202/SUM('Function Allocators'!$D202:$G202)))</f>
        <v>0</v>
      </c>
      <c r="J125" s="654">
        <f>IF(SUM('Function Allocators'!$D202:$G202)=0,0,($D125*'Function Allocators'!G202/SUM('Function Allocators'!$D202:$G202)))</f>
        <v>0</v>
      </c>
      <c r="K125" s="654">
        <f>IF(SUM('Function Allocators'!$H202:$I202)=0,0,($E125*'Function Allocators'!H202/SUM('Function Allocators'!$H202:$I202)))</f>
        <v>0</v>
      </c>
      <c r="L125" s="654">
        <f>IF(SUM('Function Allocators'!$H202:$I202)=0,0,($E125*'Function Allocators'!I202/SUM('Function Allocators'!$H202:$I202)))</f>
        <v>0</v>
      </c>
      <c r="M125" s="654">
        <f>IF(SUM('Function Allocators'!$J202:$O202)=0,0,($F125*'Function Allocators'!J202/SUM('Function Allocators'!$J202:$O202)))</f>
        <v>0</v>
      </c>
      <c r="N125" s="654">
        <f>IF(SUM('Function Allocators'!$J202:$O202)=0,0,($F125*'Function Allocators'!K202/SUM('Function Allocators'!$J202:$O202)))</f>
        <v>0</v>
      </c>
      <c r="O125" s="654">
        <f>IF(SUM('Function Allocators'!$J202:$O202)=0,0,($F125*'Function Allocators'!L202/SUM('Function Allocators'!$J202:$O202)))</f>
        <v>15580.360836950917</v>
      </c>
      <c r="P125" s="654">
        <f>IF(SUM('Function Allocators'!$J202:$O202)=0,0,($F125*'Function Allocators'!M202/SUM('Function Allocators'!$J202:$O202)))</f>
        <v>0</v>
      </c>
      <c r="Q125" s="654">
        <f>IF(SUM('Function Allocators'!$J202:$O202)=0,0,($F125*'Function Allocators'!N202/SUM('Function Allocators'!$J202:$O202)))</f>
        <v>0</v>
      </c>
      <c r="R125" s="654">
        <f>IF(SUM('Function Allocators'!$J202:$O202)=0,0,($F125*'Function Allocators'!O202/SUM('Function Allocators'!$J202:$O202)))</f>
        <v>0</v>
      </c>
      <c r="T125" s="360" t="s">
        <v>451</v>
      </c>
      <c r="U125" s="52">
        <f t="shared" si="21"/>
        <v>0</v>
      </c>
      <c r="V125" s="361">
        <f>'G-4 COST OF SERVICE'!J77-SUM('Functionalization SMALL'!G125:J125)</f>
        <v>0</v>
      </c>
      <c r="W125" s="361">
        <f>'G-4 COST OF SERVICE'!K77-SUM('Functionalization SMALL'!K125:L125)</f>
        <v>0</v>
      </c>
      <c r="X125" s="361">
        <f>'G-4 COST OF SERVICE'!L77-SUM('Functionalization SMALL'!M125:R125)</f>
        <v>0</v>
      </c>
    </row>
    <row r="126" spans="1:24">
      <c r="A126" s="385">
        <v>384</v>
      </c>
      <c r="B126" s="379" t="s">
        <v>94</v>
      </c>
      <c r="C126" s="653">
        <f t="shared" si="20"/>
        <v>8880.3708342965165</v>
      </c>
      <c r="D126" s="653">
        <f>'G-4 COST OF SERVICE'!J78</f>
        <v>0</v>
      </c>
      <c r="E126" s="653">
        <f>'G-4 COST OF SERVICE'!K78</f>
        <v>0</v>
      </c>
      <c r="F126" s="653">
        <f>'G-4 COST OF SERVICE'!L78</f>
        <v>8880.3708342965165</v>
      </c>
      <c r="G126" s="654">
        <f>IF(SUM('Function Allocators'!$D203:$G203)=0,0,($D126*'Function Allocators'!D203/SUM('Function Allocators'!$D203:$G203)))</f>
        <v>0</v>
      </c>
      <c r="H126" s="654">
        <f>IF(SUM('Function Allocators'!$D203:$G203)=0,0,($D126*'Function Allocators'!E203/SUM('Function Allocators'!$D203:$G203)))</f>
        <v>0</v>
      </c>
      <c r="I126" s="654">
        <f>IF(SUM('Function Allocators'!$D203:$G203)=0,0,($D126*'Function Allocators'!F203/SUM('Function Allocators'!$D203:$G203)))</f>
        <v>0</v>
      </c>
      <c r="J126" s="654">
        <f>IF(SUM('Function Allocators'!$D203:$G203)=0,0,($D126*'Function Allocators'!G203/SUM('Function Allocators'!$D203:$G203)))</f>
        <v>0</v>
      </c>
      <c r="K126" s="654">
        <f>IF(SUM('Function Allocators'!$H203:$I203)=0,0,($E126*'Function Allocators'!H203/SUM('Function Allocators'!$H203:$I203)))</f>
        <v>0</v>
      </c>
      <c r="L126" s="654">
        <f>IF(SUM('Function Allocators'!$H203:$I203)=0,0,($E126*'Function Allocators'!I203/SUM('Function Allocators'!$H203:$I203)))</f>
        <v>0</v>
      </c>
      <c r="M126" s="654">
        <f>IF(SUM('Function Allocators'!$J203:$O203)=0,0,($F126*'Function Allocators'!J203/SUM('Function Allocators'!$J203:$O203)))</f>
        <v>0</v>
      </c>
      <c r="N126" s="654">
        <f>IF(SUM('Function Allocators'!$J203:$O203)=0,0,($F126*'Function Allocators'!K203/SUM('Function Allocators'!$J203:$O203)))</f>
        <v>0</v>
      </c>
      <c r="O126" s="654">
        <f>IF(SUM('Function Allocators'!$J203:$O203)=0,0,($F126*'Function Allocators'!L203/SUM('Function Allocators'!$J203:$O203)))</f>
        <v>8880.3708342965165</v>
      </c>
      <c r="P126" s="654">
        <f>IF(SUM('Function Allocators'!$J203:$O203)=0,0,($F126*'Function Allocators'!M203/SUM('Function Allocators'!$J203:$O203)))</f>
        <v>0</v>
      </c>
      <c r="Q126" s="654">
        <f>IF(SUM('Function Allocators'!$J203:$O203)=0,0,($F126*'Function Allocators'!N203/SUM('Function Allocators'!$J203:$O203)))</f>
        <v>0</v>
      </c>
      <c r="R126" s="654">
        <f>IF(SUM('Function Allocators'!$J203:$O203)=0,0,($F126*'Function Allocators'!O203/SUM('Function Allocators'!$J203:$O203)))</f>
        <v>0</v>
      </c>
      <c r="T126" s="360" t="s">
        <v>451</v>
      </c>
      <c r="U126" s="52">
        <f t="shared" si="21"/>
        <v>0</v>
      </c>
      <c r="V126" s="361">
        <f>'G-4 COST OF SERVICE'!J78-SUM('Functionalization SMALL'!G126:J126)</f>
        <v>0</v>
      </c>
      <c r="W126" s="361">
        <f>'G-4 COST OF SERVICE'!K78-SUM('Functionalization SMALL'!K126:L126)</f>
        <v>0</v>
      </c>
      <c r="X126" s="361">
        <f>'G-4 COST OF SERVICE'!L78-SUM('Functionalization SMALL'!M126:R126)</f>
        <v>0</v>
      </c>
    </row>
    <row r="127" spans="1:24">
      <c r="A127" s="385">
        <v>385</v>
      </c>
      <c r="B127" s="379" t="s">
        <v>200</v>
      </c>
      <c r="C127" s="653">
        <f t="shared" si="20"/>
        <v>0</v>
      </c>
      <c r="D127" s="653">
        <f>'G-4 COST OF SERVICE'!J79</f>
        <v>0</v>
      </c>
      <c r="E127" s="653">
        <f>'G-4 COST OF SERVICE'!K79</f>
        <v>0</v>
      </c>
      <c r="F127" s="653">
        <f>'G-4 COST OF SERVICE'!L79</f>
        <v>0</v>
      </c>
      <c r="G127" s="654">
        <f>IF(SUM('Function Allocators'!$D204:$G204)=0,0,($D127*'Function Allocators'!D204/SUM('Function Allocators'!$D204:$G204)))</f>
        <v>0</v>
      </c>
      <c r="H127" s="654">
        <f>IF(SUM('Function Allocators'!$D204:$G204)=0,0,($D127*'Function Allocators'!E204/SUM('Function Allocators'!$D204:$G204)))</f>
        <v>0</v>
      </c>
      <c r="I127" s="654">
        <f>IF(SUM('Function Allocators'!$D204:$G204)=0,0,($D127*'Function Allocators'!F204/SUM('Function Allocators'!$D204:$G204)))</f>
        <v>0</v>
      </c>
      <c r="J127" s="654">
        <f>IF(SUM('Function Allocators'!$D204:$G204)=0,0,($D127*'Function Allocators'!G204/SUM('Function Allocators'!$D204:$G204)))</f>
        <v>0</v>
      </c>
      <c r="K127" s="654">
        <f>IF(SUM('Function Allocators'!$H204:$I204)=0,0,($E127*'Function Allocators'!H204/SUM('Function Allocators'!$H204:$I204)))</f>
        <v>0</v>
      </c>
      <c r="L127" s="654">
        <f>IF(SUM('Function Allocators'!$H204:$I204)=0,0,($E127*'Function Allocators'!I204/SUM('Function Allocators'!$H204:$I204)))</f>
        <v>0</v>
      </c>
      <c r="M127" s="654">
        <f>IF(SUM('Function Allocators'!$J204:$O204)=0,0,($F127*'Function Allocators'!J204/SUM('Function Allocators'!$J204:$O204)))</f>
        <v>0</v>
      </c>
      <c r="N127" s="654">
        <f>IF(SUM('Function Allocators'!$J204:$O204)=0,0,($F127*'Function Allocators'!K204/SUM('Function Allocators'!$J204:$O204)))</f>
        <v>0</v>
      </c>
      <c r="O127" s="654">
        <f>IF(SUM('Function Allocators'!$J204:$O204)=0,0,($F127*'Function Allocators'!L204/SUM('Function Allocators'!$J204:$O204)))</f>
        <v>0</v>
      </c>
      <c r="P127" s="654">
        <f>IF(SUM('Function Allocators'!$J204:$O204)=0,0,($F127*'Function Allocators'!M204/SUM('Function Allocators'!$J204:$O204)))</f>
        <v>0</v>
      </c>
      <c r="Q127" s="654">
        <f>IF(SUM('Function Allocators'!$J204:$O204)=0,0,($F127*'Function Allocators'!N204/SUM('Function Allocators'!$J204:$O204)))</f>
        <v>0</v>
      </c>
      <c r="R127" s="654">
        <f>IF(SUM('Function Allocators'!$J204:$O204)=0,0,($F127*'Function Allocators'!O204/SUM('Function Allocators'!$J204:$O204)))</f>
        <v>0</v>
      </c>
      <c r="T127" s="360" t="s">
        <v>451</v>
      </c>
      <c r="U127" s="52">
        <f t="shared" si="21"/>
        <v>0</v>
      </c>
      <c r="V127" s="361">
        <f>'G-4 COST OF SERVICE'!J79-SUM('Functionalization SMALL'!G127:J127)</f>
        <v>0</v>
      </c>
      <c r="W127" s="361">
        <f>'G-4 COST OF SERVICE'!K79-SUM('Functionalization SMALL'!K127:L127)</f>
        <v>0</v>
      </c>
      <c r="X127" s="361">
        <f>'G-4 COST OF SERVICE'!L79-SUM('Functionalization SMALL'!M127:R127)</f>
        <v>0</v>
      </c>
    </row>
    <row r="128" spans="1:24">
      <c r="A128" s="385">
        <v>387</v>
      </c>
      <c r="B128" s="379" t="s">
        <v>98</v>
      </c>
      <c r="C128" s="653">
        <f t="shared" si="20"/>
        <v>9309.0636249540494</v>
      </c>
      <c r="D128" s="653">
        <f>'G-4 COST OF SERVICE'!J80</f>
        <v>9309.0636249540494</v>
      </c>
      <c r="E128" s="653">
        <f>'G-4 COST OF SERVICE'!K80</f>
        <v>0</v>
      </c>
      <c r="F128" s="653">
        <f>'G-4 COST OF SERVICE'!L80</f>
        <v>0</v>
      </c>
      <c r="G128" s="654">
        <f>IF(SUM('Function Allocators'!$D205:$G205)=0,0,($D128*'Function Allocators'!D205/SUM('Function Allocators'!$D205:$G205)))</f>
        <v>0</v>
      </c>
      <c r="H128" s="654">
        <f>IF(SUM('Function Allocators'!$D205:$G205)=0,0,($D128*'Function Allocators'!E205/SUM('Function Allocators'!$D205:$G205)))</f>
        <v>0</v>
      </c>
      <c r="I128" s="654">
        <f>IF(SUM('Function Allocators'!$D205:$G205)=0,0,($D128*'Function Allocators'!F205/SUM('Function Allocators'!$D205:$G205)))</f>
        <v>0</v>
      </c>
      <c r="J128" s="654">
        <f>IF(SUM('Function Allocators'!$D205:$G205)=0,0,($D128*'Function Allocators'!G205/SUM('Function Allocators'!$D205:$G205)))</f>
        <v>9309.0636249540494</v>
      </c>
      <c r="K128" s="654">
        <f>IF(SUM('Function Allocators'!$H205:$I205)=0,0,($E128*'Function Allocators'!H205/SUM('Function Allocators'!$H205:$I205)))</f>
        <v>0</v>
      </c>
      <c r="L128" s="654">
        <f>IF(SUM('Function Allocators'!$H205:$I205)=0,0,($E128*'Function Allocators'!I205/SUM('Function Allocators'!$H205:$I205)))</f>
        <v>0</v>
      </c>
      <c r="M128" s="654">
        <f>IF(SUM('Function Allocators'!$J205:$O205)=0,0,($F128*'Function Allocators'!J205/SUM('Function Allocators'!$J205:$O205)))</f>
        <v>0</v>
      </c>
      <c r="N128" s="654">
        <f>IF(SUM('Function Allocators'!$J205:$O205)=0,0,($F128*'Function Allocators'!K205/SUM('Function Allocators'!$J205:$O205)))</f>
        <v>0</v>
      </c>
      <c r="O128" s="654">
        <f>IF(SUM('Function Allocators'!$J205:$O205)=0,0,($F128*'Function Allocators'!L205/SUM('Function Allocators'!$J205:$O205)))</f>
        <v>0</v>
      </c>
      <c r="P128" s="654">
        <f>IF(SUM('Function Allocators'!$J205:$O205)=0,0,($F128*'Function Allocators'!M205/SUM('Function Allocators'!$J205:$O205)))</f>
        <v>0</v>
      </c>
      <c r="Q128" s="654">
        <f>IF(SUM('Function Allocators'!$J205:$O205)=0,0,($F128*'Function Allocators'!N205/SUM('Function Allocators'!$J205:$O205)))</f>
        <v>0</v>
      </c>
      <c r="R128" s="654">
        <f>IF(SUM('Function Allocators'!$J205:$O205)=0,0,($F128*'Function Allocators'!O205/SUM('Function Allocators'!$J205:$O205)))</f>
        <v>0</v>
      </c>
      <c r="T128" s="360" t="s">
        <v>428</v>
      </c>
      <c r="U128" s="52">
        <f t="shared" si="21"/>
        <v>0</v>
      </c>
      <c r="V128" s="361">
        <f>'G-4 COST OF SERVICE'!J80-SUM('Functionalization SMALL'!G128:J128)</f>
        <v>0</v>
      </c>
      <c r="W128" s="361">
        <f>'G-4 COST OF SERVICE'!K80-SUM('Functionalization SMALL'!K128:L128)</f>
        <v>0</v>
      </c>
      <c r="X128" s="361">
        <f>'G-4 COST OF SERVICE'!L80-SUM('Functionalization SMALL'!M128:R128)</f>
        <v>0</v>
      </c>
    </row>
    <row r="129" spans="1:24">
      <c r="A129" s="385"/>
      <c r="B129" s="377" t="s">
        <v>201</v>
      </c>
      <c r="C129" s="655">
        <f t="shared" ref="C129:R129" si="22">SUM(C117:C128)</f>
        <v>1538447.3663943706</v>
      </c>
      <c r="D129" s="655">
        <f t="shared" si="22"/>
        <v>645839.24261381326</v>
      </c>
      <c r="E129" s="655">
        <f t="shared" si="22"/>
        <v>0</v>
      </c>
      <c r="F129" s="655">
        <f t="shared" si="22"/>
        <v>892608.12378055754</v>
      </c>
      <c r="G129" s="656">
        <f t="shared" si="22"/>
        <v>0</v>
      </c>
      <c r="H129" s="655">
        <f t="shared" si="22"/>
        <v>581606.24179557955</v>
      </c>
      <c r="I129" s="655">
        <f t="shared" si="22"/>
        <v>52404.597175129144</v>
      </c>
      <c r="J129" s="655">
        <f t="shared" si="22"/>
        <v>11828.403643104512</v>
      </c>
      <c r="K129" s="655">
        <f t="shared" si="22"/>
        <v>0</v>
      </c>
      <c r="L129" s="655">
        <f t="shared" si="22"/>
        <v>0</v>
      </c>
      <c r="M129" s="655">
        <f t="shared" si="22"/>
        <v>524220.66500041715</v>
      </c>
      <c r="N129" s="655">
        <f t="shared" si="22"/>
        <v>343926.72710889287</v>
      </c>
      <c r="O129" s="655">
        <f t="shared" si="22"/>
        <v>24460.731671247435</v>
      </c>
      <c r="P129" s="655">
        <f t="shared" si="22"/>
        <v>0</v>
      </c>
      <c r="Q129" s="655">
        <f t="shared" si="22"/>
        <v>0</v>
      </c>
      <c r="R129" s="655">
        <f t="shared" si="22"/>
        <v>0</v>
      </c>
      <c r="U129" s="52">
        <f t="shared" si="21"/>
        <v>0</v>
      </c>
      <c r="V129" s="361">
        <f>'G-4 COST OF SERVICE'!J81-SUM('Functionalization SMALL'!G129:J129)</f>
        <v>0</v>
      </c>
      <c r="W129" s="361">
        <f>'G-4 COST OF SERVICE'!K81-SUM('Functionalization SMALL'!K129:L129)</f>
        <v>0</v>
      </c>
      <c r="X129" s="361">
        <f>'G-4 COST OF SERVICE'!L81-SUM('Functionalization SMALL'!M129:R129)</f>
        <v>0</v>
      </c>
    </row>
    <row r="130" spans="1:24" ht="11.25">
      <c r="A130" s="385"/>
      <c r="B130" s="377"/>
      <c r="C130" s="653"/>
      <c r="D130" s="653"/>
      <c r="E130" s="653"/>
      <c r="F130" s="653"/>
      <c r="G130" s="654"/>
      <c r="H130" s="653"/>
      <c r="I130" s="653"/>
      <c r="J130" s="653"/>
      <c r="K130" s="653"/>
      <c r="L130" s="653"/>
      <c r="M130" s="653"/>
      <c r="N130" s="653"/>
      <c r="O130" s="653"/>
      <c r="P130" s="653"/>
      <c r="Q130" s="653"/>
      <c r="R130" s="653"/>
      <c r="U130" s="360"/>
      <c r="V130" s="361"/>
      <c r="W130" s="361"/>
      <c r="X130" s="361"/>
    </row>
    <row r="131" spans="1:24" ht="11.25">
      <c r="A131" s="385"/>
      <c r="B131" s="377"/>
      <c r="C131" s="653"/>
      <c r="D131" s="653"/>
      <c r="E131" s="653"/>
      <c r="F131" s="653"/>
      <c r="G131" s="654"/>
      <c r="H131" s="653"/>
      <c r="I131" s="653"/>
      <c r="J131" s="653"/>
      <c r="K131" s="653"/>
      <c r="L131" s="653"/>
      <c r="M131" s="653"/>
      <c r="N131" s="653"/>
      <c r="O131" s="653"/>
      <c r="P131" s="653"/>
      <c r="Q131" s="653"/>
      <c r="R131" s="653"/>
      <c r="U131" s="360"/>
      <c r="V131" s="361"/>
      <c r="W131" s="361"/>
      <c r="X131" s="361"/>
    </row>
    <row r="132" spans="1:24">
      <c r="A132" s="385" t="s">
        <v>101</v>
      </c>
      <c r="B132" s="377" t="s">
        <v>289</v>
      </c>
      <c r="C132" s="654">
        <f>SUM(G132:R132)</f>
        <v>270587.4553637568</v>
      </c>
      <c r="D132" s="654">
        <f>'G-4 COST OF SERVICE'!J83</f>
        <v>135992.07261687648</v>
      </c>
      <c r="E132" s="654">
        <f>'G-4 COST OF SERVICE'!K83</f>
        <v>0</v>
      </c>
      <c r="F132" s="654">
        <f>'G-4 COST OF SERVICE'!L83</f>
        <v>134595.38274688032</v>
      </c>
      <c r="G132" s="654">
        <f>IF(SUM('Function Allocators'!$D210:$G210)=0,0,($D132*'Function Allocators'!D210/SUM('Function Allocators'!$D210:$G210)))</f>
        <v>0</v>
      </c>
      <c r="H132" s="654">
        <f>IF(SUM('Function Allocators'!$D210:$G210)=0,0,($D132*'Function Allocators'!E210/SUM('Function Allocators'!$D210:$G210)))</f>
        <v>124704.05725634129</v>
      </c>
      <c r="I132" s="654">
        <f>IF(SUM('Function Allocators'!$D210:$G210)=0,0,($D132*'Function Allocators'!F210/SUM('Function Allocators'!$D210:$G210)))</f>
        <v>8840.8360650071354</v>
      </c>
      <c r="J132" s="654">
        <f>IF(SUM('Function Allocators'!$D210:$G210)=0,0,($D132*'Function Allocators'!G210/SUM('Function Allocators'!$D210:$G210)))</f>
        <v>2447.1792955280494</v>
      </c>
      <c r="K132" s="654">
        <f>IF(SUM('Function Allocators'!$H210:$I210)=0,0,($E132*'Function Allocators'!H210/SUM('Function Allocators'!$H$210:$I$210)))</f>
        <v>0</v>
      </c>
      <c r="L132" s="654">
        <f>IF(SUM('Function Allocators'!$H210:$I210)=0,0,($E132*'Function Allocators'!I210/SUM('Function Allocators'!$H$210:$I$210)))</f>
        <v>0</v>
      </c>
      <c r="M132" s="654">
        <f>IF(SUM('Function Allocators'!$J210:$O210)=0,0,($F132*'Function Allocators'!J210/SUM('Function Allocators'!$J210:$O210)))</f>
        <v>109107.52968704505</v>
      </c>
      <c r="N132" s="654">
        <f>IF(SUM('Function Allocators'!$J210:$O210)=0,0,($F132*'Function Allocators'!K210/SUM('Function Allocators'!$J210:$O210)))</f>
        <v>21007.54866746012</v>
      </c>
      <c r="O132" s="654">
        <f>IF(SUM('Function Allocators'!$J210:$O210)=0,0,($F132*'Function Allocators'!L210/SUM('Function Allocators'!$J210:$O210)))</f>
        <v>4480.3043923751538</v>
      </c>
      <c r="P132" s="654">
        <f>IF(SUM('Function Allocators'!$J210:$O210)=0,0,($F132*'Function Allocators'!M210/SUM('Function Allocators'!$J210:$O210)))</f>
        <v>0</v>
      </c>
      <c r="Q132" s="654">
        <f>IF(SUM('Function Allocators'!$J210:$O210)=0,0,($F132*'Function Allocators'!N210/SUM('Function Allocators'!$J210:$O210)))</f>
        <v>0</v>
      </c>
      <c r="R132" s="654">
        <f>IF(SUM('Function Allocators'!$J210:$O210)=0,0,($F132*'Function Allocators'!O210/SUM('Function Allocators'!$J210:$O210)))</f>
        <v>0</v>
      </c>
      <c r="U132" s="52">
        <f>C132-SUM(D132:F132)</f>
        <v>0</v>
      </c>
      <c r="V132" s="361">
        <f>'G-4 COST OF SERVICE'!J83-SUM('Functionalization SMALL'!G132:J132)</f>
        <v>0</v>
      </c>
      <c r="W132" s="361">
        <f>'G-4 COST OF SERVICE'!K83-SUM('Functionalization SMALL'!K132:L132)</f>
        <v>0</v>
      </c>
      <c r="X132" s="361">
        <f>'G-4 COST OF SERVICE'!L83-SUM('Functionalization SMALL'!M132:R132)</f>
        <v>0</v>
      </c>
    </row>
    <row r="133" spans="1:24" ht="11.25">
      <c r="A133" s="385"/>
      <c r="B133" s="377"/>
      <c r="C133" s="653"/>
      <c r="D133" s="653"/>
      <c r="E133" s="653"/>
      <c r="F133" s="653"/>
      <c r="G133" s="654"/>
      <c r="H133" s="653"/>
      <c r="I133" s="653"/>
      <c r="J133" s="653"/>
      <c r="K133" s="653"/>
      <c r="L133" s="653"/>
      <c r="M133" s="653"/>
      <c r="N133" s="653"/>
      <c r="O133" s="653"/>
      <c r="P133" s="653"/>
      <c r="Q133" s="653"/>
      <c r="R133" s="653"/>
      <c r="U133" s="360"/>
      <c r="V133" s="361"/>
      <c r="W133" s="361"/>
      <c r="X133" s="361"/>
    </row>
    <row r="134" spans="1:24">
      <c r="A134" s="390">
        <v>431</v>
      </c>
      <c r="B134" s="379" t="s">
        <v>452</v>
      </c>
      <c r="C134" s="653">
        <f>SUM(G134:R134)</f>
        <v>55320.256375514364</v>
      </c>
      <c r="D134" s="653">
        <f>'G-4 COST OF SERVICE'!J92</f>
        <v>0</v>
      </c>
      <c r="E134" s="653">
        <f>'G-4 COST OF SERVICE'!K92</f>
        <v>0</v>
      </c>
      <c r="F134" s="653">
        <f>'G-4 COST OF SERVICE'!L92</f>
        <v>55320.256375514364</v>
      </c>
      <c r="G134" s="654">
        <f>IF(SUM('Function Allocators'!$D222:$G222)=0,0,($D134*'Function Allocators'!D222/SUM('Function Allocators'!$D222:$G222)))</f>
        <v>0</v>
      </c>
      <c r="H134" s="654">
        <f>IF(SUM('Function Allocators'!$D222:$G222)=0,0,($D134*'Function Allocators'!E222/SUM('Function Allocators'!$D222:$G222)))</f>
        <v>0</v>
      </c>
      <c r="I134" s="654">
        <f>IF(SUM('Function Allocators'!$D222:$G222)=0,0,($D134*'Function Allocators'!F222/SUM('Function Allocators'!$D222:$G222)))</f>
        <v>0</v>
      </c>
      <c r="J134" s="654">
        <f>IF(SUM('Function Allocators'!$D222:$G222)=0,0,($D134*'Function Allocators'!G222/SUM('Function Allocators'!$D222:$G222)))</f>
        <v>0</v>
      </c>
      <c r="K134" s="654">
        <f>IF(SUM('Function Allocators'!$H222:$I222)=0,0,($E134*'Function Allocators'!H222/SUM('Function Allocators'!$H$22:$I$222)))</f>
        <v>0</v>
      </c>
      <c r="L134" s="654">
        <f>IF(SUM('Function Allocators'!$H222:$I222)=0,0,($E134*'Function Allocators'!I222/SUM('Function Allocators'!$H$22:$I$222)))</f>
        <v>0</v>
      </c>
      <c r="M134" s="654">
        <f>IF(SUM('Function Allocators'!$J222:$O222)=0,0,($F134*'Function Allocators'!J222/SUM('Function Allocators'!$J222:$O222)))</f>
        <v>0</v>
      </c>
      <c r="N134" s="654">
        <f>IF(SUM('Function Allocators'!$J222:$O222)=0,0,($F134*'Function Allocators'!K222/SUM('Function Allocators'!$J222:$O222)))</f>
        <v>0</v>
      </c>
      <c r="O134" s="654">
        <f>IF(SUM('Function Allocators'!$J222:$O222)=0,0,($F134*'Function Allocators'!L222/SUM('Function Allocators'!$J222:$O222)))</f>
        <v>0</v>
      </c>
      <c r="P134" s="654">
        <f>IF(SUM('Function Allocators'!$J222:$O222)=0,0,($F134*'Function Allocators'!M222/SUM('Function Allocators'!$J222:$O222)))</f>
        <v>0</v>
      </c>
      <c r="Q134" s="654">
        <f>IF(SUM('Function Allocators'!$J222:$O222)=0,0,($F134*'Function Allocators'!N222/SUM('Function Allocators'!$J222:$O222)))</f>
        <v>0</v>
      </c>
      <c r="R134" s="654">
        <f>IF(SUM('Function Allocators'!$J222:$O222)=0,0,($F134*'Function Allocators'!O222/SUM('Function Allocators'!$J222:$O222)))</f>
        <v>55320.256375514364</v>
      </c>
      <c r="T134" s="360" t="s">
        <v>445</v>
      </c>
      <c r="U134" s="52">
        <f>C134-SUM(D134:F134)</f>
        <v>0</v>
      </c>
      <c r="V134" s="361">
        <f>'G-4 COST OF SERVICE'!J92-SUM('Functionalization SMALL'!G134:J134)</f>
        <v>0</v>
      </c>
      <c r="W134" s="361">
        <f>'G-4 COST OF SERVICE'!K92-SUM('Functionalization SMALL'!K134:L134)</f>
        <v>0</v>
      </c>
      <c r="X134" s="361">
        <f>'G-4 COST OF SERVICE'!L92-SUM('Functionalization SMALL'!M134:R134)</f>
        <v>0</v>
      </c>
    </row>
    <row r="135" spans="1:24" ht="11.25">
      <c r="A135" s="385"/>
      <c r="B135" s="387"/>
      <c r="C135" s="653"/>
      <c r="D135" s="653"/>
      <c r="E135" s="653"/>
      <c r="F135" s="653"/>
      <c r="G135" s="654"/>
      <c r="H135" s="653"/>
      <c r="I135" s="653"/>
      <c r="J135" s="653"/>
      <c r="K135" s="653"/>
      <c r="L135" s="653"/>
      <c r="M135" s="653"/>
      <c r="N135" s="653"/>
      <c r="O135" s="653"/>
      <c r="P135" s="653"/>
      <c r="Q135" s="653"/>
      <c r="R135" s="653"/>
      <c r="U135" s="360"/>
      <c r="V135" s="361"/>
      <c r="W135" s="361"/>
      <c r="X135" s="361"/>
    </row>
    <row r="136" spans="1:24" ht="11.25">
      <c r="A136" s="385"/>
      <c r="B136" s="377" t="s">
        <v>212</v>
      </c>
      <c r="C136" s="653"/>
      <c r="D136" s="653"/>
      <c r="E136" s="653"/>
      <c r="F136" s="653"/>
      <c r="G136" s="654"/>
      <c r="H136" s="653"/>
      <c r="I136" s="653"/>
      <c r="J136" s="653"/>
      <c r="K136" s="653"/>
      <c r="L136" s="653"/>
      <c r="M136" s="653"/>
      <c r="N136" s="653"/>
      <c r="O136" s="653"/>
      <c r="P136" s="653"/>
      <c r="Q136" s="653"/>
      <c r="R136" s="653"/>
      <c r="U136" s="360"/>
      <c r="V136" s="361"/>
      <c r="W136" s="361"/>
      <c r="X136" s="361"/>
    </row>
    <row r="137" spans="1:24">
      <c r="A137" s="385">
        <v>408</v>
      </c>
      <c r="B137" s="379" t="s">
        <v>213</v>
      </c>
      <c r="C137" s="653">
        <f>SUM(G137:R137)</f>
        <v>660679.03061873035</v>
      </c>
      <c r="D137" s="653">
        <f>'G-4 COST OF SERVICE'!J95</f>
        <v>332044.62707839301</v>
      </c>
      <c r="E137" s="653">
        <f>'G-4 COST OF SERVICE'!K95</f>
        <v>0</v>
      </c>
      <c r="F137" s="653">
        <f>'G-4 COST OF SERVICE'!L95</f>
        <v>328634.40354033734</v>
      </c>
      <c r="G137" s="654">
        <f>IF(SUM('Function Allocators'!$D226:$G226)=0,0,($D137*'Function Allocators'!D226/SUM('Function Allocators'!$D226:$G226)))</f>
        <v>0</v>
      </c>
      <c r="H137" s="654">
        <f>IF(SUM('Function Allocators'!$D226:$G226)=0,0,($D137*'Function Allocators'!E226/SUM('Function Allocators'!$D226:$G226)))</f>
        <v>304483.2789886152</v>
      </c>
      <c r="I137" s="654">
        <f>IF(SUM('Function Allocators'!$D226:$G226)=0,0,($D137*'Function Allocators'!F226/SUM('Function Allocators'!$D226:$G226)))</f>
        <v>21586.200267251475</v>
      </c>
      <c r="J137" s="654">
        <f>IF(SUM('Function Allocators'!$D226:$G226)=0,0,($D137*'Function Allocators'!G226/SUM('Function Allocators'!$D226:$G226)))</f>
        <v>5975.1478225263563</v>
      </c>
      <c r="K137" s="654">
        <f>IF(SUM('Function Allocators'!$H226:$I226)=0,0,($E137*'Function Allocators'!H226/SUM('Function Allocators'!$H$226:$I$226)))</f>
        <v>0</v>
      </c>
      <c r="L137" s="654">
        <f>IF(SUM('Function Allocators'!$H226:$I226)=0,0,($E137*'Function Allocators'!I226/SUM('Function Allocators'!$H$226:$I$226)))</f>
        <v>0</v>
      </c>
      <c r="M137" s="654">
        <f>IF(SUM('Function Allocators'!$J226:$O226)=0,0,($F137*'Function Allocators'!J226/SUM('Function Allocators'!$J226:$O226)))</f>
        <v>266402.06527658756</v>
      </c>
      <c r="N137" s="654">
        <f>IF(SUM('Function Allocators'!$J226:$O226)=0,0,($F137*'Function Allocators'!K226/SUM('Function Allocators'!$J226:$O226)))</f>
        <v>51293.016783188155</v>
      </c>
      <c r="O137" s="654">
        <f>IF(SUM('Function Allocators'!$J226:$O226)=0,0,($F137*'Function Allocators'!L226/SUM('Function Allocators'!$J226:$O226)))</f>
        <v>10939.32148056163</v>
      </c>
      <c r="P137" s="654">
        <f>IF(SUM('Function Allocators'!$J226:$O226)=0,0,($F137*'Function Allocators'!M226/SUM('Function Allocators'!$J226:$O226)))</f>
        <v>0</v>
      </c>
      <c r="Q137" s="654">
        <f>IF(SUM('Function Allocators'!$J226:$O226)=0,0,($F137*'Function Allocators'!N226/SUM('Function Allocators'!$J226:$O226)))</f>
        <v>0</v>
      </c>
      <c r="R137" s="654">
        <f>IF(SUM('Function Allocators'!$J226:$O226)=0,0,($F137*'Function Allocators'!O226/SUM('Function Allocators'!$J226:$O226)))</f>
        <v>0</v>
      </c>
      <c r="T137" s="360" t="s">
        <v>127</v>
      </c>
      <c r="U137" s="52">
        <f>C137-SUM(D137:F137)</f>
        <v>0</v>
      </c>
      <c r="V137" s="361">
        <f>'G-4 COST OF SERVICE'!J95-SUM('Functionalization SMALL'!G137:J137)</f>
        <v>0</v>
      </c>
      <c r="W137" s="361">
        <f>'G-4 COST OF SERVICE'!K95-SUM('Functionalization SMALL'!K137:L137)</f>
        <v>0</v>
      </c>
      <c r="X137" s="361">
        <f>'G-4 COST OF SERVICE'!L95-SUM('Functionalization SMALL'!M137:R137)</f>
        <v>0</v>
      </c>
    </row>
    <row r="138" spans="1:24">
      <c r="A138" s="385">
        <v>408</v>
      </c>
      <c r="B138" s="381" t="s">
        <v>214</v>
      </c>
      <c r="C138" s="653">
        <f>SUM(G138:R138)</f>
        <v>117161.54728471418</v>
      </c>
      <c r="D138" s="653">
        <f>'G-4 COST OF SERVICE'!J96</f>
        <v>58883.149718930283</v>
      </c>
      <c r="E138" s="653">
        <f>'G-4 COST OF SERVICE'!K96</f>
        <v>0</v>
      </c>
      <c r="F138" s="653">
        <f>'G-4 COST OF SERVICE'!L96</f>
        <v>58278.397565783882</v>
      </c>
      <c r="G138" s="654">
        <f>IF(SUM('Function Allocators'!$D227:$G227)=0,0,($D138*'Function Allocators'!D227/SUM('Function Allocators'!$D227:$G227)))</f>
        <v>0</v>
      </c>
      <c r="H138" s="654">
        <f>IF(SUM('Function Allocators'!$D227:$G227)=0,0,($D138*'Function Allocators'!E227/SUM('Function Allocators'!$D227:$G227)))</f>
        <v>53995.556745944792</v>
      </c>
      <c r="I138" s="654">
        <f>IF(SUM('Function Allocators'!$D227:$G227)=0,0,($D138*'Function Allocators'!F227/SUM('Function Allocators'!$D227:$G227)))</f>
        <v>3827.9898499887304</v>
      </c>
      <c r="J138" s="654">
        <f>IF(SUM('Function Allocators'!$D227:$G227)=0,0,($D138*'Function Allocators'!G227/SUM('Function Allocators'!$D227:$G227)))</f>
        <v>1059.6031229967598</v>
      </c>
      <c r="K138" s="654">
        <f>IF(SUM('Function Allocators'!$H227:$I227)=0,0,($E138*'Function Allocators'!H227/SUM('Function Allocators'!$H$226:$I$226)))</f>
        <v>0</v>
      </c>
      <c r="L138" s="654">
        <f>IF(SUM('Function Allocators'!$H227:$I227)=0,0,($E138*'Function Allocators'!I227/SUM('Function Allocators'!$H$226:$I$226)))</f>
        <v>0</v>
      </c>
      <c r="M138" s="654">
        <f>IF(SUM('Function Allocators'!$J227:$O227)=0,0,($F138*'Function Allocators'!J227/SUM('Function Allocators'!$J227:$O227)))</f>
        <v>47242.422903021616</v>
      </c>
      <c r="N138" s="654">
        <f>IF(SUM('Function Allocators'!$J227:$O227)=0,0,($F138*'Function Allocators'!K227/SUM('Function Allocators'!$J227:$O227)))</f>
        <v>9096.0495682618148</v>
      </c>
      <c r="O138" s="654">
        <f>IF(SUM('Function Allocators'!$J227:$O227)=0,0,($F138*'Function Allocators'!L227/SUM('Function Allocators'!$J227:$O227)))</f>
        <v>1939.9250945004571</v>
      </c>
      <c r="P138" s="654">
        <f>IF(SUM('Function Allocators'!$J227:$O227)=0,0,($F138*'Function Allocators'!M227/SUM('Function Allocators'!$J227:$O227)))</f>
        <v>0</v>
      </c>
      <c r="Q138" s="654">
        <f>IF(SUM('Function Allocators'!$J227:$O227)=0,0,($F138*'Function Allocators'!N227/SUM('Function Allocators'!$J227:$O227)))</f>
        <v>0</v>
      </c>
      <c r="R138" s="654">
        <f>IF(SUM('Function Allocators'!$J227:$O227)=0,0,($F138*'Function Allocators'!O227/SUM('Function Allocators'!$J227:$O227)))</f>
        <v>0</v>
      </c>
      <c r="T138" s="360" t="s">
        <v>127</v>
      </c>
      <c r="U138" s="52">
        <f>C138-SUM(D138:F138)</f>
        <v>0</v>
      </c>
      <c r="V138" s="361">
        <f>'G-4 COST OF SERVICE'!J96-SUM('Functionalization SMALL'!G138:J138)</f>
        <v>0</v>
      </c>
      <c r="W138" s="361">
        <f>'G-4 COST OF SERVICE'!K96-SUM('Functionalization SMALL'!K138:L138)</f>
        <v>0</v>
      </c>
      <c r="X138" s="361">
        <f>'G-4 COST OF SERVICE'!L96-SUM('Functionalization SMALL'!M138:R138)</f>
        <v>0</v>
      </c>
    </row>
    <row r="139" spans="1:24">
      <c r="A139" s="385"/>
      <c r="B139" s="377" t="s">
        <v>215</v>
      </c>
      <c r="C139" s="655">
        <f t="shared" ref="C139:R139" si="23">SUM(C137:C138)</f>
        <v>777840.57790344453</v>
      </c>
      <c r="D139" s="655">
        <f t="shared" si="23"/>
        <v>390927.77679732331</v>
      </c>
      <c r="E139" s="655">
        <f t="shared" si="23"/>
        <v>0</v>
      </c>
      <c r="F139" s="655">
        <f t="shared" si="23"/>
        <v>386912.80110612122</v>
      </c>
      <c r="G139" s="656">
        <f t="shared" si="23"/>
        <v>0</v>
      </c>
      <c r="H139" s="655">
        <f t="shared" si="23"/>
        <v>358478.83573455998</v>
      </c>
      <c r="I139" s="655">
        <f t="shared" si="23"/>
        <v>25414.190117240207</v>
      </c>
      <c r="J139" s="655">
        <f t="shared" si="23"/>
        <v>7034.7509455231157</v>
      </c>
      <c r="K139" s="655">
        <f t="shared" si="23"/>
        <v>0</v>
      </c>
      <c r="L139" s="655">
        <f t="shared" si="23"/>
        <v>0</v>
      </c>
      <c r="M139" s="655">
        <f t="shared" si="23"/>
        <v>313644.48817960918</v>
      </c>
      <c r="N139" s="655">
        <f t="shared" si="23"/>
        <v>60389.066351449968</v>
      </c>
      <c r="O139" s="655">
        <f t="shared" si="23"/>
        <v>12879.246575062087</v>
      </c>
      <c r="P139" s="655">
        <f t="shared" si="23"/>
        <v>0</v>
      </c>
      <c r="Q139" s="655">
        <f t="shared" si="23"/>
        <v>0</v>
      </c>
      <c r="R139" s="655">
        <f t="shared" si="23"/>
        <v>0</v>
      </c>
      <c r="U139" s="52">
        <f>C139-SUM(D139:F139)</f>
        <v>0</v>
      </c>
      <c r="V139" s="361">
        <f>'G-4 COST OF SERVICE'!J97-SUM('Functionalization SMALL'!G139:J139)</f>
        <v>0</v>
      </c>
      <c r="W139" s="361">
        <f>'G-4 COST OF SERVICE'!K97-SUM('Functionalization SMALL'!K139:L139)</f>
        <v>0</v>
      </c>
      <c r="X139" s="361">
        <f>'G-4 COST OF SERVICE'!L97-SUM('Functionalization SMALL'!M139:R139)</f>
        <v>0</v>
      </c>
    </row>
    <row r="140" spans="1:24" ht="11.25">
      <c r="A140" s="385"/>
      <c r="B140" s="387"/>
      <c r="C140" s="653"/>
      <c r="D140" s="653"/>
      <c r="E140" s="653"/>
      <c r="F140" s="653"/>
      <c r="G140" s="654"/>
      <c r="H140" s="653"/>
      <c r="I140" s="653"/>
      <c r="J140" s="653"/>
      <c r="K140" s="653"/>
      <c r="L140" s="653"/>
      <c r="M140" s="653"/>
      <c r="N140" s="653"/>
      <c r="O140" s="653"/>
      <c r="P140" s="653"/>
      <c r="Q140" s="653"/>
      <c r="R140" s="653"/>
      <c r="U140" s="360"/>
      <c r="V140" s="361"/>
      <c r="W140" s="361"/>
      <c r="X140" s="361"/>
    </row>
    <row r="141" spans="1:24">
      <c r="A141" s="385" t="s">
        <v>473</v>
      </c>
      <c r="B141" s="387" t="s">
        <v>216</v>
      </c>
      <c r="C141" s="654">
        <f>SUM(G141:R141)</f>
        <v>232944.00144405095</v>
      </c>
      <c r="D141" s="654">
        <f>'G-4 COST OF SERVICE'!J103</f>
        <v>117073.1936462427</v>
      </c>
      <c r="E141" s="654">
        <f>'G-4 COST OF SERVICE'!K103</f>
        <v>0</v>
      </c>
      <c r="F141" s="654">
        <f>'G-4 COST OF SERVICE'!L103</f>
        <v>115870.80779780823</v>
      </c>
      <c r="G141" s="654">
        <f>IF(SUM('Function Allocators'!$D231:$G231)=0,0,($D141*'Function Allocators'!D231/SUM('Function Allocators'!$D231:$G231)))</f>
        <v>0</v>
      </c>
      <c r="H141" s="654">
        <f>IF(SUM('Function Allocators'!$D231:$G231)=0,0,($D141*'Function Allocators'!E231/SUM('Function Allocators'!$D231:$G231)))</f>
        <v>107355.53891272923</v>
      </c>
      <c r="I141" s="654">
        <f>IF(SUM('Function Allocators'!$D231:$G231)=0,0,($D141*'Function Allocators'!F231/SUM('Function Allocators'!$D231:$G231)))</f>
        <v>7610.9209361724288</v>
      </c>
      <c r="J141" s="654">
        <f>IF(SUM('Function Allocators'!$D231:$G231)=0,0,($D141*'Function Allocators'!G231/SUM('Function Allocators'!$D231:$G231)))</f>
        <v>2106.7337973410431</v>
      </c>
      <c r="K141" s="654">
        <f>IF(SUM('Function Allocators'!$H231:$I231)=0,0,($E141*'Function Allocators'!H231/SUM('Function Allocators'!$H$231:$I$231)))</f>
        <v>0</v>
      </c>
      <c r="L141" s="654">
        <f>IF(SUM('Function Allocators'!$H231:$I231)=0,0,($E141*'Function Allocators'!I231/SUM('Function Allocators'!$H$231:$I$231)))</f>
        <v>0</v>
      </c>
      <c r="M141" s="654">
        <f>IF(SUM('Function Allocators'!$J231:$O231)=0,0,($F141*'Function Allocators'!J231/SUM('Function Allocators'!$J231:$O231)))</f>
        <v>93928.761474949482</v>
      </c>
      <c r="N141" s="654">
        <f>IF(SUM('Function Allocators'!$J231:$O231)=0,0,($F141*'Function Allocators'!K231/SUM('Function Allocators'!$J231:$O231)))</f>
        <v>18085.030736366723</v>
      </c>
      <c r="O141" s="654">
        <f>IF(SUM('Function Allocators'!$J231:$O231)=0,0,($F141*'Function Allocators'!L231/SUM('Function Allocators'!$J231:$O231)))</f>
        <v>3857.0155864920266</v>
      </c>
      <c r="P141" s="654">
        <f>IF(SUM('Function Allocators'!$J231:$O231)=0,0,($F141*'Function Allocators'!M231/SUM('Function Allocators'!$J231:$O231)))</f>
        <v>0</v>
      </c>
      <c r="Q141" s="654">
        <f>IF(SUM('Function Allocators'!$J231:$O231)=0,0,($F141*'Function Allocators'!N231/SUM('Function Allocators'!$J231:$O231)))</f>
        <v>0</v>
      </c>
      <c r="R141" s="654">
        <f>IF(SUM('Function Allocators'!$J231:$O231)=0,0,($F141*'Function Allocators'!O231/SUM('Function Allocators'!$J231:$O231)))</f>
        <v>0</v>
      </c>
      <c r="T141" s="360" t="s">
        <v>127</v>
      </c>
      <c r="U141" s="52">
        <f>C141-SUM(D141:F141)</f>
        <v>0</v>
      </c>
      <c r="V141" s="361">
        <f>'G-4 COST OF SERVICE'!J103-SUM('Functionalization SMALL'!G141:J141)</f>
        <v>0</v>
      </c>
      <c r="W141" s="361">
        <f>'G-4 COST OF SERVICE'!K103-SUM('Functionalization SMALL'!K141:L141)</f>
        <v>0</v>
      </c>
      <c r="X141" s="361">
        <f>'G-4 COST OF SERVICE'!L103-SUM('Functionalization SMALL'!M141:R141)</f>
        <v>0</v>
      </c>
    </row>
    <row r="142" spans="1:24">
      <c r="C142" s="653"/>
      <c r="D142" s="653"/>
      <c r="E142" s="653"/>
      <c r="F142" s="653"/>
      <c r="G142" s="654"/>
      <c r="H142" s="653"/>
      <c r="I142" s="653"/>
      <c r="J142" s="653"/>
      <c r="K142" s="653"/>
      <c r="L142" s="653"/>
      <c r="M142" s="653"/>
      <c r="N142" s="653"/>
      <c r="O142" s="653"/>
      <c r="P142" s="653"/>
      <c r="Q142" s="653"/>
      <c r="R142" s="653"/>
      <c r="S142" s="467"/>
      <c r="T142" s="467"/>
      <c r="V142" s="361"/>
      <c r="W142" s="361"/>
      <c r="X142" s="361"/>
    </row>
    <row r="143" spans="1:24">
      <c r="A143" s="364" t="s">
        <v>474</v>
      </c>
      <c r="C143" s="653"/>
      <c r="D143" s="653"/>
      <c r="E143" s="653"/>
      <c r="F143" s="653"/>
      <c r="G143" s="654"/>
      <c r="H143" s="653"/>
      <c r="I143" s="653"/>
      <c r="J143" s="653"/>
      <c r="K143" s="653"/>
      <c r="L143" s="653"/>
      <c r="M143" s="653"/>
      <c r="N143" s="653"/>
      <c r="O143" s="653"/>
      <c r="P143" s="653"/>
      <c r="Q143" s="653"/>
      <c r="R143" s="653"/>
      <c r="S143" s="467"/>
      <c r="T143" s="467"/>
      <c r="V143" s="361"/>
      <c r="W143" s="361"/>
      <c r="X143" s="361"/>
    </row>
    <row r="144" spans="1:24">
      <c r="B144" s="360" t="s">
        <v>475</v>
      </c>
      <c r="C144" s="653">
        <f>SUM(G144:R144)</f>
        <v>6364266.7742555216</v>
      </c>
      <c r="D144" s="653">
        <f>'G-4 COST OF SERVICE'!J105</f>
        <v>2676307.224984908</v>
      </c>
      <c r="E144" s="653">
        <f>'G-4 COST OF SERVICE'!K105</f>
        <v>57073.347790640371</v>
      </c>
      <c r="F144" s="653">
        <f>'G-4 COST OF SERVICE'!L105</f>
        <v>3630886.1881185947</v>
      </c>
      <c r="G144" s="654">
        <f t="shared" ref="G144:R144" si="24">+SUM(G77:G78,G96,G108,G110:G114,G129:G134,G139)</f>
        <v>0</v>
      </c>
      <c r="H144" s="653">
        <f t="shared" si="24"/>
        <v>2176622.6756425388</v>
      </c>
      <c r="I144" s="653">
        <f t="shared" si="24"/>
        <v>445407.6752576307</v>
      </c>
      <c r="J144" s="653">
        <f t="shared" si="24"/>
        <v>54276.874084738447</v>
      </c>
      <c r="K144" s="653">
        <f t="shared" si="24"/>
        <v>57073.361152018959</v>
      </c>
      <c r="L144" s="653">
        <f t="shared" si="24"/>
        <v>0</v>
      </c>
      <c r="M144" s="653">
        <f t="shared" si="24"/>
        <v>1768736.6028808053</v>
      </c>
      <c r="N144" s="653">
        <f t="shared" si="24"/>
        <v>1098496.6725913018</v>
      </c>
      <c r="O144" s="653">
        <f t="shared" si="24"/>
        <v>148146.68157003805</v>
      </c>
      <c r="P144" s="653">
        <f t="shared" si="24"/>
        <v>8486.4263562893393</v>
      </c>
      <c r="Q144" s="653">
        <f t="shared" si="24"/>
        <v>449851.30445871735</v>
      </c>
      <c r="R144" s="653">
        <f t="shared" si="24"/>
        <v>157168.50026144285</v>
      </c>
      <c r="S144" s="467"/>
      <c r="T144" s="467"/>
      <c r="U144" s="52">
        <f>C144-SUM(D144:F144)</f>
        <v>1.3361378572881222E-2</v>
      </c>
      <c r="V144" s="361">
        <f>'G-4 COST OF SERVICE'!J105-SUM('Functionalization SMALL'!G144:J144)</f>
        <v>0</v>
      </c>
      <c r="W144" s="361">
        <f>'G-4 COST OF SERVICE'!K105-SUM('Functionalization SMALL'!K144:L144)</f>
        <v>-1.3361378587433137E-2</v>
      </c>
      <c r="X144" s="361">
        <f>'G-4 COST OF SERVICE'!L105-SUM('Functionalization SMALL'!M144:R144)</f>
        <v>0</v>
      </c>
    </row>
    <row r="145" spans="2:24">
      <c r="B145" s="360" t="s">
        <v>476</v>
      </c>
      <c r="C145" s="653">
        <f>SUM(G145:R145)</f>
        <v>6597210.7756995726</v>
      </c>
      <c r="D145" s="653">
        <f>'G-4 COST OF SERVICE'!J107</f>
        <v>2793380.4186311509</v>
      </c>
      <c r="E145" s="653">
        <f>'G-4 COST OF SERVICE'!K107</f>
        <v>57073.347790640371</v>
      </c>
      <c r="F145" s="653">
        <f>'G-4 COST OF SERVICE'!L107</f>
        <v>3746756.9959164029</v>
      </c>
      <c r="G145" s="654">
        <f t="shared" ref="G145:R145" si="25">+G144+G141</f>
        <v>0</v>
      </c>
      <c r="H145" s="653">
        <f t="shared" si="25"/>
        <v>2283978.2145552682</v>
      </c>
      <c r="I145" s="653">
        <f t="shared" si="25"/>
        <v>453018.59619380313</v>
      </c>
      <c r="J145" s="653">
        <f t="shared" si="25"/>
        <v>56383.607882079494</v>
      </c>
      <c r="K145" s="653">
        <f t="shared" si="25"/>
        <v>57073.361152018959</v>
      </c>
      <c r="L145" s="653">
        <f t="shared" si="25"/>
        <v>0</v>
      </c>
      <c r="M145" s="653">
        <f t="shared" si="25"/>
        <v>1862665.3643557548</v>
      </c>
      <c r="N145" s="653">
        <f t="shared" si="25"/>
        <v>1116581.7033276686</v>
      </c>
      <c r="O145" s="653">
        <f t="shared" si="25"/>
        <v>152003.69715653008</v>
      </c>
      <c r="P145" s="653">
        <f t="shared" si="25"/>
        <v>8486.4263562893393</v>
      </c>
      <c r="Q145" s="653">
        <f t="shared" si="25"/>
        <v>449851.30445871735</v>
      </c>
      <c r="R145" s="653">
        <f t="shared" si="25"/>
        <v>157168.50026144285</v>
      </c>
      <c r="S145" s="467"/>
      <c r="T145" s="467"/>
      <c r="U145" s="52">
        <f>C145-SUM(D145:F145)</f>
        <v>1.3361378572881222E-2</v>
      </c>
      <c r="V145" s="361">
        <f>'G-4 COST OF SERVICE'!J107-SUM('Functionalization SMALL'!G145:J145)</f>
        <v>0</v>
      </c>
      <c r="W145" s="361">
        <f>'G-4 COST OF SERVICE'!K107-SUM('Functionalization SMALL'!K145:L145)</f>
        <v>-1.3361378587433137E-2</v>
      </c>
      <c r="X145" s="361">
        <f>'G-4 COST OF SERVICE'!L107-SUM('Functionalization SMALL'!M145:R145)</f>
        <v>0</v>
      </c>
    </row>
    <row r="146" spans="2:24">
      <c r="C146" s="653"/>
      <c r="D146" s="653"/>
      <c r="E146" s="653"/>
      <c r="F146" s="653"/>
      <c r="G146" s="654"/>
      <c r="H146" s="653"/>
      <c r="I146" s="653"/>
      <c r="J146" s="653"/>
      <c r="K146" s="653"/>
      <c r="L146" s="653"/>
      <c r="M146" s="653"/>
      <c r="N146" s="653"/>
      <c r="O146" s="653"/>
      <c r="P146" s="653"/>
      <c r="Q146" s="653"/>
      <c r="R146" s="653"/>
      <c r="S146" s="467"/>
      <c r="T146" s="467"/>
      <c r="V146" s="361"/>
      <c r="W146" s="361"/>
      <c r="X146" s="361"/>
    </row>
    <row r="147" spans="2:24">
      <c r="C147" s="653"/>
      <c r="D147" s="653"/>
      <c r="E147" s="653"/>
      <c r="F147" s="653"/>
      <c r="G147" s="654"/>
      <c r="H147" s="653"/>
      <c r="I147" s="653"/>
      <c r="J147" s="653"/>
      <c r="K147" s="653"/>
      <c r="L147" s="653"/>
      <c r="M147" s="653"/>
      <c r="N147" s="653"/>
      <c r="O147" s="653"/>
      <c r="P147" s="653"/>
      <c r="Q147" s="653"/>
      <c r="R147" s="653"/>
      <c r="S147" s="467"/>
      <c r="T147" s="467"/>
      <c r="V147" s="361"/>
      <c r="W147" s="361"/>
      <c r="X147" s="361"/>
    </row>
    <row r="148" spans="2:24">
      <c r="C148" s="653"/>
      <c r="D148" s="653"/>
      <c r="E148" s="653"/>
      <c r="F148" s="653"/>
      <c r="G148" s="654"/>
      <c r="H148" s="653"/>
      <c r="I148" s="653"/>
      <c r="J148" s="653"/>
      <c r="K148" s="653"/>
      <c r="L148" s="653"/>
      <c r="M148" s="653"/>
      <c r="N148" s="653"/>
      <c r="O148" s="653"/>
      <c r="P148" s="653"/>
      <c r="Q148" s="653"/>
      <c r="R148" s="653"/>
      <c r="S148" s="467"/>
      <c r="T148" s="467"/>
      <c r="V148" s="361"/>
      <c r="W148" s="361"/>
      <c r="X148" s="361"/>
    </row>
    <row r="149" spans="2:24">
      <c r="B149" s="652" t="s">
        <v>477</v>
      </c>
      <c r="C149" s="651">
        <f>'Schedule G-2 Proposed Rates'!D20</f>
        <v>7.6265300000000008E-2</v>
      </c>
      <c r="D149" s="651">
        <f t="shared" ref="D149:R149" si="26">C149</f>
        <v>7.6265300000000008E-2</v>
      </c>
      <c r="E149" s="651">
        <f t="shared" si="26"/>
        <v>7.6265300000000008E-2</v>
      </c>
      <c r="F149" s="651">
        <f t="shared" si="26"/>
        <v>7.6265300000000008E-2</v>
      </c>
      <c r="G149" s="651">
        <f t="shared" si="26"/>
        <v>7.6265300000000008E-2</v>
      </c>
      <c r="H149" s="651">
        <f t="shared" si="26"/>
        <v>7.6265300000000008E-2</v>
      </c>
      <c r="I149" s="651">
        <f t="shared" si="26"/>
        <v>7.6265300000000008E-2</v>
      </c>
      <c r="J149" s="651">
        <f t="shared" si="26"/>
        <v>7.6265300000000008E-2</v>
      </c>
      <c r="K149" s="651">
        <f t="shared" si="26"/>
        <v>7.6265300000000008E-2</v>
      </c>
      <c r="L149" s="651">
        <f t="shared" si="26"/>
        <v>7.6265300000000008E-2</v>
      </c>
      <c r="M149" s="651">
        <f t="shared" si="26"/>
        <v>7.6265300000000008E-2</v>
      </c>
      <c r="N149" s="651">
        <f t="shared" si="26"/>
        <v>7.6265300000000008E-2</v>
      </c>
      <c r="O149" s="651">
        <f t="shared" si="26"/>
        <v>7.6265300000000008E-2</v>
      </c>
      <c r="P149" s="651">
        <f t="shared" si="26"/>
        <v>7.6265300000000008E-2</v>
      </c>
      <c r="Q149" s="651">
        <f t="shared" si="26"/>
        <v>7.6265300000000008E-2</v>
      </c>
      <c r="R149" s="651">
        <f t="shared" si="26"/>
        <v>7.6265300000000008E-2</v>
      </c>
      <c r="V149" s="361"/>
      <c r="W149" s="361"/>
      <c r="X149" s="361"/>
    </row>
    <row r="150" spans="2:24">
      <c r="B150" s="650" t="s">
        <v>478</v>
      </c>
      <c r="C150" s="468">
        <f>C73</f>
        <v>39259085.532915831</v>
      </c>
      <c r="D150" s="468">
        <f>D73</f>
        <v>18565759.392287631</v>
      </c>
      <c r="E150" s="468">
        <f>E73</f>
        <v>756.16377353144787</v>
      </c>
      <c r="F150" s="468">
        <f>F73</f>
        <v>20692569.741443694</v>
      </c>
      <c r="G150" s="468">
        <f t="shared" ref="G150:R150" si="27">G149*G73</f>
        <v>0</v>
      </c>
      <c r="H150" s="468">
        <f t="shared" si="27"/>
        <v>1294549.5942223906</v>
      </c>
      <c r="I150" s="468">
        <f t="shared" si="27"/>
        <v>99850.299475168955</v>
      </c>
      <c r="J150" s="468">
        <f t="shared" si="27"/>
        <v>21523.324504985449</v>
      </c>
      <c r="K150" s="468">
        <f t="shared" si="27"/>
        <v>57.66905703750794</v>
      </c>
      <c r="L150" s="468">
        <f t="shared" si="27"/>
        <v>0</v>
      </c>
      <c r="M150" s="468">
        <f t="shared" si="27"/>
        <v>930813.8246064285</v>
      </c>
      <c r="N150" s="468">
        <f t="shared" si="27"/>
        <v>607796.28055146709</v>
      </c>
      <c r="O150" s="468">
        <f t="shared" si="27"/>
        <v>39514.943476008193</v>
      </c>
      <c r="P150" s="468">
        <f t="shared" si="27"/>
        <v>0</v>
      </c>
      <c r="Q150" s="468">
        <f t="shared" si="27"/>
        <v>0</v>
      </c>
      <c r="R150" s="468">
        <f t="shared" si="27"/>
        <v>0</v>
      </c>
      <c r="V150" s="361"/>
      <c r="W150" s="361"/>
      <c r="X150" s="361"/>
    </row>
    <row r="151" spans="2:24">
      <c r="B151" s="650" t="s">
        <v>479</v>
      </c>
      <c r="C151" s="456">
        <f>'Schedule G-2 Proposed Rates'!F39-'Schedule G-1 Present Rates'!F39</f>
        <v>1217055.998555949</v>
      </c>
      <c r="D151" s="649">
        <f>SUM(G151:K151)</f>
        <v>575573.49992881354</v>
      </c>
      <c r="E151" s="649">
        <f>+SUM(L151:M151)</f>
        <v>378360.87734751398</v>
      </c>
      <c r="F151" s="649">
        <f>+SUM(N151:Q151)</f>
        <v>263121.6212796215</v>
      </c>
      <c r="G151" s="468">
        <f t="shared" ref="G151:R151" si="28">+G73/$C$73*$C$151</f>
        <v>0</v>
      </c>
      <c r="H151" s="468">
        <f t="shared" si="28"/>
        <v>526213.62864582997</v>
      </c>
      <c r="I151" s="468">
        <f t="shared" si="28"/>
        <v>40587.543839726532</v>
      </c>
      <c r="J151" s="468">
        <f t="shared" si="28"/>
        <v>8748.8858973327478</v>
      </c>
      <c r="K151" s="468">
        <f t="shared" si="28"/>
        <v>23.441545924332669</v>
      </c>
      <c r="L151" s="468">
        <f t="shared" si="28"/>
        <v>0</v>
      </c>
      <c r="M151" s="468">
        <f t="shared" si="28"/>
        <v>378360.87734751398</v>
      </c>
      <c r="N151" s="468">
        <f t="shared" si="28"/>
        <v>247059.43109004034</v>
      </c>
      <c r="O151" s="468">
        <f t="shared" si="28"/>
        <v>16062.190189581148</v>
      </c>
      <c r="P151" s="468">
        <f t="shared" si="28"/>
        <v>0</v>
      </c>
      <c r="Q151" s="468">
        <f t="shared" si="28"/>
        <v>0</v>
      </c>
      <c r="R151" s="468">
        <f t="shared" si="28"/>
        <v>0</v>
      </c>
      <c r="V151" s="361"/>
      <c r="W151" s="361"/>
      <c r="X151" s="361"/>
    </row>
    <row r="152" spans="2:24">
      <c r="B152" s="648" t="s">
        <v>480</v>
      </c>
      <c r="C152" s="646">
        <f>SUM(D152:F152)</f>
        <v>10808372.710149009</v>
      </c>
      <c r="D152" s="647">
        <f>SUM(G152:J152)</f>
        <v>4784853.695216585</v>
      </c>
      <c r="E152" s="647">
        <f>+SUM(K152:L152)</f>
        <v>57154.471754980797</v>
      </c>
      <c r="F152" s="647">
        <f>+SUM(M152:R152)</f>
        <v>5966364.5431774426</v>
      </c>
      <c r="G152" s="646">
        <f t="shared" ref="G152:R152" si="29">+G145+G150+G151</f>
        <v>0</v>
      </c>
      <c r="H152" s="646">
        <f t="shared" si="29"/>
        <v>4104741.4374234886</v>
      </c>
      <c r="I152" s="646">
        <f t="shared" si="29"/>
        <v>593456.43950869853</v>
      </c>
      <c r="J152" s="646">
        <f t="shared" si="29"/>
        <v>86655.818284397683</v>
      </c>
      <c r="K152" s="646">
        <f t="shared" si="29"/>
        <v>57154.471754980797</v>
      </c>
      <c r="L152" s="646">
        <f t="shared" si="29"/>
        <v>0</v>
      </c>
      <c r="M152" s="646">
        <f t="shared" si="29"/>
        <v>3171840.0663096975</v>
      </c>
      <c r="N152" s="646">
        <f t="shared" si="29"/>
        <v>1971437.4149691761</v>
      </c>
      <c r="O152" s="646">
        <f t="shared" si="29"/>
        <v>207580.83082211943</v>
      </c>
      <c r="P152" s="646">
        <f t="shared" si="29"/>
        <v>8486.4263562893393</v>
      </c>
      <c r="Q152" s="646">
        <f t="shared" si="29"/>
        <v>449851.30445871735</v>
      </c>
      <c r="R152" s="646">
        <f t="shared" si="29"/>
        <v>157168.50026144285</v>
      </c>
      <c r="U152" s="52">
        <f>C152-SUM(D152:F152)</f>
        <v>0</v>
      </c>
      <c r="V152" s="361">
        <f>D152-SUM(G152:J152)</f>
        <v>0</v>
      </c>
      <c r="W152" s="361">
        <f>E152-SUM(K152:L152)</f>
        <v>0</v>
      </c>
      <c r="X152" s="361">
        <f>F152-SUM(M152:R152)</f>
        <v>0</v>
      </c>
    </row>
    <row r="153" spans="2:24" s="364" customFormat="1" ht="11.25">
      <c r="C153" s="668"/>
      <c r="D153" s="668"/>
      <c r="E153" s="668"/>
      <c r="F153" s="668"/>
      <c r="G153" s="668"/>
      <c r="H153" s="668"/>
      <c r="I153" s="668"/>
      <c r="J153" s="668"/>
      <c r="K153" s="668"/>
      <c r="L153" s="668"/>
      <c r="M153" s="668"/>
      <c r="N153" s="668"/>
      <c r="O153" s="668"/>
      <c r="P153" s="668"/>
      <c r="Q153" s="668"/>
      <c r="R153" s="668"/>
      <c r="V153" s="361"/>
      <c r="W153" s="361"/>
      <c r="X153" s="361"/>
    </row>
    <row r="154" spans="2:24">
      <c r="B154" s="456"/>
      <c r="C154" s="667"/>
      <c r="D154" s="667"/>
      <c r="E154" s="667"/>
      <c r="F154" s="667"/>
    </row>
  </sheetData>
  <mergeCells count="9">
    <mergeCell ref="H6:J6"/>
    <mergeCell ref="K6:L6"/>
    <mergeCell ref="B34:C34"/>
    <mergeCell ref="A1:S1"/>
    <mergeCell ref="A2:S2"/>
    <mergeCell ref="A3:S3"/>
    <mergeCell ref="G5:J5"/>
    <mergeCell ref="K5:L5"/>
    <mergeCell ref="M5:R5"/>
  </mergeCells>
  <printOptions horizontalCentered="1"/>
  <pageMargins left="0.25" right="0.2" top="0.79" bottom="0.75" header="0.8" footer="0.8"/>
  <pageSetup scale="50" pageOrder="overThenDown" orientation="landscape" horizontalDpi="200" verticalDpi="200" r:id="rId1"/>
  <headerFooter>
    <oddHeader>&amp;R&amp;"Arial,Bold"PAGE &amp;P OF &amp;N</oddHead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8437-3AAD-4C1B-8A56-3CE52DC54A46}">
  <sheetPr codeName="Sheet46">
    <tabColor theme="8" tint="0.59999389629810485"/>
  </sheetPr>
  <dimension ref="A1:Z154"/>
  <sheetViews>
    <sheetView topLeftCell="A144" zoomScale="130" zoomScaleNormal="130" workbookViewId="0">
      <selection sqref="A1:S3"/>
    </sheetView>
  </sheetViews>
  <sheetFormatPr defaultColWidth="9.140625" defaultRowHeight="15"/>
  <cols>
    <col min="1" max="1" width="7" style="360" bestFit="1" customWidth="1"/>
    <col min="2" max="2" width="44.7109375" style="360" bestFit="1" customWidth="1"/>
    <col min="3" max="3" width="12.28515625" style="454" bestFit="1" customWidth="1"/>
    <col min="4" max="6" width="10.140625" style="454" customWidth="1"/>
    <col min="7" max="7" width="13.28515625" style="360" bestFit="1" customWidth="1"/>
    <col min="8" max="8" width="11.42578125" style="360" bestFit="1" customWidth="1"/>
    <col min="9" max="9" width="10.42578125" style="360" bestFit="1" customWidth="1"/>
    <col min="10" max="10" width="9.42578125" style="360" bestFit="1" customWidth="1"/>
    <col min="11" max="11" width="9" style="360" bestFit="1" customWidth="1"/>
    <col min="12" max="12" width="8.140625" style="360" bestFit="1" customWidth="1"/>
    <col min="13" max="13" width="10.28515625" style="360" bestFit="1" customWidth="1"/>
    <col min="14" max="14" width="9.28515625" style="360" bestFit="1" customWidth="1"/>
    <col min="15" max="15" width="11.28515625" style="360" bestFit="1" customWidth="1"/>
    <col min="16" max="18" width="8.7109375" style="360" bestFit="1" customWidth="1"/>
    <col min="19" max="19" width="1.5703125" style="360" customWidth="1"/>
    <col min="20" max="20" width="16" style="360" customWidth="1"/>
    <col min="21" max="21" width="14.140625" customWidth="1"/>
    <col min="22" max="22" width="12.85546875" style="360" customWidth="1"/>
    <col min="23" max="23" width="14" style="360" bestFit="1" customWidth="1"/>
    <col min="24" max="24" width="12.85546875" style="360" bestFit="1" customWidth="1"/>
    <col min="25" max="16384" width="9.140625" style="360"/>
  </cols>
  <sheetData>
    <row r="1" spans="1:26">
      <c r="A1" s="791" t="s">
        <v>421</v>
      </c>
      <c r="B1" s="791"/>
      <c r="C1" s="791"/>
      <c r="D1" s="791"/>
      <c r="E1" s="791"/>
      <c r="F1" s="791"/>
      <c r="G1" s="791"/>
      <c r="H1" s="791"/>
      <c r="I1" s="791"/>
      <c r="J1" s="791"/>
      <c r="K1" s="791"/>
      <c r="L1" s="791"/>
      <c r="M1" s="791"/>
      <c r="N1" s="791"/>
      <c r="O1" s="791"/>
      <c r="P1" s="791"/>
      <c r="Q1" s="791"/>
      <c r="R1" s="791"/>
      <c r="S1" s="791"/>
      <c r="T1" s="666"/>
    </row>
    <row r="2" spans="1:26">
      <c r="A2" s="791" t="s">
        <v>483</v>
      </c>
      <c r="B2" s="791"/>
      <c r="C2" s="791"/>
      <c r="D2" s="791"/>
      <c r="E2" s="791"/>
      <c r="F2" s="791"/>
      <c r="G2" s="791"/>
      <c r="H2" s="791"/>
      <c r="I2" s="791"/>
      <c r="J2" s="791"/>
      <c r="K2" s="791"/>
      <c r="L2" s="791"/>
      <c r="M2" s="791"/>
      <c r="N2" s="791"/>
      <c r="O2" s="791"/>
      <c r="P2" s="791"/>
      <c r="Q2" s="791"/>
      <c r="R2" s="791"/>
      <c r="S2" s="791"/>
      <c r="T2" s="666"/>
    </row>
    <row r="3" spans="1:26">
      <c r="A3" s="791" t="s">
        <v>423</v>
      </c>
      <c r="B3" s="791"/>
      <c r="C3" s="791"/>
      <c r="D3" s="791"/>
      <c r="E3" s="791"/>
      <c r="F3" s="791"/>
      <c r="G3" s="791"/>
      <c r="H3" s="791"/>
      <c r="I3" s="791"/>
      <c r="J3" s="791"/>
      <c r="K3" s="791"/>
      <c r="L3" s="791"/>
      <c r="M3" s="791"/>
      <c r="N3" s="791"/>
      <c r="O3" s="791"/>
      <c r="P3" s="791"/>
      <c r="Q3" s="791"/>
      <c r="R3" s="791"/>
      <c r="S3" s="791"/>
      <c r="T3" s="666"/>
    </row>
    <row r="4" spans="1:26" ht="15.75" thickBot="1"/>
    <row r="5" spans="1:26" ht="15" customHeight="1">
      <c r="A5" s="519"/>
      <c r="B5" s="519"/>
      <c r="C5" s="533"/>
      <c r="D5" s="518"/>
      <c r="E5" s="518"/>
      <c r="F5" s="518"/>
      <c r="G5" s="774" t="s">
        <v>225</v>
      </c>
      <c r="H5" s="775"/>
      <c r="I5" s="775"/>
      <c r="J5" s="776"/>
      <c r="K5" s="781" t="s">
        <v>68</v>
      </c>
      <c r="L5" s="782"/>
      <c r="M5" s="774" t="s">
        <v>69</v>
      </c>
      <c r="N5" s="775"/>
      <c r="O5" s="775"/>
      <c r="P5" s="775"/>
      <c r="Q5" s="775"/>
      <c r="R5" s="776"/>
      <c r="U5" s="360"/>
    </row>
    <row r="6" spans="1:26" s="364" customFormat="1" ht="11.25">
      <c r="A6" s="365" t="s">
        <v>60</v>
      </c>
      <c r="C6" s="532" t="s">
        <v>484</v>
      </c>
      <c r="D6" s="513"/>
      <c r="E6" s="513"/>
      <c r="F6" s="513"/>
      <c r="G6" s="511" t="s">
        <v>227</v>
      </c>
      <c r="H6" s="792" t="s">
        <v>228</v>
      </c>
      <c r="I6" s="792"/>
      <c r="J6" s="780"/>
      <c r="K6" s="779"/>
      <c r="L6" s="780"/>
      <c r="M6" s="511"/>
      <c r="N6" s="499"/>
      <c r="O6" s="499"/>
      <c r="P6" s="499" t="s">
        <v>229</v>
      </c>
      <c r="Q6" s="499"/>
      <c r="R6" s="510"/>
    </row>
    <row r="7" spans="1:26" s="364" customFormat="1" ht="12" thickBot="1">
      <c r="A7" s="508" t="s">
        <v>231</v>
      </c>
      <c r="B7" s="507"/>
      <c r="C7" s="531" t="s">
        <v>485</v>
      </c>
      <c r="D7" s="506" t="s">
        <v>455</v>
      </c>
      <c r="E7" s="506" t="s">
        <v>456</v>
      </c>
      <c r="F7" s="506" t="s">
        <v>457</v>
      </c>
      <c r="G7" s="503"/>
      <c r="H7" s="502" t="s">
        <v>232</v>
      </c>
      <c r="I7" s="502" t="s">
        <v>233</v>
      </c>
      <c r="J7" s="501" t="s">
        <v>234</v>
      </c>
      <c r="K7" s="503" t="s">
        <v>235</v>
      </c>
      <c r="L7" s="501" t="s">
        <v>234</v>
      </c>
      <c r="M7" s="503" t="s">
        <v>236</v>
      </c>
      <c r="N7" s="502" t="s">
        <v>237</v>
      </c>
      <c r="O7" s="502" t="s">
        <v>238</v>
      </c>
      <c r="P7" s="502" t="s">
        <v>239</v>
      </c>
      <c r="Q7" s="502" t="s">
        <v>240</v>
      </c>
      <c r="R7" s="501" t="s">
        <v>424</v>
      </c>
      <c r="V7" s="364" t="s">
        <v>458</v>
      </c>
      <c r="W7" s="364" t="s">
        <v>459</v>
      </c>
      <c r="X7" s="364" t="s">
        <v>460</v>
      </c>
    </row>
    <row r="8" spans="1:26" s="643" customFormat="1" ht="30.75" customHeight="1">
      <c r="A8" s="665" t="s">
        <v>461</v>
      </c>
      <c r="B8" s="665"/>
      <c r="C8" s="645"/>
      <c r="D8" s="645"/>
      <c r="E8" s="645"/>
      <c r="F8" s="645"/>
      <c r="G8" s="644"/>
      <c r="H8" s="644"/>
      <c r="I8" s="644"/>
      <c r="J8" s="644"/>
      <c r="K8" s="644"/>
      <c r="L8" s="644"/>
      <c r="M8" s="644"/>
      <c r="N8" s="644"/>
      <c r="O8" s="644"/>
      <c r="P8" s="644"/>
      <c r="Q8" s="644"/>
      <c r="R8" s="644"/>
    </row>
    <row r="9" spans="1:26">
      <c r="A9" s="400"/>
      <c r="B9" s="416" t="s">
        <v>73</v>
      </c>
      <c r="C9" s="457"/>
      <c r="D9" s="457"/>
      <c r="E9" s="457"/>
      <c r="F9" s="457"/>
      <c r="G9" s="498"/>
      <c r="H9" s="464"/>
      <c r="I9" s="464"/>
      <c r="J9" s="464"/>
      <c r="K9" s="464"/>
      <c r="L9" s="464"/>
      <c r="M9" s="464"/>
      <c r="N9" s="464"/>
      <c r="O9" s="497"/>
      <c r="P9" s="464"/>
      <c r="Q9" s="464"/>
      <c r="R9" s="464"/>
    </row>
    <row r="10" spans="1:26">
      <c r="A10" s="390" t="s">
        <v>74</v>
      </c>
      <c r="B10" s="379" t="s">
        <v>205</v>
      </c>
      <c r="C10" s="654">
        <f>SUM(G10:R10)</f>
        <v>121611.92721749494</v>
      </c>
      <c r="D10" s="654">
        <f>'G-3 COST OF SERVICE'!M4</f>
        <v>110271.39544593969</v>
      </c>
      <c r="E10" s="654">
        <f>'G-3 COST OF SERVICE'!N4</f>
        <v>0</v>
      </c>
      <c r="F10" s="654">
        <f>'G-3 COST OF SERVICE'!O4</f>
        <v>11340.531771555266</v>
      </c>
      <c r="G10" s="654">
        <f>IF(SUM('Function Allocators'!$D11:$G11)=0,0,($D10*'Function Allocators'!D11/SUM('Function Allocators'!$D$11:$G$11)))</f>
        <v>0</v>
      </c>
      <c r="H10" s="654">
        <f>IF(SUM('Function Allocators'!$D11:$G11)=0,0,($D10*'Function Allocators'!E11/SUM('Function Allocators'!$D$11:$G$11)))</f>
        <v>101118.32364058399</v>
      </c>
      <c r="I10" s="654">
        <f>IF(SUM('Function Allocators'!$D11:$G11)=0,0,($D10*'Function Allocators'!F11/SUM('Function Allocators'!$D$11:$G$11)))</f>
        <v>7168.7364640999231</v>
      </c>
      <c r="J10" s="654">
        <f>IF(SUM('Function Allocators'!$D11:$G11)=0,0,($D10*'Function Allocators'!G11/SUM('Function Allocators'!$D$11:$G$11)))</f>
        <v>1984.3353412557744</v>
      </c>
      <c r="K10" s="654">
        <f>IF(SUM('Function Allocators'!$H11:$I11)=0,0,($E10*'Function Allocators'!H11/SUM('Function Allocators'!$H11:$I11)))</f>
        <v>0</v>
      </c>
      <c r="L10" s="654">
        <f>IF(SUM('Function Allocators'!$H11:$I11)=0,0,($E10*'Function Allocators'!I11/SUM('Function Allocators'!$H11:$I11)))</f>
        <v>0</v>
      </c>
      <c r="M10" s="654">
        <f>IF(SUM('Function Allocators'!$J11:$O11)=0,0,($F10*'Function Allocators'!J11/SUM('Function Allocators'!$J11:$O11)))</f>
        <v>9193.015255647937</v>
      </c>
      <c r="N10" s="654">
        <f>IF(SUM('Function Allocators'!$J11:$O11)=0,0,($F10*'Function Allocators'!K11/SUM('Function Allocators'!$J11:$O11)))</f>
        <v>1770.0218851775353</v>
      </c>
      <c r="O10" s="654">
        <f>IF(SUM('Function Allocators'!$J11:$O11)=0,0,($F10*'Function Allocators'!L11/SUM('Function Allocators'!$J11:$O11)))</f>
        <v>377.49463072979523</v>
      </c>
      <c r="P10" s="654">
        <f>IF(SUM('Function Allocators'!$J11:$O11)=0,0,($F10*'Function Allocators'!M11/SUM('Function Allocators'!$J11:$O11)))</f>
        <v>0</v>
      </c>
      <c r="Q10" s="654">
        <f>IF(SUM('Function Allocators'!$J11:$O11)=0,0,($F10*'Function Allocators'!N11/SUM('Function Allocators'!$J11:$O11)))</f>
        <v>0</v>
      </c>
      <c r="R10" s="654">
        <f>IF(SUM('Function Allocators'!$J11:$O11)=0,0,($F10*'Function Allocators'!O11/SUM('Function Allocators'!$J11:$O11)))</f>
        <v>0</v>
      </c>
      <c r="T10" s="456" t="s">
        <v>426</v>
      </c>
      <c r="U10" s="52">
        <f>C10-SUM(D10:F10)</f>
        <v>0</v>
      </c>
      <c r="V10" s="361">
        <f>'G-3 COST OF SERVICE'!M4-SUM('Functionalization LARGE'!G10:J10)</f>
        <v>0</v>
      </c>
      <c r="W10" s="361">
        <f>'G-3 COST OF SERVICE'!N4-SUM('Functionalization LARGE'!K10:L10)</f>
        <v>0</v>
      </c>
      <c r="X10" s="361">
        <f>'G-3 COST OF SERVICE'!O4-SUM('Functionalization LARGE'!M10:R10)</f>
        <v>0</v>
      </c>
      <c r="Y10" s="361"/>
      <c r="Z10" s="361"/>
    </row>
    <row r="11" spans="1:26">
      <c r="A11" s="390" t="s">
        <v>77</v>
      </c>
      <c r="B11" s="379" t="s">
        <v>78</v>
      </c>
      <c r="C11" s="654">
        <f>SUM(G11:R11)</f>
        <v>4068182.8399894065</v>
      </c>
      <c r="D11" s="654">
        <f>'G-3 COST OF SERVICE'!M6</f>
        <v>4068182.8399894065</v>
      </c>
      <c r="E11" s="654">
        <f>'G-3 COST OF SERVICE'!N6</f>
        <v>0</v>
      </c>
      <c r="F11" s="654">
        <f>'G-3 COST OF SERVICE'!O6</f>
        <v>0</v>
      </c>
      <c r="G11" s="654">
        <f>IF(SUM('Function Allocators'!$D16:$G16)=0,0,($D11*'Function Allocators'!D16/SUM('Function Allocators'!$D$16:$G$16)))</f>
        <v>0</v>
      </c>
      <c r="H11" s="654">
        <f>IF(SUM('Function Allocators'!$D16:$G16)=0,0,($D11*'Function Allocators'!E16/SUM('Function Allocators'!$D$16:$G$16)))</f>
        <v>4068182.8399894065</v>
      </c>
      <c r="I11" s="654">
        <f>IF(SUM('Function Allocators'!$D16:$G16)=0,0,($D11*'Function Allocators'!F16/SUM('Function Allocators'!$D$16:$G$16)))</f>
        <v>0</v>
      </c>
      <c r="J11" s="654">
        <f>IF(SUM('Function Allocators'!$D16:$G16)=0,0,($D11*'Function Allocators'!G16/SUM('Function Allocators'!$D$16:$G$16)))</f>
        <v>0</v>
      </c>
      <c r="K11" s="654">
        <f>IF(SUM('Function Allocators'!$H16:$I16)=0,0,($E11*'Function Allocators'!H16/SUM('Function Allocators'!$H16:$I16)))</f>
        <v>0</v>
      </c>
      <c r="L11" s="654">
        <f>IF(SUM('Function Allocators'!$H16:$I16)=0,0,($E11*'Function Allocators'!I16/SUM('Function Allocators'!$H16:$I16)))</f>
        <v>0</v>
      </c>
      <c r="M11" s="654">
        <f>IF(SUM('Function Allocators'!$J16:$O16)=0,0,($F11*'Function Allocators'!J16/SUM('Function Allocators'!$J16:$O16)))</f>
        <v>0</v>
      </c>
      <c r="N11" s="654">
        <f>IF(SUM('Function Allocators'!$J16:$O16)=0,0,($F11*'Function Allocators'!K16/SUM('Function Allocators'!$J16:$O16)))</f>
        <v>0</v>
      </c>
      <c r="O11" s="654">
        <f>IF(SUM('Function Allocators'!$J16:$O16)=0,0,($F11*'Function Allocators'!L16/SUM('Function Allocators'!$J16:$O16)))</f>
        <v>0</v>
      </c>
      <c r="P11" s="654">
        <f>IF(SUM('Function Allocators'!$J16:$O16)=0,0,($F11*'Function Allocators'!M16/SUM('Function Allocators'!$J16:$O16)))</f>
        <v>0</v>
      </c>
      <c r="Q11" s="654">
        <f>IF(SUM('Function Allocators'!$J16:$O16)=0,0,($F11*'Function Allocators'!N16/SUM('Function Allocators'!$J16:$O16)))</f>
        <v>0</v>
      </c>
      <c r="R11" s="654">
        <f>IF(SUM('Function Allocators'!$J16:$O16)=0,0,($F11*'Function Allocators'!O16/SUM('Function Allocators'!$J16:$O16)))</f>
        <v>0</v>
      </c>
      <c r="T11" s="456"/>
      <c r="V11" s="361">
        <f>'G-3 COST OF SERVICE'!M6-SUM('Functionalization LARGE'!G11:J11)</f>
        <v>0</v>
      </c>
      <c r="W11" s="361">
        <f>'G-3 COST OF SERVICE'!N6-SUM('Functionalization LARGE'!K11:L11)</f>
        <v>0</v>
      </c>
      <c r="X11" s="361">
        <f>'G-3 COST OF SERVICE'!O6-SUM('Functionalization LARGE'!M11:R11)</f>
        <v>0</v>
      </c>
    </row>
    <row r="12" spans="1:26">
      <c r="A12" s="374"/>
      <c r="B12" s="377"/>
      <c r="C12" s="653"/>
      <c r="D12" s="653"/>
      <c r="E12" s="653"/>
      <c r="F12" s="653"/>
      <c r="G12" s="654"/>
      <c r="H12" s="653"/>
      <c r="I12" s="653"/>
      <c r="J12" s="653"/>
      <c r="K12" s="653"/>
      <c r="L12" s="653"/>
      <c r="M12" s="653"/>
      <c r="N12" s="653"/>
      <c r="O12" s="653"/>
      <c r="P12" s="653"/>
      <c r="Q12" s="653"/>
      <c r="R12" s="653"/>
      <c r="T12" s="456"/>
      <c r="V12" s="361"/>
      <c r="W12" s="361"/>
      <c r="X12" s="361"/>
    </row>
    <row r="13" spans="1:26">
      <c r="A13" s="374"/>
      <c r="B13" s="377" t="s">
        <v>80</v>
      </c>
      <c r="C13" s="653"/>
      <c r="D13" s="653"/>
      <c r="E13" s="653"/>
      <c r="F13" s="653"/>
      <c r="G13" s="654"/>
      <c r="H13" s="653"/>
      <c r="I13" s="653"/>
      <c r="J13" s="653"/>
      <c r="K13" s="653"/>
      <c r="L13" s="653"/>
      <c r="M13" s="653"/>
      <c r="N13" s="653"/>
      <c r="O13" s="653"/>
      <c r="P13" s="653"/>
      <c r="Q13" s="653"/>
      <c r="R13" s="653"/>
      <c r="T13" s="456"/>
      <c r="V13" s="361"/>
      <c r="W13" s="361"/>
      <c r="X13" s="361"/>
    </row>
    <row r="14" spans="1:26">
      <c r="A14" s="385">
        <v>374</v>
      </c>
      <c r="B14" s="379" t="s">
        <v>81</v>
      </c>
      <c r="C14" s="653">
        <f t="shared" ref="C14:C25" si="0">SUM(D14:F14)</f>
        <v>97100.982582552446</v>
      </c>
      <c r="D14" s="653">
        <f>'G-3 COST OF SERVICE'!M9</f>
        <v>97100.982582552446</v>
      </c>
      <c r="E14" s="653">
        <f>'G-3 COST OF SERVICE'!N9</f>
        <v>0</v>
      </c>
      <c r="F14" s="653">
        <f>'G-3 COST OF SERVICE'!O9</f>
        <v>0</v>
      </c>
      <c r="G14" s="654">
        <f>IF(SUM('Function Allocators'!$D24:$G24)=0,0,($D14*'Function Allocators'!D24/SUM('Function Allocators'!$D$24:$G$24)))</f>
        <v>0</v>
      </c>
      <c r="H14" s="654">
        <f>IF(SUM('Function Allocators'!$D24:$G24)=0,0,($D14*'Function Allocators'!E24/SUM('Function Allocators'!$D$24:$G$24)))</f>
        <v>0</v>
      </c>
      <c r="I14" s="654">
        <f>IF(SUM('Function Allocators'!$D24:$G24)=0,0,($D14*'Function Allocators'!F24/SUM('Function Allocators'!$D$24:$G$24)))</f>
        <v>0</v>
      </c>
      <c r="J14" s="654">
        <f>IF(SUM('Function Allocators'!$D24:$G24)=0,0,($D14*'Function Allocators'!G24/SUM('Function Allocators'!$D24:$G24)))</f>
        <v>97100.982582552446</v>
      </c>
      <c r="K14" s="654">
        <f>IF(SUM('Function Allocators'!$H24:$I24)=0,0,($E14*'Function Allocators'!H24/SUM('Function Allocators'!$H24:$I24)))</f>
        <v>0</v>
      </c>
      <c r="L14" s="654">
        <f>IF(SUM('Function Allocators'!$H24:$I24)=0,0,($F14*'Function Allocators'!I24/SUM('Function Allocators'!$H24:$I24)))</f>
        <v>0</v>
      </c>
      <c r="M14" s="654">
        <f>IF(SUM('Function Allocators'!$J24:$O24)=0,0,($F14*'Function Allocators'!J24/SUM('Function Allocators'!$J24:$O24)))</f>
        <v>0</v>
      </c>
      <c r="N14" s="654">
        <f>IF(SUM('Function Allocators'!$J24:$O24)=0,0,($F14*'Function Allocators'!K24/SUM('Function Allocators'!$J24:$O24)))</f>
        <v>0</v>
      </c>
      <c r="O14" s="654">
        <f>IF(SUM('Function Allocators'!$J24:$O24)=0,0,($F14*'Function Allocators'!L24/SUM('Function Allocators'!$J24:$O24)))</f>
        <v>0</v>
      </c>
      <c r="P14" s="654">
        <f>IF(SUM('Function Allocators'!$J24:$O24)=0,0,($F14*'Function Allocators'!M24/SUM('Function Allocators'!$J24:$O24)))</f>
        <v>0</v>
      </c>
      <c r="Q14" s="654">
        <f>IF(SUM('Function Allocators'!$J24:$O24)=0,0,($F14*'Function Allocators'!N24/SUM('Function Allocators'!$J24:$O24)))</f>
        <v>0</v>
      </c>
      <c r="R14" s="654">
        <f>IF(SUM('Function Allocators'!$J24:$O24)=0,0,($F14*'Function Allocators'!O24/SUM('Function Allocators'!$J24:$O24)))</f>
        <v>0</v>
      </c>
      <c r="T14" s="360" t="s">
        <v>428</v>
      </c>
      <c r="U14" s="52">
        <f t="shared" ref="U14:U25" si="1">C14-SUM(D14:F14)</f>
        <v>0</v>
      </c>
      <c r="V14" s="361">
        <f>'G-3 COST OF SERVICE'!M9-SUM('Functionalization LARGE'!G14:J14)</f>
        <v>0</v>
      </c>
      <c r="W14" s="361">
        <f>'G-3 COST OF SERVICE'!N9-SUM('Functionalization LARGE'!K14:L14)</f>
        <v>0</v>
      </c>
      <c r="X14" s="361">
        <f>'G-3 COST OF SERVICE'!O9-SUM('Functionalization LARGE'!M14:R14)</f>
        <v>0</v>
      </c>
    </row>
    <row r="15" spans="1:26">
      <c r="A15" s="386">
        <f>+A14+1</f>
        <v>375</v>
      </c>
      <c r="B15" s="379" t="s">
        <v>82</v>
      </c>
      <c r="C15" s="653">
        <f t="shared" si="0"/>
        <v>39393.970312619269</v>
      </c>
      <c r="D15" s="653">
        <f>'G-3 COST OF SERVICE'!M10</f>
        <v>39393.970312619269</v>
      </c>
      <c r="E15" s="653">
        <f>'G-3 COST OF SERVICE'!N10</f>
        <v>0</v>
      </c>
      <c r="F15" s="653">
        <f>'G-3 COST OF SERVICE'!O10</f>
        <v>0</v>
      </c>
      <c r="G15" s="654">
        <f>IF(SUM('Function Allocators'!$D25:$G25)=0,0,($D15*'Function Allocators'!D25/SUM('Function Allocators'!$D25:$G25)))</f>
        <v>0</v>
      </c>
      <c r="H15" s="654">
        <f>IF(SUM('Function Allocators'!$D25:$G25)=0,0,($D15*'Function Allocators'!E25/SUM('Function Allocators'!$D25:$G25)))</f>
        <v>0</v>
      </c>
      <c r="I15" s="654">
        <f>IF(SUM('Function Allocators'!$D25:$G25)=0,0,($D15*'Function Allocators'!F25/SUM('Function Allocators'!$D25:$G25)))</f>
        <v>0</v>
      </c>
      <c r="J15" s="654">
        <f>IF(SUM('Function Allocators'!$D25:$G25)=0,0,($D15*'Function Allocators'!G25/SUM('Function Allocators'!$D25:$G25)))</f>
        <v>39393.970312619269</v>
      </c>
      <c r="K15" s="654">
        <f>IF(SUM('Function Allocators'!$H25:$I25)=0,0,($E15*'Function Allocators'!H25/SUM('Function Allocators'!$H25:$I25)))</f>
        <v>0</v>
      </c>
      <c r="L15" s="654">
        <f>IF(SUM('Function Allocators'!$H25:$I25)=0,0,($F15*'Function Allocators'!I25/SUM('Function Allocators'!$H25:$I25)))</f>
        <v>0</v>
      </c>
      <c r="M15" s="654">
        <f>IF(SUM('Function Allocators'!$J25:$O25)=0,0,($F15*'Function Allocators'!J25/SUM('Function Allocators'!$J25:$O25)))</f>
        <v>0</v>
      </c>
      <c r="N15" s="654">
        <f>IF(SUM('Function Allocators'!$J25:$O25)=0,0,($F15*'Function Allocators'!K25/SUM('Function Allocators'!$J25:$O25)))</f>
        <v>0</v>
      </c>
      <c r="O15" s="654">
        <f>IF(SUM('Function Allocators'!$J25:$O25)=0,0,($F15*'Function Allocators'!L25/SUM('Function Allocators'!$J25:$O25)))</f>
        <v>0</v>
      </c>
      <c r="P15" s="654">
        <f>IF(SUM('Function Allocators'!$J25:$O25)=0,0,($F15*'Function Allocators'!M25/SUM('Function Allocators'!$J25:$O25)))</f>
        <v>0</v>
      </c>
      <c r="Q15" s="654">
        <f>IF(SUM('Function Allocators'!$J25:$O25)=0,0,($F15*'Function Allocators'!N25/SUM('Function Allocators'!$J25:$O25)))</f>
        <v>0</v>
      </c>
      <c r="R15" s="654">
        <f>IF(SUM('Function Allocators'!$J25:$O25)=0,0,($F15*'Function Allocators'!O25/SUM('Function Allocators'!$J25:$O25)))</f>
        <v>0</v>
      </c>
      <c r="T15" s="360" t="s">
        <v>428</v>
      </c>
      <c r="U15" s="52">
        <f t="shared" si="1"/>
        <v>0</v>
      </c>
      <c r="V15" s="361">
        <f>'G-3 COST OF SERVICE'!M10-SUM('Functionalization LARGE'!G15:J15)</f>
        <v>0</v>
      </c>
      <c r="W15" s="361">
        <f>'G-3 COST OF SERVICE'!N10-SUM('Functionalization LARGE'!K15:L15)</f>
        <v>0</v>
      </c>
      <c r="X15" s="361">
        <f>'G-3 COST OF SERVICE'!O10-SUM('Functionalization LARGE'!M15:R15)</f>
        <v>0</v>
      </c>
    </row>
    <row r="16" spans="1:26">
      <c r="A16" s="386">
        <f>+A15+1</f>
        <v>376</v>
      </c>
      <c r="B16" s="379" t="s">
        <v>83</v>
      </c>
      <c r="C16" s="653">
        <f t="shared" si="0"/>
        <v>25530309.629816093</v>
      </c>
      <c r="D16" s="653">
        <f>'G-3 COST OF SERVICE'!M11</f>
        <v>25473215.956880845</v>
      </c>
      <c r="E16" s="653">
        <f>'G-3 COST OF SERVICE'!N11</f>
        <v>0</v>
      </c>
      <c r="F16" s="653">
        <f>'G-3 COST OF SERVICE'!O11</f>
        <v>57093.672935245937</v>
      </c>
      <c r="G16" s="654">
        <f>IF(SUM('Function Allocators'!$D26:$G26)=0,0,($D16*'Function Allocators'!D26/SUM('Function Allocators'!$D26:$G26)))</f>
        <v>0</v>
      </c>
      <c r="H16" s="654">
        <f>IF(SUM('Function Allocators'!$D26:$G26)=0,0,($D16*'Function Allocators'!E26/SUM('Function Allocators'!$D26:$G26)))</f>
        <v>25473215.956880845</v>
      </c>
      <c r="I16" s="654">
        <f>IF(SUM('Function Allocators'!$D26:$G26)=0,0,($D16*'Function Allocators'!F26/SUM('Function Allocators'!$D26:$G26)))</f>
        <v>0</v>
      </c>
      <c r="J16" s="654">
        <f>IF(SUM('Function Allocators'!$D26:$G26)=0,0,($D16*'Function Allocators'!G26/SUM('Function Allocators'!$D26:$G26)))</f>
        <v>0</v>
      </c>
      <c r="K16" s="654">
        <f>IF(SUM('Function Allocators'!$H26:$I26)=0,0,($E16*'Function Allocators'!H26/SUM('Function Allocators'!$H26:$I26)))</f>
        <v>0</v>
      </c>
      <c r="L16" s="654">
        <f>IF(SUM('Function Allocators'!$H26:$I26)=0,0,($F16*'Function Allocators'!I26/SUM('Function Allocators'!$H26:$I26)))</f>
        <v>0</v>
      </c>
      <c r="M16" s="654">
        <f>IF(SUM('Function Allocators'!$J26:$O26)=0,0,($F16*'Function Allocators'!J26/SUM('Function Allocators'!$J26:$O26)))</f>
        <v>57093.672935245937</v>
      </c>
      <c r="N16" s="654">
        <f>IF(SUM('Function Allocators'!$J26:$O26)=0,0,($F16*'Function Allocators'!K26/SUM('Function Allocators'!$J26:$O26)))</f>
        <v>0</v>
      </c>
      <c r="O16" s="654">
        <f>IF(SUM('Function Allocators'!$J26:$O26)=0,0,($F16*'Function Allocators'!L26/SUM('Function Allocators'!$J26:$O26)))</f>
        <v>0</v>
      </c>
      <c r="P16" s="654">
        <f>IF(SUM('Function Allocators'!$J26:$O26)=0,0,($F16*'Function Allocators'!M26/SUM('Function Allocators'!$J26:$O26)))</f>
        <v>0</v>
      </c>
      <c r="Q16" s="654">
        <f>IF(SUM('Function Allocators'!$J26:$O26)=0,0,($F16*'Function Allocators'!N26/SUM('Function Allocators'!$J26:$O26)))</f>
        <v>0</v>
      </c>
      <c r="R16" s="654">
        <f>IF(SUM('Function Allocators'!$J26:$O26)=0,0,($F16*'Function Allocators'!O26/SUM('Function Allocators'!$J26:$O26)))</f>
        <v>0</v>
      </c>
      <c r="T16" s="456" t="s">
        <v>429</v>
      </c>
      <c r="U16" s="52">
        <f t="shared" si="1"/>
        <v>0</v>
      </c>
      <c r="V16" s="361">
        <f>'G-3 COST OF SERVICE'!M11-SUM('Functionalization LARGE'!G16:J16)</f>
        <v>0</v>
      </c>
      <c r="W16" s="361">
        <f>'G-3 COST OF SERVICE'!N11-SUM('Functionalization LARGE'!K16:L16)</f>
        <v>0</v>
      </c>
      <c r="X16" s="361">
        <f>'G-3 COST OF SERVICE'!O11-SUM('Functionalization LARGE'!M16:R16)</f>
        <v>0</v>
      </c>
    </row>
    <row r="17" spans="1:24">
      <c r="A17" s="386">
        <v>378</v>
      </c>
      <c r="B17" s="379" t="s">
        <v>84</v>
      </c>
      <c r="C17" s="653">
        <f t="shared" si="0"/>
        <v>1123548.7306031969</v>
      </c>
      <c r="D17" s="653">
        <f>'G-3 COST OF SERVICE'!M12</f>
        <v>1123548.7306031969</v>
      </c>
      <c r="E17" s="653">
        <f>'G-3 COST OF SERVICE'!N12</f>
        <v>0</v>
      </c>
      <c r="F17" s="653">
        <f>'G-3 COST OF SERVICE'!O12</f>
        <v>0</v>
      </c>
      <c r="G17" s="654">
        <f>IF(SUM('Function Allocators'!$D27:$G27)=0,0,($D17*'Function Allocators'!D27/SUM('Function Allocators'!$D27:$G27)))</f>
        <v>0</v>
      </c>
      <c r="H17" s="654">
        <f>IF(SUM('Function Allocators'!$D27:$G27)=0,0,($D17*'Function Allocators'!E27/SUM('Function Allocators'!$D27:$G27)))</f>
        <v>0</v>
      </c>
      <c r="I17" s="654">
        <f>IF(SUM('Function Allocators'!$D27:$G27)=0,0,($D17*'Function Allocators'!F27/SUM('Function Allocators'!$D27:$G27)))</f>
        <v>1123548.7306031969</v>
      </c>
      <c r="J17" s="654">
        <f>IF(SUM('Function Allocators'!$D27:$G27)=0,0,($D17*'Function Allocators'!G27/SUM('Function Allocators'!$D27:$G27)))</f>
        <v>0</v>
      </c>
      <c r="K17" s="654">
        <f>IF(SUM('Function Allocators'!$H27:$I27)=0,0,($E17*'Function Allocators'!H27/SUM('Function Allocators'!$H27:$I27)))</f>
        <v>0</v>
      </c>
      <c r="L17" s="654">
        <f>IF(SUM('Function Allocators'!$H27:$I27)=0,0,($F17*'Function Allocators'!I27/SUM('Function Allocators'!$H27:$I27)))</f>
        <v>0</v>
      </c>
      <c r="M17" s="654">
        <f>IF(SUM('Function Allocators'!$J27:$O27)=0,0,($F17*'Function Allocators'!J27/SUM('Function Allocators'!$J27:$O27)))</f>
        <v>0</v>
      </c>
      <c r="N17" s="654">
        <f>IF(SUM('Function Allocators'!$J27:$O27)=0,0,($F17*'Function Allocators'!K27/SUM('Function Allocators'!$J27:$O27)))</f>
        <v>0</v>
      </c>
      <c r="O17" s="654">
        <f>IF(SUM('Function Allocators'!$J27:$O27)=0,0,($F17*'Function Allocators'!L27/SUM('Function Allocators'!$J27:$O27)))</f>
        <v>0</v>
      </c>
      <c r="P17" s="654">
        <f>IF(SUM('Function Allocators'!$J27:$O27)=0,0,($F17*'Function Allocators'!M27/SUM('Function Allocators'!$J27:$O27)))</f>
        <v>0</v>
      </c>
      <c r="Q17" s="654">
        <f>IF(SUM('Function Allocators'!$J27:$O27)=0,0,($F17*'Function Allocators'!N27/SUM('Function Allocators'!$J27:$O27)))</f>
        <v>0</v>
      </c>
      <c r="R17" s="654">
        <f>IF(SUM('Function Allocators'!$J27:$O27)=0,0,($F17*'Function Allocators'!O27/SUM('Function Allocators'!$J27:$O27)))</f>
        <v>0</v>
      </c>
      <c r="T17" s="456" t="s">
        <v>431</v>
      </c>
      <c r="U17" s="52">
        <f t="shared" si="1"/>
        <v>0</v>
      </c>
      <c r="V17" s="361">
        <f>'G-3 COST OF SERVICE'!M12-SUM('Functionalization LARGE'!G17:J17)</f>
        <v>0</v>
      </c>
      <c r="W17" s="361">
        <f>'G-3 COST OF SERVICE'!N12-SUM('Functionalization LARGE'!K17:L17)</f>
        <v>0</v>
      </c>
      <c r="X17" s="361">
        <f>'G-3 COST OF SERVICE'!O12-SUM('Functionalization LARGE'!M17:R17)</f>
        <v>0</v>
      </c>
    </row>
    <row r="18" spans="1:24">
      <c r="A18" s="386">
        <f t="shared" ref="A18:A23" si="2">+A17+1</f>
        <v>379</v>
      </c>
      <c r="B18" s="379" t="s">
        <v>85</v>
      </c>
      <c r="C18" s="653">
        <f t="shared" si="0"/>
        <v>970774.97978953877</v>
      </c>
      <c r="D18" s="653">
        <f>'G-3 COST OF SERVICE'!M13</f>
        <v>970774.97978953877</v>
      </c>
      <c r="E18" s="653">
        <f>'G-3 COST OF SERVICE'!N13</f>
        <v>0</v>
      </c>
      <c r="F18" s="653">
        <f>'G-3 COST OF SERVICE'!O13</f>
        <v>0</v>
      </c>
      <c r="G18" s="654">
        <f>IF(SUM('Function Allocators'!$D28:$G28)=0,0,($D18*'Function Allocators'!D28/SUM('Function Allocators'!$D28:$G28)))</f>
        <v>0</v>
      </c>
      <c r="H18" s="654">
        <f>IF(SUM('Function Allocators'!$D28:$G28)=0,0,($D18*'Function Allocators'!E28/SUM('Function Allocators'!$D28:$G28)))</f>
        <v>0</v>
      </c>
      <c r="I18" s="654">
        <f>IF(SUM('Function Allocators'!$D28:$G28)=0,0,($D18*'Function Allocators'!F28/SUM('Function Allocators'!$D28:$G28)))</f>
        <v>970774.97978953877</v>
      </c>
      <c r="J18" s="654">
        <f>IF(SUM('Function Allocators'!$D28:$G28)=0,0,($D18*'Function Allocators'!G28/SUM('Function Allocators'!$D28:$G28)))</f>
        <v>0</v>
      </c>
      <c r="K18" s="654">
        <f>IF(SUM('Function Allocators'!$H28:$I28)=0,0,($E18*'Function Allocators'!H28/SUM('Function Allocators'!$H28:$I28)))</f>
        <v>0</v>
      </c>
      <c r="L18" s="654">
        <f>IF(SUM('Function Allocators'!$H28:$I28)=0,0,($F18*'Function Allocators'!I28/SUM('Function Allocators'!$H28:$I28)))</f>
        <v>0</v>
      </c>
      <c r="M18" s="654">
        <f>IF(SUM('Function Allocators'!$J28:$O28)=0,0,($F18*'Function Allocators'!J28/SUM('Function Allocators'!$J28:$O28)))</f>
        <v>0</v>
      </c>
      <c r="N18" s="654">
        <f>IF(SUM('Function Allocators'!$J28:$O28)=0,0,($F18*'Function Allocators'!K28/SUM('Function Allocators'!$J28:$O28)))</f>
        <v>0</v>
      </c>
      <c r="O18" s="654">
        <f>IF(SUM('Function Allocators'!$J28:$O28)=0,0,($F18*'Function Allocators'!L28/SUM('Function Allocators'!$J28:$O28)))</f>
        <v>0</v>
      </c>
      <c r="P18" s="654">
        <f>IF(SUM('Function Allocators'!$J28:$O28)=0,0,($F18*'Function Allocators'!M28/SUM('Function Allocators'!$J28:$O28)))</f>
        <v>0</v>
      </c>
      <c r="Q18" s="654">
        <f>IF(SUM('Function Allocators'!$J28:$O28)=0,0,($F18*'Function Allocators'!N28/SUM('Function Allocators'!$J28:$O28)))</f>
        <v>0</v>
      </c>
      <c r="R18" s="654">
        <f>IF(SUM('Function Allocators'!$J28:$O28)=0,0,($F18*'Function Allocators'!O28/SUM('Function Allocators'!$J28:$O28)))</f>
        <v>0</v>
      </c>
      <c r="T18" s="456" t="s">
        <v>431</v>
      </c>
      <c r="U18" s="52">
        <f t="shared" si="1"/>
        <v>0</v>
      </c>
      <c r="V18" s="361">
        <f>'G-3 COST OF SERVICE'!M13-SUM('Functionalization LARGE'!G18:J18)</f>
        <v>0</v>
      </c>
      <c r="W18" s="361">
        <f>'G-3 COST OF SERVICE'!N13-SUM('Functionalization LARGE'!K18:L18)</f>
        <v>0</v>
      </c>
      <c r="X18" s="361">
        <f>'G-3 COST OF SERVICE'!O13-SUM('Functionalization LARGE'!M18:R18)</f>
        <v>0</v>
      </c>
    </row>
    <row r="19" spans="1:24">
      <c r="A19" s="386">
        <f t="shared" si="2"/>
        <v>380</v>
      </c>
      <c r="B19" s="379" t="s">
        <v>86</v>
      </c>
      <c r="C19" s="653">
        <f t="shared" si="0"/>
        <v>160149.13177142557</v>
      </c>
      <c r="D19" s="653">
        <f>'G-3 COST OF SERVICE'!M14</f>
        <v>0</v>
      </c>
      <c r="E19" s="653">
        <f>'G-3 COST OF SERVICE'!N14</f>
        <v>0</v>
      </c>
      <c r="F19" s="653">
        <f>'G-3 COST OF SERVICE'!O14</f>
        <v>160149.13177142557</v>
      </c>
      <c r="G19" s="654">
        <f>IF(SUM('Function Allocators'!$D29:$G29)=0,0,($D19*'Function Allocators'!D29/SUM('Function Allocators'!$D29:$G29)))</f>
        <v>0</v>
      </c>
      <c r="H19" s="654">
        <f>IF(SUM('Function Allocators'!$D29:$G29)=0,0,($D19*'Function Allocators'!E29/SUM('Function Allocators'!$D29:$G29)))</f>
        <v>0</v>
      </c>
      <c r="I19" s="654">
        <f>IF(SUM('Function Allocators'!$D29:$G29)=0,0,($D19*'Function Allocators'!F29/SUM('Function Allocators'!$D29:$G29)))</f>
        <v>0</v>
      </c>
      <c r="J19" s="654">
        <f>IF(SUM('Function Allocators'!$D29:$G29)=0,0,($D19*'Function Allocators'!G29/SUM('Function Allocators'!$D29:$G29)))</f>
        <v>0</v>
      </c>
      <c r="K19" s="654">
        <f>IF(SUM('Function Allocators'!$H29:$I29)=0,0,($E19*'Function Allocators'!H29/SUM('Function Allocators'!$H29:$I29)))</f>
        <v>0</v>
      </c>
      <c r="L19" s="654">
        <f>IF(SUM('Function Allocators'!$H29:$I29)=0,0,($F19*'Function Allocators'!I29/SUM('Function Allocators'!$H29:$I29)))</f>
        <v>0</v>
      </c>
      <c r="M19" s="654">
        <f>IF(SUM('Function Allocators'!$J29:$O29)=0,0,($F19*'Function Allocators'!J29/SUM('Function Allocators'!$J29:$O29)))</f>
        <v>160149.13177142557</v>
      </c>
      <c r="N19" s="654">
        <f>IF(SUM('Function Allocators'!$J29:$O29)=0,0,($F19*'Function Allocators'!K29/SUM('Function Allocators'!$J29:$O29)))</f>
        <v>0</v>
      </c>
      <c r="O19" s="654">
        <f>IF(SUM('Function Allocators'!$J29:$O29)=0,0,($F19*'Function Allocators'!L29/SUM('Function Allocators'!$J29:$O29)))</f>
        <v>0</v>
      </c>
      <c r="P19" s="654">
        <f>IF(SUM('Function Allocators'!$J29:$O29)=0,0,($F19*'Function Allocators'!M29/SUM('Function Allocators'!$J29:$O29)))</f>
        <v>0</v>
      </c>
      <c r="Q19" s="654">
        <f>IF(SUM('Function Allocators'!$J29:$O29)=0,0,($F19*'Function Allocators'!N29/SUM('Function Allocators'!$J29:$O29)))</f>
        <v>0</v>
      </c>
      <c r="R19" s="654">
        <f>IF(SUM('Function Allocators'!$J29:$O29)=0,0,($F19*'Function Allocators'!O29/SUM('Function Allocators'!$J29:$O29)))</f>
        <v>0</v>
      </c>
      <c r="T19" s="456" t="s">
        <v>433</v>
      </c>
      <c r="U19" s="52">
        <f t="shared" si="1"/>
        <v>0</v>
      </c>
      <c r="V19" s="361">
        <f>'G-3 COST OF SERVICE'!M14-SUM('Functionalization LARGE'!G19:J19)</f>
        <v>0</v>
      </c>
      <c r="W19" s="361">
        <f>'G-3 COST OF SERVICE'!N14-SUM('Functionalization LARGE'!K19:L19)</f>
        <v>0</v>
      </c>
      <c r="X19" s="361">
        <f>'G-3 COST OF SERVICE'!O14-SUM('Functionalization LARGE'!M19:R19)</f>
        <v>0</v>
      </c>
    </row>
    <row r="20" spans="1:24">
      <c r="A20" s="386">
        <f t="shared" si="2"/>
        <v>381</v>
      </c>
      <c r="B20" s="379" t="s">
        <v>88</v>
      </c>
      <c r="C20" s="653">
        <f t="shared" si="0"/>
        <v>316446.34427725076</v>
      </c>
      <c r="D20" s="653">
        <f>'G-3 COST OF SERVICE'!M15</f>
        <v>0</v>
      </c>
      <c r="E20" s="653">
        <f>'G-3 COST OF SERVICE'!N15</f>
        <v>0</v>
      </c>
      <c r="F20" s="653">
        <f>'G-3 COST OF SERVICE'!O15</f>
        <v>316446.34427725076</v>
      </c>
      <c r="G20" s="654">
        <f>IF(SUM('Function Allocators'!$D30:$G30)=0,0,($D20*'Function Allocators'!D30/SUM('Function Allocators'!$D30:$G30)))</f>
        <v>0</v>
      </c>
      <c r="H20" s="654">
        <f>IF(SUM('Function Allocators'!$D30:$G30)=0,0,($D20*'Function Allocators'!E30/SUM('Function Allocators'!$D30:$G30)))</f>
        <v>0</v>
      </c>
      <c r="I20" s="654">
        <f>IF(SUM('Function Allocators'!$D30:$G30)=0,0,($D20*'Function Allocators'!F30/SUM('Function Allocators'!$D30:$G30)))</f>
        <v>0</v>
      </c>
      <c r="J20" s="654">
        <f>IF(SUM('Function Allocators'!$D30:$G30)=0,0,($D20*'Function Allocators'!G30/SUM('Function Allocators'!$D30:$G30)))</f>
        <v>0</v>
      </c>
      <c r="K20" s="654">
        <f>IF(SUM('Function Allocators'!$H30:$I30)=0,0,($E20*'Function Allocators'!H30/SUM('Function Allocators'!$H30:$I30)))</f>
        <v>0</v>
      </c>
      <c r="L20" s="654">
        <f>IF(SUM('Function Allocators'!$H30:$I30)=0,0,($F20*'Function Allocators'!I30/SUM('Function Allocators'!$H30:$I30)))</f>
        <v>0</v>
      </c>
      <c r="M20" s="654">
        <f>IF(SUM('Function Allocators'!$J30:$O30)=0,0,($F20*'Function Allocators'!J30/SUM('Function Allocators'!$J30:$O30)))</f>
        <v>0</v>
      </c>
      <c r="N20" s="654">
        <f>IF(SUM('Function Allocators'!$J30:$O30)=0,0,($F20*'Function Allocators'!K30/SUM('Function Allocators'!$J30:$O30)))</f>
        <v>316446.34427725076</v>
      </c>
      <c r="O20" s="654">
        <f>IF(SUM('Function Allocators'!$J30:$O30)=0,0,($F20*'Function Allocators'!L30/SUM('Function Allocators'!$J30:$O30)))</f>
        <v>0</v>
      </c>
      <c r="P20" s="654">
        <f>IF(SUM('Function Allocators'!$J30:$O30)=0,0,($F20*'Function Allocators'!M30/SUM('Function Allocators'!$J30:$O30)))</f>
        <v>0</v>
      </c>
      <c r="Q20" s="654">
        <f>IF(SUM('Function Allocators'!$J30:$O30)=0,0,($F20*'Function Allocators'!N30/SUM('Function Allocators'!$J30:$O30)))</f>
        <v>0</v>
      </c>
      <c r="R20" s="654">
        <f>IF(SUM('Function Allocators'!$J30:$O30)=0,0,($F20*'Function Allocators'!O30/SUM('Function Allocators'!$J30:$O30)))</f>
        <v>0</v>
      </c>
      <c r="T20" s="456" t="s">
        <v>434</v>
      </c>
      <c r="U20" s="52">
        <f t="shared" si="1"/>
        <v>0</v>
      </c>
      <c r="V20" s="361">
        <f>'G-3 COST OF SERVICE'!M15-SUM('Functionalization LARGE'!G20:J20)</f>
        <v>0</v>
      </c>
      <c r="W20" s="361">
        <f>'G-3 COST OF SERVICE'!N15-SUM('Functionalization LARGE'!K20:L20)</f>
        <v>0</v>
      </c>
      <c r="X20" s="361">
        <f>'G-3 COST OF SERVICE'!O15-SUM('Functionalization LARGE'!M20:R20)</f>
        <v>0</v>
      </c>
    </row>
    <row r="21" spans="1:24">
      <c r="A21" s="386">
        <f t="shared" si="2"/>
        <v>382</v>
      </c>
      <c r="B21" s="379" t="s">
        <v>90</v>
      </c>
      <c r="C21" s="653">
        <f t="shared" si="0"/>
        <v>7186.7239737425843</v>
      </c>
      <c r="D21" s="653">
        <f>'G-3 COST OF SERVICE'!M16</f>
        <v>0</v>
      </c>
      <c r="E21" s="653">
        <f>'G-3 COST OF SERVICE'!N16</f>
        <v>0</v>
      </c>
      <c r="F21" s="653">
        <f>'G-3 COST OF SERVICE'!O16</f>
        <v>7186.7239737425843</v>
      </c>
      <c r="G21" s="654">
        <f>IF(SUM('Function Allocators'!$D31:$G31)=0,0,($D21*'Function Allocators'!D31/SUM('Function Allocators'!$D31:$G31)))</f>
        <v>0</v>
      </c>
      <c r="H21" s="654">
        <f>IF(SUM('Function Allocators'!$D31:$G31)=0,0,($D21*'Function Allocators'!E31/SUM('Function Allocators'!$D31:$G31)))</f>
        <v>0</v>
      </c>
      <c r="I21" s="654">
        <f>IF(SUM('Function Allocators'!$D31:$G31)=0,0,($D21*'Function Allocators'!F31/SUM('Function Allocators'!$D31:$G31)))</f>
        <v>0</v>
      </c>
      <c r="J21" s="654">
        <f>IF(SUM('Function Allocators'!$D31:$G31)=0,0,($D21*'Function Allocators'!G31/SUM('Function Allocators'!$D31:$G31)))</f>
        <v>0</v>
      </c>
      <c r="K21" s="654">
        <f>IF(SUM('Function Allocators'!$H31:$I31)=0,0,($E21*'Function Allocators'!H31/SUM('Function Allocators'!$H31:$I31)))</f>
        <v>0</v>
      </c>
      <c r="L21" s="654">
        <f>IF(SUM('Function Allocators'!$H31:$I31)=0,0,($F21*'Function Allocators'!I31/SUM('Function Allocators'!$H31:$I31)))</f>
        <v>0</v>
      </c>
      <c r="M21" s="654">
        <f>IF(SUM('Function Allocators'!$J31:$O31)=0,0,($F21*'Function Allocators'!J31/SUM('Function Allocators'!$J31:$O31)))</f>
        <v>0</v>
      </c>
      <c r="N21" s="654">
        <f>IF(SUM('Function Allocators'!$J31:$O31)=0,0,($F21*'Function Allocators'!K31/SUM('Function Allocators'!$J31:$O31)))</f>
        <v>7186.7239737425843</v>
      </c>
      <c r="O21" s="654">
        <f>IF(SUM('Function Allocators'!$J31:$O31)=0,0,($F21*'Function Allocators'!L31/SUM('Function Allocators'!$J31:$O31)))</f>
        <v>0</v>
      </c>
      <c r="P21" s="654">
        <f>IF(SUM('Function Allocators'!$J31:$O31)=0,0,($F21*'Function Allocators'!M31/SUM('Function Allocators'!$J31:$O31)))</f>
        <v>0</v>
      </c>
      <c r="Q21" s="654">
        <f>IF(SUM('Function Allocators'!$J31:$O31)=0,0,($F21*'Function Allocators'!N31/SUM('Function Allocators'!$J31:$O31)))</f>
        <v>0</v>
      </c>
      <c r="R21" s="654">
        <f>IF(SUM('Function Allocators'!$J31:$O31)=0,0,($F21*'Function Allocators'!O31/SUM('Function Allocators'!$J31:$O31)))</f>
        <v>0</v>
      </c>
      <c r="T21" s="456" t="s">
        <v>434</v>
      </c>
      <c r="U21" s="52">
        <f t="shared" si="1"/>
        <v>0</v>
      </c>
      <c r="V21" s="361">
        <f>'G-3 COST OF SERVICE'!M16-SUM('Functionalization LARGE'!G21:J21)</f>
        <v>0</v>
      </c>
      <c r="W21" s="361">
        <f>'G-3 COST OF SERVICE'!N16-SUM('Functionalization LARGE'!K21:L21)</f>
        <v>0</v>
      </c>
      <c r="X21" s="361">
        <f>'G-3 COST OF SERVICE'!O16-SUM('Functionalization LARGE'!M21:R21)</f>
        <v>0</v>
      </c>
    </row>
    <row r="22" spans="1:24">
      <c r="A22" s="386">
        <f t="shared" si="2"/>
        <v>383</v>
      </c>
      <c r="B22" s="379" t="s">
        <v>92</v>
      </c>
      <c r="C22" s="653">
        <f t="shared" si="0"/>
        <v>33176.97695120881</v>
      </c>
      <c r="D22" s="653">
        <f>'G-3 COST OF SERVICE'!M17</f>
        <v>0</v>
      </c>
      <c r="E22" s="653">
        <f>'G-3 COST OF SERVICE'!N17</f>
        <v>0</v>
      </c>
      <c r="F22" s="653">
        <f>'G-3 COST OF SERVICE'!O17</f>
        <v>33176.97695120881</v>
      </c>
      <c r="G22" s="654">
        <f>IF(SUM('Function Allocators'!$D32:$G32)=0,0,($D22*'Function Allocators'!D32/SUM('Function Allocators'!$D32:$G32)))</f>
        <v>0</v>
      </c>
      <c r="H22" s="654">
        <f>IF(SUM('Function Allocators'!$D32:$G32)=0,0,($D22*'Function Allocators'!E32/SUM('Function Allocators'!$D32:$G32)))</f>
        <v>0</v>
      </c>
      <c r="I22" s="654">
        <f>IF(SUM('Function Allocators'!$D32:$G32)=0,0,($D22*'Function Allocators'!F32/SUM('Function Allocators'!$D32:$G32)))</f>
        <v>0</v>
      </c>
      <c r="J22" s="654">
        <f>IF(SUM('Function Allocators'!$D32:$G32)=0,0,($D22*'Function Allocators'!G32/SUM('Function Allocators'!$D32:$G32)))</f>
        <v>0</v>
      </c>
      <c r="K22" s="654">
        <f>IF(SUM('Function Allocators'!$H32:$I32)=0,0,($E22*'Function Allocators'!H32/SUM('Function Allocators'!$H32:$I32)))</f>
        <v>0</v>
      </c>
      <c r="L22" s="654">
        <f>IF(SUM('Function Allocators'!$H32:$I32)=0,0,($F22*'Function Allocators'!I32/SUM('Function Allocators'!$H32:$I32)))</f>
        <v>0</v>
      </c>
      <c r="M22" s="654">
        <f>IF(SUM('Function Allocators'!$J32:$O32)=0,0,($F22*'Function Allocators'!J32/SUM('Function Allocators'!$J32:$O32)))</f>
        <v>0</v>
      </c>
      <c r="N22" s="654">
        <f>IF(SUM('Function Allocators'!$J32:$O32)=0,0,($F22*'Function Allocators'!K32/SUM('Function Allocators'!$J32:$O32)))</f>
        <v>0</v>
      </c>
      <c r="O22" s="654">
        <f>IF(SUM('Function Allocators'!$J32:$O32)=0,0,($F22*'Function Allocators'!L32/SUM('Function Allocators'!$J32:$O32)))</f>
        <v>33176.97695120881</v>
      </c>
      <c r="P22" s="654">
        <f>IF(SUM('Function Allocators'!$J32:$O32)=0,0,($F22*'Function Allocators'!M32/SUM('Function Allocators'!$J32:$O32)))</f>
        <v>0</v>
      </c>
      <c r="Q22" s="654">
        <f>IF(SUM('Function Allocators'!$J32:$O32)=0,0,($F22*'Function Allocators'!N32/SUM('Function Allocators'!$J32:$O32)))</f>
        <v>0</v>
      </c>
      <c r="R22" s="654">
        <f>IF(SUM('Function Allocators'!$J32:$O32)=0,0,($F22*'Function Allocators'!O32/SUM('Function Allocators'!$J32:$O32)))</f>
        <v>0</v>
      </c>
      <c r="T22" s="456" t="s">
        <v>435</v>
      </c>
      <c r="U22" s="52">
        <f t="shared" si="1"/>
        <v>0</v>
      </c>
      <c r="V22" s="361">
        <f>'G-3 COST OF SERVICE'!M17-SUM('Functionalization LARGE'!G22:J22)</f>
        <v>0</v>
      </c>
      <c r="W22" s="361">
        <f>'G-3 COST OF SERVICE'!N17-SUM('Functionalization LARGE'!K22:L22)</f>
        <v>0</v>
      </c>
      <c r="X22" s="361">
        <f>'G-3 COST OF SERVICE'!O17-SUM('Functionalization LARGE'!M22:R22)</f>
        <v>0</v>
      </c>
    </row>
    <row r="23" spans="1:24">
      <c r="A23" s="386">
        <f t="shared" si="2"/>
        <v>384</v>
      </c>
      <c r="B23" s="379" t="s">
        <v>94</v>
      </c>
      <c r="C23" s="653">
        <f t="shared" si="0"/>
        <v>2066.1299503132896</v>
      </c>
      <c r="D23" s="653">
        <f>'G-3 COST OF SERVICE'!M18</f>
        <v>0</v>
      </c>
      <c r="E23" s="653">
        <f>'G-3 COST OF SERVICE'!N18</f>
        <v>0</v>
      </c>
      <c r="F23" s="653">
        <f>'G-3 COST OF SERVICE'!O18</f>
        <v>2066.1299503132896</v>
      </c>
      <c r="G23" s="654">
        <f>IF(SUM('Function Allocators'!$D33:$G33)=0,0,($D23*'Function Allocators'!D33/SUM('Function Allocators'!$D33:$G33)))</f>
        <v>0</v>
      </c>
      <c r="H23" s="654">
        <f>IF(SUM('Function Allocators'!$D33:$G33)=0,0,($D23*'Function Allocators'!E33/SUM('Function Allocators'!$D33:$G33)))</f>
        <v>0</v>
      </c>
      <c r="I23" s="654">
        <f>IF(SUM('Function Allocators'!$D33:$G33)=0,0,($D23*'Function Allocators'!F33/SUM('Function Allocators'!$D33:$G33)))</f>
        <v>0</v>
      </c>
      <c r="J23" s="654">
        <f>IF(SUM('Function Allocators'!$D33:$G33)=0,0,($D23*'Function Allocators'!G33/SUM('Function Allocators'!$D33:$G33)))</f>
        <v>0</v>
      </c>
      <c r="K23" s="654">
        <f>IF(SUM('Function Allocators'!$H33:$I33)=0,0,($E23*'Function Allocators'!H33/SUM('Function Allocators'!$H33:$I33)))</f>
        <v>0</v>
      </c>
      <c r="L23" s="654">
        <f>IF(SUM('Function Allocators'!$H33:$I33)=0,0,($F23*'Function Allocators'!I33/SUM('Function Allocators'!$H33:$I33)))</f>
        <v>0</v>
      </c>
      <c r="M23" s="654">
        <f>IF(SUM('Function Allocators'!$J33:$O33)=0,0,($F23*'Function Allocators'!J33/SUM('Function Allocators'!$J33:$O33)))</f>
        <v>0</v>
      </c>
      <c r="N23" s="654">
        <f>IF(SUM('Function Allocators'!$J33:$O33)=0,0,($F23*'Function Allocators'!K33/SUM('Function Allocators'!$J33:$O33)))</f>
        <v>0</v>
      </c>
      <c r="O23" s="654">
        <f>IF(SUM('Function Allocators'!$J33:$O33)=0,0,($F23*'Function Allocators'!L33/SUM('Function Allocators'!$J33:$O33)))</f>
        <v>2066.1299503132896</v>
      </c>
      <c r="P23" s="654">
        <f>IF(SUM('Function Allocators'!$J33:$O33)=0,0,($F23*'Function Allocators'!M33/SUM('Function Allocators'!$J33:$O33)))</f>
        <v>0</v>
      </c>
      <c r="Q23" s="654">
        <f>IF(SUM('Function Allocators'!$J33:$O33)=0,0,($F23*'Function Allocators'!N33/SUM('Function Allocators'!$J33:$O33)))</f>
        <v>0</v>
      </c>
      <c r="R23" s="654">
        <f>IF(SUM('Function Allocators'!$J33:$O33)=0,0,($F23*'Function Allocators'!O33/SUM('Function Allocators'!$J33:$O33)))</f>
        <v>0</v>
      </c>
      <c r="T23" s="456" t="s">
        <v>435</v>
      </c>
      <c r="U23" s="52">
        <f t="shared" si="1"/>
        <v>0</v>
      </c>
      <c r="V23" s="361">
        <f>'G-3 COST OF SERVICE'!M18-SUM('Functionalization LARGE'!G23:J23)</f>
        <v>0</v>
      </c>
      <c r="W23" s="361">
        <f>'G-3 COST OF SERVICE'!N18-SUM('Functionalization LARGE'!K23:L23)</f>
        <v>0</v>
      </c>
      <c r="X23" s="361">
        <f>'G-3 COST OF SERVICE'!O18-SUM('Functionalization LARGE'!M23:R23)</f>
        <v>0</v>
      </c>
    </row>
    <row r="24" spans="1:24">
      <c r="A24" s="386">
        <v>385</v>
      </c>
      <c r="B24" s="379" t="s">
        <v>96</v>
      </c>
      <c r="C24" s="653">
        <f t="shared" si="0"/>
        <v>2736981.55</v>
      </c>
      <c r="D24" s="653">
        <f>'G-3 COST OF SERVICE'!M19</f>
        <v>0</v>
      </c>
      <c r="E24" s="653">
        <f>'G-3 COST OF SERVICE'!N19</f>
        <v>0</v>
      </c>
      <c r="F24" s="653">
        <f>'G-3 COST OF SERVICE'!O19</f>
        <v>2736981.55</v>
      </c>
      <c r="G24" s="654">
        <f>IF(SUM('Function Allocators'!$D34:$G34)=0,0,($D24*'Function Allocators'!D34/SUM('Function Allocators'!$D34:$G34)))</f>
        <v>0</v>
      </c>
      <c r="H24" s="654">
        <f>IF(SUM('Function Allocators'!$D34:$G34)=0,0,($D24*'Function Allocators'!E34/SUM('Function Allocators'!$D34:$G34)))</f>
        <v>0</v>
      </c>
      <c r="I24" s="654">
        <f>IF(SUM('Function Allocators'!$D34:$G34)=0,0,($D24*'Function Allocators'!F34/SUM('Function Allocators'!$D34:$G34)))</f>
        <v>0</v>
      </c>
      <c r="J24" s="654">
        <f>IF(SUM('Function Allocators'!$D34:$G34)=0,0,($D24*'Function Allocators'!G34/SUM('Function Allocators'!$D34:$G34)))</f>
        <v>0</v>
      </c>
      <c r="K24" s="654">
        <f>IF(SUM('Function Allocators'!$H34:$I34)=0,0,($E24*'Function Allocators'!H34/SUM('Function Allocators'!$H34:$I34)))</f>
        <v>0</v>
      </c>
      <c r="L24" s="654">
        <f>IF(SUM('Function Allocators'!$H34:$I34)=0,0,($F24*'Function Allocators'!I34/SUM('Function Allocators'!$H34:$I34)))</f>
        <v>0</v>
      </c>
      <c r="M24" s="654">
        <f>IF(SUM('Function Allocators'!$J34:$O34)=0,0,($F24*'Function Allocators'!J34/SUM('Function Allocators'!$J34:$O34)))</f>
        <v>0</v>
      </c>
      <c r="N24" s="654">
        <f>IF(SUM('Function Allocators'!$J34:$O34)=0,0,($F24*'Function Allocators'!K34/SUM('Function Allocators'!$J34:$O34)))</f>
        <v>0</v>
      </c>
      <c r="O24" s="654">
        <f>IF(SUM('Function Allocators'!$J34:$O34)=0,0,($F24*'Function Allocators'!L34/SUM('Function Allocators'!$J34:$O34)))</f>
        <v>2736981.55</v>
      </c>
      <c r="P24" s="654">
        <f>IF(SUM('Function Allocators'!$J34:$O34)=0,0,($F24*'Function Allocators'!M34/SUM('Function Allocators'!$J34:$O34)))</f>
        <v>0</v>
      </c>
      <c r="Q24" s="654">
        <f>IF(SUM('Function Allocators'!$J34:$O34)=0,0,($F24*'Function Allocators'!N34/SUM('Function Allocators'!$J34:$O34)))</f>
        <v>0</v>
      </c>
      <c r="R24" s="654">
        <f>IF(SUM('Function Allocators'!$J34:$O34)=0,0,($F24*'Function Allocators'!O34/SUM('Function Allocators'!$J34:$O34)))</f>
        <v>0</v>
      </c>
      <c r="T24" s="456" t="s">
        <v>462</v>
      </c>
      <c r="U24" s="52">
        <f t="shared" si="1"/>
        <v>0</v>
      </c>
      <c r="V24" s="361">
        <f>'G-3 COST OF SERVICE'!M19-SUM('Functionalization LARGE'!G24:J24)</f>
        <v>0</v>
      </c>
      <c r="W24" s="361">
        <f>'G-3 COST OF SERVICE'!N19-SUM('Functionalization LARGE'!K24:L24)</f>
        <v>0</v>
      </c>
      <c r="X24" s="361">
        <f>'G-3 COST OF SERVICE'!O19-SUM('Functionalization LARGE'!M24:R24)</f>
        <v>0</v>
      </c>
    </row>
    <row r="25" spans="1:24">
      <c r="A25" s="386">
        <v>387</v>
      </c>
      <c r="B25" s="379" t="s">
        <v>98</v>
      </c>
      <c r="C25" s="653">
        <f t="shared" si="0"/>
        <v>443222.34810677252</v>
      </c>
      <c r="D25" s="653">
        <f>'G-3 COST OF SERVICE'!M20</f>
        <v>443222.34810677252</v>
      </c>
      <c r="E25" s="653">
        <f>'G-3 COST OF SERVICE'!N20</f>
        <v>0</v>
      </c>
      <c r="F25" s="653">
        <f>'G-3 COST OF SERVICE'!O20</f>
        <v>0</v>
      </c>
      <c r="G25" s="654">
        <f>IF(SUM('Function Allocators'!$D35:$G35)=0,0,($D25*'Function Allocators'!D35/SUM('Function Allocators'!$D35:$G35)))</f>
        <v>0</v>
      </c>
      <c r="H25" s="654">
        <f>IF(SUM('Function Allocators'!$D35:$G35)=0,0,($D25*'Function Allocators'!E35/SUM('Function Allocators'!$D35:$G35)))</f>
        <v>0</v>
      </c>
      <c r="I25" s="654">
        <f>IF(SUM('Function Allocators'!$D35:$G35)=0,0,($D25*'Function Allocators'!F35/SUM('Function Allocators'!$D35:$G35)))</f>
        <v>0</v>
      </c>
      <c r="J25" s="654">
        <f>IF(SUM('Function Allocators'!$D35:$G35)=0,0,($D25*'Function Allocators'!G35/SUM('Function Allocators'!$D35:$G35)))</f>
        <v>443222.34810677252</v>
      </c>
      <c r="K25" s="654">
        <f>IF(SUM('Function Allocators'!$H35:$I35)=0,0,($E25*'Function Allocators'!H35/SUM('Function Allocators'!$H35:$I35)))</f>
        <v>0</v>
      </c>
      <c r="L25" s="654">
        <f>IF(SUM('Function Allocators'!$H35:$I35)=0,0,($F25*'Function Allocators'!I35/SUM('Function Allocators'!$H35:$I35)))</f>
        <v>0</v>
      </c>
      <c r="M25" s="654">
        <f>IF(SUM('Function Allocators'!$J35:$O35)=0,0,($F25*'Function Allocators'!J35/SUM('Function Allocators'!$J35:$O35)))</f>
        <v>0</v>
      </c>
      <c r="N25" s="654">
        <f>IF(SUM('Function Allocators'!$J35:$O35)=0,0,($F25*'Function Allocators'!K35/SUM('Function Allocators'!$J35:$O35)))</f>
        <v>0</v>
      </c>
      <c r="O25" s="654">
        <f>IF(SUM('Function Allocators'!$J35:$O35)=0,0,($F25*'Function Allocators'!L35/SUM('Function Allocators'!$J35:$O35)))</f>
        <v>0</v>
      </c>
      <c r="P25" s="654">
        <f>IF(SUM('Function Allocators'!$J35:$O35)=0,0,($F25*'Function Allocators'!M35/SUM('Function Allocators'!$J35:$O35)))</f>
        <v>0</v>
      </c>
      <c r="Q25" s="654">
        <f>IF(SUM('Function Allocators'!$J35:$O35)=0,0,($F25*'Function Allocators'!N35/SUM('Function Allocators'!$J35:$O35)))</f>
        <v>0</v>
      </c>
      <c r="R25" s="654">
        <f>IF(SUM('Function Allocators'!$J35:$O35)=0,0,($F25*'Function Allocators'!O35/SUM('Function Allocators'!$J35:$O35)))</f>
        <v>0</v>
      </c>
      <c r="T25" s="360" t="s">
        <v>428</v>
      </c>
      <c r="U25" s="52">
        <f t="shared" si="1"/>
        <v>0</v>
      </c>
      <c r="V25" s="361">
        <f>'G-3 COST OF SERVICE'!M20-SUM('Functionalization LARGE'!G25:J25)</f>
        <v>0</v>
      </c>
      <c r="W25" s="361">
        <f>'G-3 COST OF SERVICE'!N20-SUM('Functionalization LARGE'!K25:L25)</f>
        <v>0</v>
      </c>
      <c r="X25" s="361">
        <f>'G-3 COST OF SERVICE'!O20-SUM('Functionalization LARGE'!M25:R25)</f>
        <v>0</v>
      </c>
    </row>
    <row r="26" spans="1:24">
      <c r="A26" s="374"/>
      <c r="B26" s="377" t="s">
        <v>100</v>
      </c>
      <c r="C26" s="655">
        <f t="shared" ref="C26:R26" si="3">SUM(C14:C25)</f>
        <v>31460357.498134717</v>
      </c>
      <c r="D26" s="655">
        <f t="shared" si="3"/>
        <v>28147256.968275525</v>
      </c>
      <c r="E26" s="655">
        <f t="shared" si="3"/>
        <v>0</v>
      </c>
      <c r="F26" s="655">
        <f t="shared" si="3"/>
        <v>3313100.5298591866</v>
      </c>
      <c r="G26" s="656">
        <f t="shared" si="3"/>
        <v>0</v>
      </c>
      <c r="H26" s="655">
        <f t="shared" si="3"/>
        <v>25473215.956880845</v>
      </c>
      <c r="I26" s="655">
        <f t="shared" si="3"/>
        <v>2094323.7103927357</v>
      </c>
      <c r="J26" s="655">
        <f t="shared" si="3"/>
        <v>579717.30100194423</v>
      </c>
      <c r="K26" s="655">
        <f t="shared" si="3"/>
        <v>0</v>
      </c>
      <c r="L26" s="655">
        <f t="shared" si="3"/>
        <v>0</v>
      </c>
      <c r="M26" s="655">
        <f t="shared" si="3"/>
        <v>217242.80470667151</v>
      </c>
      <c r="N26" s="655">
        <f t="shared" si="3"/>
        <v>323633.06825099332</v>
      </c>
      <c r="O26" s="655">
        <f t="shared" si="3"/>
        <v>2772224.6569015221</v>
      </c>
      <c r="P26" s="655">
        <f t="shared" si="3"/>
        <v>0</v>
      </c>
      <c r="Q26" s="655">
        <f t="shared" si="3"/>
        <v>0</v>
      </c>
      <c r="R26" s="655">
        <f t="shared" si="3"/>
        <v>0</v>
      </c>
      <c r="T26" s="456"/>
      <c r="V26" s="361">
        <f>'G-3 COST OF SERVICE'!M21-SUM('Functionalization LARGE'!G26:J26)</f>
        <v>0</v>
      </c>
      <c r="W26" s="361">
        <f>'G-3 COST OF SERVICE'!N21-SUM('Functionalization LARGE'!K26:L26)</f>
        <v>0</v>
      </c>
      <c r="X26" s="361">
        <f>'G-3 COST OF SERVICE'!O21-SUM('Functionalization LARGE'!M26:R26)</f>
        <v>0</v>
      </c>
    </row>
    <row r="27" spans="1:24">
      <c r="A27" s="374"/>
      <c r="B27" s="377"/>
      <c r="C27" s="653"/>
      <c r="D27" s="653"/>
      <c r="E27" s="653"/>
      <c r="F27" s="653"/>
      <c r="G27" s="664"/>
      <c r="H27" s="653"/>
      <c r="I27" s="653"/>
      <c r="J27" s="653"/>
      <c r="K27" s="653"/>
      <c r="L27" s="653"/>
      <c r="M27" s="653"/>
      <c r="N27" s="653"/>
      <c r="O27" s="653"/>
      <c r="P27" s="653"/>
      <c r="Q27" s="653"/>
      <c r="R27" s="653"/>
      <c r="T27" s="456"/>
      <c r="V27" s="361"/>
      <c r="W27" s="361"/>
      <c r="X27" s="361"/>
    </row>
    <row r="28" spans="1:24">
      <c r="A28" s="390" t="s">
        <v>463</v>
      </c>
      <c r="B28" s="379" t="s">
        <v>208</v>
      </c>
      <c r="C28" s="654">
        <f>SUM(G28:R28)</f>
        <v>4459169.2316917991</v>
      </c>
      <c r="D28" s="654">
        <f>'G-3 COST OF SERVICE'!M23</f>
        <v>4043343.6502395575</v>
      </c>
      <c r="E28" s="654">
        <f>'G-3 COST OF SERVICE'!N23</f>
        <v>0</v>
      </c>
      <c r="F28" s="654">
        <f>'G-3 COST OF SERVICE'!O23</f>
        <v>415825.58145224163</v>
      </c>
      <c r="G28" s="654">
        <f>IF(SUM('Function Allocators'!$D39:$G39)=0,0,($D28*'Function Allocators'!D39/SUM('Function Allocators'!$D$39:$G$39)))</f>
        <v>0</v>
      </c>
      <c r="H28" s="654">
        <f>IF(SUM('Function Allocators'!$D39:$G39)=0,0,($D28*'Function Allocators'!E39/SUM('Function Allocators'!$D$39:$G$39)))</f>
        <v>3707726.1075875713</v>
      </c>
      <c r="I28" s="654">
        <f>IF(SUM('Function Allocators'!$D39:$G39)=0,0,($D28*'Function Allocators'!F39/SUM('Function Allocators'!$D$39:$G$39)))</f>
        <v>262857.5157241876</v>
      </c>
      <c r="J28" s="654">
        <f>IF(SUM('Function Allocators'!$D39:$G39)=0,0,($D28*'Function Allocators'!G39/SUM('Function Allocators'!$D$39:$G$39)))</f>
        <v>72760.026927798419</v>
      </c>
      <c r="K28" s="654">
        <f>IF(SUM('Function Allocators'!$H39:$I39)=0,0,($E28*'Function Allocators'!H39/SUM('Function Allocators'!$H39:$I39)))</f>
        <v>0</v>
      </c>
      <c r="L28" s="654">
        <f>IF(SUM('Function Allocators'!$H39:$I39)=0,0,($E28*'Function Allocators'!I39/SUM('Function Allocators'!$H39:$I39)))</f>
        <v>0</v>
      </c>
      <c r="M28" s="654">
        <f>IF(SUM('Function Allocators'!$J39:$O39)=0,0,($F28*'Function Allocators'!J39/SUM('Function Allocators'!$J39:$O39)))</f>
        <v>337082.15725538932</v>
      </c>
      <c r="N28" s="654">
        <f>IF(SUM('Function Allocators'!$J39:$O39)=0,0,($F28*'Function Allocators'!K39/SUM('Function Allocators'!$J39:$O39)))</f>
        <v>64901.751911956591</v>
      </c>
      <c r="O28" s="654">
        <f>IF(SUM('Function Allocators'!$J39:$O39)=0,0,($F28*'Function Allocators'!L39/SUM('Function Allocators'!$J39:$O39)))</f>
        <v>13841.67228489576</v>
      </c>
      <c r="P28" s="654">
        <f>IF(SUM('Function Allocators'!$J39:$O39)=0,0,($F28*'Function Allocators'!M39/SUM('Function Allocators'!$J39:$O39)))</f>
        <v>0</v>
      </c>
      <c r="Q28" s="654">
        <f>IF(SUM('Function Allocators'!$J39:$O39)=0,0,($F28*'Function Allocators'!N39/SUM('Function Allocators'!$J39:$O39)))</f>
        <v>0</v>
      </c>
      <c r="R28" s="654">
        <f>IF(SUM('Function Allocators'!$J39:$O39)=0,0,($F28*'Function Allocators'!O39/SUM('Function Allocators'!$J39:$O39)))</f>
        <v>0</v>
      </c>
      <c r="S28" s="654"/>
      <c r="T28" s="456" t="s">
        <v>426</v>
      </c>
      <c r="U28" s="52">
        <f>C28-SUM(D28:F28)</f>
        <v>0</v>
      </c>
      <c r="V28" s="361">
        <f>'G-3 COST OF SERVICE'!M23-SUM('Functionalization LARGE'!G28:J28)</f>
        <v>0</v>
      </c>
      <c r="W28" s="361">
        <f>'G-3 COST OF SERVICE'!N23-SUM('Functionalization LARGE'!K28:L28)</f>
        <v>0</v>
      </c>
      <c r="X28" s="361">
        <f>'G-3 COST OF SERVICE'!O23-SUM('Functionalization LARGE'!M28:R28)</f>
        <v>0</v>
      </c>
    </row>
    <row r="29" spans="1:24">
      <c r="A29" s="382"/>
      <c r="B29" s="407"/>
      <c r="C29" s="460"/>
      <c r="D29" s="460"/>
      <c r="E29" s="460"/>
      <c r="F29" s="460"/>
      <c r="G29" s="456"/>
      <c r="H29" s="456"/>
      <c r="I29" s="456"/>
      <c r="J29" s="456"/>
      <c r="K29" s="456"/>
      <c r="L29" s="456"/>
      <c r="M29" s="456"/>
      <c r="N29" s="456"/>
      <c r="O29" s="456"/>
      <c r="P29" s="456"/>
      <c r="Q29" s="456"/>
      <c r="R29" s="456"/>
      <c r="T29" s="456"/>
      <c r="V29" s="361"/>
      <c r="W29" s="361"/>
      <c r="X29" s="361"/>
    </row>
    <row r="30" spans="1:24">
      <c r="A30" s="382"/>
      <c r="B30" s="407" t="s">
        <v>465</v>
      </c>
      <c r="C30" s="653">
        <f>SUM(G30:R30)</f>
        <v>40109321.497033417</v>
      </c>
      <c r="D30" s="654">
        <f>'G-3 COST OF SERVICE'!M27</f>
        <v>36369055</v>
      </c>
      <c r="E30" s="654">
        <f>'G-3 COST OF SERVICE'!N27</f>
        <v>0</v>
      </c>
      <c r="F30" s="654">
        <f>'G-3 COST OF SERVICE'!O27</f>
        <v>3740267</v>
      </c>
      <c r="G30" s="456">
        <f t="shared" ref="G30:R30" si="4">+G10+G11+G26+G28</f>
        <v>0</v>
      </c>
      <c r="H30" s="456">
        <f t="shared" si="4"/>
        <v>33350243.228098407</v>
      </c>
      <c r="I30" s="456">
        <f t="shared" si="4"/>
        <v>2364349.9625810231</v>
      </c>
      <c r="J30" s="456">
        <f t="shared" si="4"/>
        <v>654461.6632709984</v>
      </c>
      <c r="K30" s="456">
        <f t="shared" si="4"/>
        <v>0</v>
      </c>
      <c r="L30" s="456">
        <f t="shared" si="4"/>
        <v>0</v>
      </c>
      <c r="M30" s="456">
        <f t="shared" si="4"/>
        <v>563517.97721770871</v>
      </c>
      <c r="N30" s="456">
        <f t="shared" si="4"/>
        <v>390304.84204812744</v>
      </c>
      <c r="O30" s="456">
        <f t="shared" si="4"/>
        <v>2786443.8238171474</v>
      </c>
      <c r="P30" s="456">
        <f t="shared" si="4"/>
        <v>0</v>
      </c>
      <c r="Q30" s="456">
        <f t="shared" si="4"/>
        <v>0</v>
      </c>
      <c r="R30" s="456">
        <f t="shared" si="4"/>
        <v>0</v>
      </c>
      <c r="T30" s="456"/>
      <c r="U30" s="52">
        <f>C30-SUM(D30:F30)</f>
        <v>-0.50296658277511597</v>
      </c>
      <c r="V30" s="361">
        <f>'G-3 COST OF SERVICE'!M27-SUM('Functionalization LARGE'!G30:J30)</f>
        <v>0.14604957401752472</v>
      </c>
      <c r="W30" s="361">
        <f>'G-3 COST OF SERVICE'!N27-SUM('Functionalization LARGE'!K30:L30)</f>
        <v>0</v>
      </c>
      <c r="X30" s="361">
        <f>'G-3 COST OF SERVICE'!O27-SUM('Functionalization LARGE'!M30:R30)</f>
        <v>0.35691701620817184</v>
      </c>
    </row>
    <row r="31" spans="1:24">
      <c r="A31" s="382"/>
      <c r="B31" s="407"/>
      <c r="C31" s="460"/>
      <c r="D31" s="460"/>
      <c r="E31" s="460"/>
      <c r="F31" s="460"/>
      <c r="G31" s="456"/>
      <c r="H31" s="456"/>
      <c r="I31" s="456"/>
      <c r="J31" s="456"/>
      <c r="K31" s="456"/>
      <c r="L31" s="456"/>
      <c r="M31" s="456"/>
      <c r="N31" s="456"/>
      <c r="O31" s="456"/>
      <c r="P31" s="456"/>
      <c r="Q31" s="456"/>
      <c r="R31" s="456"/>
      <c r="T31" s="456"/>
      <c r="V31" s="361"/>
      <c r="W31" s="361"/>
      <c r="X31" s="361"/>
    </row>
    <row r="32" spans="1:24">
      <c r="A32" s="382"/>
      <c r="B32" s="790" t="s">
        <v>105</v>
      </c>
      <c r="C32" s="790"/>
      <c r="D32" s="406"/>
      <c r="E32" s="406"/>
      <c r="F32" s="406"/>
      <c r="G32" s="456"/>
      <c r="H32" s="456"/>
      <c r="I32" s="456"/>
      <c r="J32" s="456"/>
      <c r="K32" s="456"/>
      <c r="L32" s="456"/>
      <c r="M32" s="456"/>
      <c r="N32" s="456"/>
      <c r="O32" s="456"/>
      <c r="P32" s="456"/>
      <c r="Q32" s="456"/>
      <c r="R32" s="456"/>
      <c r="T32" s="456"/>
      <c r="U32" s="52">
        <f>C32-SUM(D32:F32)</f>
        <v>0</v>
      </c>
      <c r="V32" s="361"/>
      <c r="W32" s="361"/>
      <c r="X32" s="361"/>
    </row>
    <row r="33" spans="1:24">
      <c r="A33" s="390" t="s">
        <v>74</v>
      </c>
      <c r="B33" s="379" t="s">
        <v>255</v>
      </c>
      <c r="C33" s="654">
        <f>SUM(G33:R33)</f>
        <v>25621.77350002198</v>
      </c>
      <c r="D33" s="654">
        <f>'G-3 COST OF SERVICE'!M31</f>
        <v>23232.496863521214</v>
      </c>
      <c r="E33" s="654">
        <f>'G-3 COST OF SERVICE'!N31</f>
        <v>0</v>
      </c>
      <c r="F33" s="654">
        <f>'G-3 COST OF SERVICE'!O31</f>
        <v>2389.2766365007637</v>
      </c>
      <c r="G33" s="456">
        <f>IF(SUM('Function Allocators'!$D54:$G54)=0,0,($D33*'Function Allocators'!D54/SUM('Function Allocators'!$D$54:$G$54)))</f>
        <v>0</v>
      </c>
      <c r="H33" s="456">
        <f>IF(SUM('Function Allocators'!$D54:$G54)=0,0,($D33*'Function Allocators'!E54/SUM('Function Allocators'!$D$54:$G$54)))</f>
        <v>21304.084593507261</v>
      </c>
      <c r="I33" s="456">
        <f>IF(SUM('Function Allocators'!$D54:$G54)=0,0,($D33*'Function Allocators'!F54/SUM('Function Allocators'!$D$54:$G$54)))</f>
        <v>1510.3431560296274</v>
      </c>
      <c r="J33" s="456">
        <f>IF(SUM('Function Allocators'!$D54:$G54)=0,0,($D33*'Function Allocators'!G54/SUM('Function Allocators'!$D$54:$G$54)))</f>
        <v>418.06911398432442</v>
      </c>
      <c r="K33" s="456">
        <f>IF(SUM('Function Allocators'!$H54:$I54)=0,0,($E33*'Function Allocators'!H54/SUM('Function Allocators'!$H54:$I54)))</f>
        <v>0</v>
      </c>
      <c r="L33" s="456">
        <f>IF(SUM('Function Allocators'!$H54:$I54)=0,0,($E33*'Function Allocators'!I54/SUM('Function Allocators'!$H54:$I54)))</f>
        <v>0</v>
      </c>
      <c r="M33" s="456">
        <f>IF(SUM('Function Allocators'!$J54:$O54)=0,0,($F33*'Function Allocators'!J54/SUM('Function Allocators'!$J54:$O54)))</f>
        <v>1936.8277442163042</v>
      </c>
      <c r="N33" s="456">
        <f>IF(SUM('Function Allocators'!$J54:$O54)=0,0,($F33*'Function Allocators'!K54/SUM('Function Allocators'!$J54:$O54)))</f>
        <v>372.91654584992517</v>
      </c>
      <c r="O33" s="456">
        <f>IF(SUM('Function Allocators'!$J54:$O54)=0,0,($F33*'Function Allocators'!L54/SUM('Function Allocators'!$J54:$O54)))</f>
        <v>79.532346434534887</v>
      </c>
      <c r="P33" s="456">
        <f>IF(SUM('Function Allocators'!$J54:$O54)=0,0,($F33*'Function Allocators'!M54/SUM('Function Allocators'!$J54:$O54)))</f>
        <v>0</v>
      </c>
      <c r="Q33" s="456">
        <f>IF(SUM('Function Allocators'!$J54:$O54)=0,0,($F33*'Function Allocators'!N54/SUM('Function Allocators'!$J54:$O54)))</f>
        <v>0</v>
      </c>
      <c r="R33" s="456">
        <f>IF(SUM('Function Allocators'!$J54:$O54)=0,0,($F33*'Function Allocators'!O54/SUM('Function Allocators'!$J54:$O54)))</f>
        <v>0</v>
      </c>
      <c r="T33" s="456"/>
      <c r="V33" s="361">
        <f>'G-3 COST OF SERVICE'!M31-SUM('Functionalization LARGE'!G33:J33)</f>
        <v>0</v>
      </c>
      <c r="W33" s="361">
        <f>'G-3 COST OF SERVICE'!N31-SUM('Functionalization LARGE'!K33:L33)</f>
        <v>0</v>
      </c>
      <c r="X33" s="361">
        <f>'G-3 COST OF SERVICE'!O31-SUM('Functionalization LARGE'!M33:R33)</f>
        <v>0</v>
      </c>
    </row>
    <row r="34" spans="1:24">
      <c r="A34" s="390" t="s">
        <v>77</v>
      </c>
      <c r="B34" s="379" t="s">
        <v>258</v>
      </c>
      <c r="C34" s="654">
        <f>SUM(G34:R34)</f>
        <v>2097729.490954407</v>
      </c>
      <c r="D34" s="654">
        <f>'G-3 COST OF SERVICE'!M33</f>
        <v>2097729.490954407</v>
      </c>
      <c r="E34" s="654">
        <f>'G-3 COST OF SERVICE'!N33</f>
        <v>0</v>
      </c>
      <c r="F34" s="654">
        <f>'G-3 COST OF SERVICE'!O33</f>
        <v>0</v>
      </c>
      <c r="G34" s="456">
        <f>IF(SUM('Function Allocators'!$D59:$G59)=0,0,($D34*'Function Allocators'!D59/SUM('Function Allocators'!$D$59:$G$59)))</f>
        <v>0</v>
      </c>
      <c r="H34" s="456">
        <f>IF(SUM('Function Allocators'!$D59:$G59)=0,0,($D34*'Function Allocators'!E59/SUM('Function Allocators'!$D$59:$G$59)))</f>
        <v>2097729.490954407</v>
      </c>
      <c r="I34" s="456">
        <f>IF(SUM('Function Allocators'!$D59:$G59)=0,0,($D34*'Function Allocators'!F59/SUM('Function Allocators'!$D$59:$G$59)))</f>
        <v>0</v>
      </c>
      <c r="J34" s="456">
        <f>IF(SUM('Function Allocators'!$D59:$G59)=0,0,($D34*'Function Allocators'!G59/SUM('Function Allocators'!$D$59:$G$59)))</f>
        <v>0</v>
      </c>
      <c r="K34" s="456">
        <f>IF(SUM('Function Allocators'!$H59:$I59)=0,0,($E34*'Function Allocators'!H59/SUM('Function Allocators'!$H59:$I59)))</f>
        <v>0</v>
      </c>
      <c r="L34" s="456">
        <f>IF(SUM('Function Allocators'!$H59:$I59)=0,0,($E34*'Function Allocators'!I59/SUM('Function Allocators'!$H59:$I59)))</f>
        <v>0</v>
      </c>
      <c r="M34" s="456">
        <f>IF(SUM('Function Allocators'!$J59:$O59)=0,0,($F34*'Function Allocators'!J59/SUM('Function Allocators'!$J59:$O59)))</f>
        <v>0</v>
      </c>
      <c r="N34" s="456">
        <f>IF(SUM('Function Allocators'!$J59:$O59)=0,0,($F34*'Function Allocators'!K59/SUM('Function Allocators'!$J59:$O59)))</f>
        <v>0</v>
      </c>
      <c r="O34" s="456">
        <f>IF(SUM('Function Allocators'!$J59:$O59)=0,0,($F34*'Function Allocators'!L59/SUM('Function Allocators'!$J59:$O59)))</f>
        <v>0</v>
      </c>
      <c r="P34" s="456">
        <f>IF(SUM('Function Allocators'!$J59:$O59)=0,0,($F34*'Function Allocators'!M59/SUM('Function Allocators'!$J59:$O59)))</f>
        <v>0</v>
      </c>
      <c r="Q34" s="456">
        <f>IF(SUM('Function Allocators'!$J59:$O59)=0,0,($F34*'Function Allocators'!N59/SUM('Function Allocators'!$J59:$O59)))</f>
        <v>0</v>
      </c>
      <c r="R34" s="456">
        <f>IF(SUM('Function Allocators'!$J59:$O59)=0,0,($F34*'Function Allocators'!O59/SUM('Function Allocators'!$J59:$O59)))</f>
        <v>0</v>
      </c>
      <c r="T34" s="456"/>
      <c r="V34" s="361">
        <f>'G-3 COST OF SERVICE'!M33-SUM('Functionalization LARGE'!G34:J34)</f>
        <v>0</v>
      </c>
      <c r="W34" s="361">
        <f>'G-3 COST OF SERVICE'!N33-SUM('Functionalization LARGE'!K34:L34)</f>
        <v>0</v>
      </c>
      <c r="X34" s="361">
        <f>'G-3 COST OF SERVICE'!O33-SUM('Functionalization LARGE'!M34:R34)</f>
        <v>0</v>
      </c>
    </row>
    <row r="35" spans="1:24">
      <c r="A35" s="440"/>
      <c r="C35" s="641"/>
      <c r="D35" s="641" t="s">
        <v>466</v>
      </c>
      <c r="E35" s="641"/>
      <c r="F35" s="641"/>
      <c r="G35" s="654"/>
      <c r="H35" s="653"/>
      <c r="I35" s="653"/>
      <c r="J35" s="653"/>
      <c r="K35" s="653"/>
      <c r="L35" s="653"/>
      <c r="M35" s="653"/>
      <c r="N35" s="653"/>
      <c r="O35" s="653"/>
      <c r="P35" s="653"/>
      <c r="Q35" s="653"/>
      <c r="R35" s="653"/>
      <c r="T35" s="456"/>
      <c r="U35" s="52">
        <f>C35-SUM(D35:F35)</f>
        <v>0</v>
      </c>
      <c r="V35" s="361"/>
      <c r="W35" s="361"/>
      <c r="X35" s="361"/>
    </row>
    <row r="36" spans="1:24">
      <c r="A36" s="374"/>
      <c r="B36" s="377" t="s">
        <v>260</v>
      </c>
      <c r="C36" s="640"/>
      <c r="D36" s="640"/>
      <c r="E36" s="640"/>
      <c r="F36" s="640"/>
      <c r="G36" s="654"/>
      <c r="H36" s="653"/>
      <c r="I36" s="653"/>
      <c r="J36" s="653"/>
      <c r="K36" s="653"/>
      <c r="L36" s="653"/>
      <c r="M36" s="653"/>
      <c r="N36" s="653"/>
      <c r="O36" s="653"/>
      <c r="P36" s="653"/>
      <c r="Q36" s="653"/>
      <c r="R36" s="653"/>
      <c r="T36" s="456"/>
      <c r="U36" s="52">
        <f>C36-SUM(D36:F36)</f>
        <v>0</v>
      </c>
      <c r="V36" s="361"/>
      <c r="W36" s="361"/>
      <c r="X36" s="361"/>
    </row>
    <row r="37" spans="1:24">
      <c r="A37" s="386">
        <v>374.1</v>
      </c>
      <c r="B37" s="379" t="s">
        <v>81</v>
      </c>
      <c r="C37" s="653">
        <f t="shared" ref="C37:C48" si="5">SUM(G37:R37)</f>
        <v>-19989.990906946499</v>
      </c>
      <c r="D37" s="653">
        <f>'G-3 COST OF SERVICE'!M36</f>
        <v>-19989.990906946499</v>
      </c>
      <c r="E37" s="653">
        <f>'G-3 COST OF SERVICE'!N36</f>
        <v>0</v>
      </c>
      <c r="F37" s="653">
        <f>'G-3 COST OF SERVICE'!O36</f>
        <v>0</v>
      </c>
      <c r="G37" s="654">
        <f>IF(SUM('Function Allocators'!$D67:$G67)=0,0,($D37*'Function Allocators'!D67/SUM('Function Allocators'!$D67:$G67)))</f>
        <v>0</v>
      </c>
      <c r="H37" s="654">
        <f>IF(SUM('Function Allocators'!$D67:$G67)=0,0,($D37*'Function Allocators'!E67/SUM('Function Allocators'!$D67:$G67)))</f>
        <v>0</v>
      </c>
      <c r="I37" s="654">
        <f>IF(SUM('Function Allocators'!$D67:$G67)=0,0,($D37*'Function Allocators'!F67/SUM('Function Allocators'!$D67:$G67)))</f>
        <v>0</v>
      </c>
      <c r="J37" s="654">
        <f>IF(SUM('Function Allocators'!$D67:$G67)=0,0,($D37*'Function Allocators'!G67/SUM('Function Allocators'!$D67:$G67)))</f>
        <v>-19989.990906946499</v>
      </c>
      <c r="K37" s="653">
        <f>IF(SUM('Function Allocators'!$H67:$I67)=0,0,($E37*'Function Allocators'!H67/SUM('Function Allocators'!$H67:$I67)))</f>
        <v>0</v>
      </c>
      <c r="L37" s="653">
        <f>IF(SUM('Function Allocators'!$H67:$I67)=0,0,($E37*'Function Allocators'!I67/SUM('Function Allocators'!$H67:$I67)))</f>
        <v>0</v>
      </c>
      <c r="M37" s="653">
        <f>IF(SUM('Function Allocators'!$J67:$O67)=0,0,($F37*'Function Allocators'!J67/SUM('Function Allocators'!$J67:$O67)))</f>
        <v>0</v>
      </c>
      <c r="N37" s="653">
        <f>IF(SUM('Function Allocators'!$J67:$O67)=0,0,($F37*'Function Allocators'!K67/SUM('Function Allocators'!$J67:$O67)))</f>
        <v>0</v>
      </c>
      <c r="O37" s="653">
        <f>IF(SUM('Function Allocators'!$J67:$O67)=0,0,($F37*'Function Allocators'!L67/SUM('Function Allocators'!$J67:$O67)))</f>
        <v>0</v>
      </c>
      <c r="P37" s="653">
        <f>IF(SUM('Function Allocators'!$J67:$O67)=0,0,($F37*'Function Allocators'!M67/SUM('Function Allocators'!$J67:$O67)))</f>
        <v>0</v>
      </c>
      <c r="Q37" s="653">
        <f>IF(SUM('Function Allocators'!$J67:$O67)=0,0,($F37*'Function Allocators'!N67/SUM('Function Allocators'!$J67:$O67)))</f>
        <v>0</v>
      </c>
      <c r="R37" s="653">
        <f>IF(SUM('Function Allocators'!$J67:$O67)=0,0,($F37*'Function Allocators'!O67/SUM('Function Allocators'!$J67:$O67)))</f>
        <v>0</v>
      </c>
      <c r="T37" s="360" t="s">
        <v>428</v>
      </c>
      <c r="V37" s="361">
        <f>'G-3 COST OF SERVICE'!M36-SUM('Functionalization LARGE'!G37:J37)</f>
        <v>0</v>
      </c>
      <c r="W37" s="361">
        <f>'G-3 COST OF SERVICE'!N36-SUM('Functionalization LARGE'!K37:L37)</f>
        <v>0</v>
      </c>
      <c r="X37" s="361">
        <f>'G-3 COST OF SERVICE'!O36-SUM('Functionalization LARGE'!M37:R37)</f>
        <v>0</v>
      </c>
    </row>
    <row r="38" spans="1:24">
      <c r="A38" s="386">
        <f>+A37+1</f>
        <v>375.1</v>
      </c>
      <c r="B38" s="379" t="s">
        <v>82</v>
      </c>
      <c r="C38" s="653">
        <f t="shared" si="5"/>
        <v>4892.3037178776613</v>
      </c>
      <c r="D38" s="653">
        <f>'G-3 COST OF SERVICE'!M37</f>
        <v>4892.3037178776613</v>
      </c>
      <c r="E38" s="653">
        <f>'G-3 COST OF SERVICE'!N37</f>
        <v>0</v>
      </c>
      <c r="F38" s="653">
        <f>'G-3 COST OF SERVICE'!O37</f>
        <v>0</v>
      </c>
      <c r="G38" s="654">
        <f>IF(SUM('Function Allocators'!$D68:$G68)=0,0,($D38*'Function Allocators'!D68/SUM('Function Allocators'!$D68:$G68)))</f>
        <v>0</v>
      </c>
      <c r="H38" s="654">
        <f>IF(SUM('Function Allocators'!$D68:$G68)=0,0,($D38*'Function Allocators'!E68/SUM('Function Allocators'!$D68:$G68)))</f>
        <v>0</v>
      </c>
      <c r="I38" s="654">
        <f>IF(SUM('Function Allocators'!$D68:$G68)=0,0,($D38*'Function Allocators'!F68/SUM('Function Allocators'!$D68:$G68)))</f>
        <v>0</v>
      </c>
      <c r="J38" s="654">
        <f>IF(SUM('Function Allocators'!$D68:$G68)=0,0,($D38*'Function Allocators'!G68/SUM('Function Allocators'!$D68:$G68)))</f>
        <v>4892.3037178776613</v>
      </c>
      <c r="K38" s="653">
        <f>IF(SUM('Function Allocators'!$H68:$I68)=0,0,($E38*'Function Allocators'!H68/SUM('Function Allocators'!$H68:$I68)))</f>
        <v>0</v>
      </c>
      <c r="L38" s="653">
        <f>IF(SUM('Function Allocators'!$H68:$I68)=0,0,($E38*'Function Allocators'!I68/SUM('Function Allocators'!$H68:$I68)))</f>
        <v>0</v>
      </c>
      <c r="M38" s="653">
        <f>IF(SUM('Function Allocators'!$J68:$O68)=0,0,($F38*'Function Allocators'!J68/SUM('Function Allocators'!$J68:$O68)))</f>
        <v>0</v>
      </c>
      <c r="N38" s="653">
        <f>IF(SUM('Function Allocators'!$J68:$O68)=0,0,($F38*'Function Allocators'!K68/SUM('Function Allocators'!$J68:$O68)))</f>
        <v>0</v>
      </c>
      <c r="O38" s="653">
        <f>IF(SUM('Function Allocators'!$J68:$O68)=0,0,($F38*'Function Allocators'!L68/SUM('Function Allocators'!$J68:$O68)))</f>
        <v>0</v>
      </c>
      <c r="P38" s="653">
        <f>IF(SUM('Function Allocators'!$J68:$O68)=0,0,($F38*'Function Allocators'!M68/SUM('Function Allocators'!$J68:$O68)))</f>
        <v>0</v>
      </c>
      <c r="Q38" s="653">
        <f>IF(SUM('Function Allocators'!$J68:$O68)=0,0,($F38*'Function Allocators'!N68/SUM('Function Allocators'!$J68:$O68)))</f>
        <v>0</v>
      </c>
      <c r="R38" s="653">
        <f>IF(SUM('Function Allocators'!$J68:$O68)=0,0,($F38*'Function Allocators'!O68/SUM('Function Allocators'!$J68:$O68)))</f>
        <v>0</v>
      </c>
      <c r="T38" s="360" t="s">
        <v>428</v>
      </c>
      <c r="V38" s="361">
        <f>'G-3 COST OF SERVICE'!M37-SUM('Functionalization LARGE'!G38:J38)</f>
        <v>0</v>
      </c>
      <c r="W38" s="361">
        <f>'G-3 COST OF SERVICE'!N37-SUM('Functionalization LARGE'!K38:L38)</f>
        <v>0</v>
      </c>
      <c r="X38" s="361">
        <f>'G-3 COST OF SERVICE'!O37-SUM('Functionalization LARGE'!M38:R38)</f>
        <v>0</v>
      </c>
    </row>
    <row r="39" spans="1:24">
      <c r="A39" s="386">
        <f>+A38+1</f>
        <v>376.1</v>
      </c>
      <c r="B39" s="379" t="s">
        <v>83</v>
      </c>
      <c r="C39" s="653">
        <f t="shared" si="5"/>
        <v>10708148.789607927</v>
      </c>
      <c r="D39" s="653">
        <f>'G-3 COST OF SERVICE'!M38</f>
        <v>10684202.055173427</v>
      </c>
      <c r="E39" s="653">
        <f>'G-3 COST OF SERVICE'!N38</f>
        <v>0</v>
      </c>
      <c r="F39" s="653">
        <f>'G-3 COST OF SERVICE'!O38</f>
        <v>23946.734434502385</v>
      </c>
      <c r="G39" s="654">
        <f>IF(SUM('Function Allocators'!$D69:$G69)=0,0,($D39*'Function Allocators'!D69/SUM('Function Allocators'!$D69:$G69)))</f>
        <v>0</v>
      </c>
      <c r="H39" s="654">
        <f>IF(SUM('Function Allocators'!$D69:$G69)=0,0,($D39*'Function Allocators'!E69/SUM('Function Allocators'!$D69:$G69)))</f>
        <v>10684202.055173425</v>
      </c>
      <c r="I39" s="654">
        <f>IF(SUM('Function Allocators'!$D69:$G69)=0,0,($D39*'Function Allocators'!F69/SUM('Function Allocators'!$D69:$G69)))</f>
        <v>0</v>
      </c>
      <c r="J39" s="654">
        <f>IF(SUM('Function Allocators'!$D69:$G69)=0,0,($D39*'Function Allocators'!G69/SUM('Function Allocators'!$D69:$G69)))</f>
        <v>0</v>
      </c>
      <c r="K39" s="653">
        <f>IF(SUM('Function Allocators'!$H69:$I69)=0,0,($E39*'Function Allocators'!H69/SUM('Function Allocators'!$H69:$I69)))</f>
        <v>0</v>
      </c>
      <c r="L39" s="653">
        <f>IF(SUM('Function Allocators'!$H69:$I69)=0,0,($E39*'Function Allocators'!I69/SUM('Function Allocators'!$H69:$I69)))</f>
        <v>0</v>
      </c>
      <c r="M39" s="653">
        <f>IF(SUM('Function Allocators'!$J69:$O69)=0,0,($F39*'Function Allocators'!J69/SUM('Function Allocators'!$J69:$O69)))</f>
        <v>23946.734434502385</v>
      </c>
      <c r="N39" s="653">
        <f>IF(SUM('Function Allocators'!$J69:$O69)=0,0,($F39*'Function Allocators'!K69/SUM('Function Allocators'!$J69:$O69)))</f>
        <v>0</v>
      </c>
      <c r="O39" s="653">
        <f>IF(SUM('Function Allocators'!$J69:$O69)=0,0,($F39*'Function Allocators'!L69/SUM('Function Allocators'!$J69:$O69)))</f>
        <v>0</v>
      </c>
      <c r="P39" s="653">
        <f>IF(SUM('Function Allocators'!$J69:$O69)=0,0,($F39*'Function Allocators'!M69/SUM('Function Allocators'!$J69:$O69)))</f>
        <v>0</v>
      </c>
      <c r="Q39" s="653">
        <f>IF(SUM('Function Allocators'!$J69:$O69)=0,0,($F39*'Function Allocators'!N69/SUM('Function Allocators'!$J69:$O69)))</f>
        <v>0</v>
      </c>
      <c r="R39" s="653">
        <f>IF(SUM('Function Allocators'!$J69:$O69)=0,0,($F39*'Function Allocators'!O69/SUM('Function Allocators'!$J69:$O69)))</f>
        <v>0</v>
      </c>
      <c r="T39" s="456"/>
      <c r="U39" s="52">
        <f t="shared" ref="U39:U51" si="6">C39-SUM(D39:F39)</f>
        <v>0</v>
      </c>
      <c r="V39" s="361">
        <f>'G-3 COST OF SERVICE'!M38-SUM('Functionalization LARGE'!G39:J39)</f>
        <v>0</v>
      </c>
      <c r="W39" s="361">
        <f>'G-3 COST OF SERVICE'!N38-SUM('Functionalization LARGE'!K39:L39)</f>
        <v>0</v>
      </c>
      <c r="X39" s="361">
        <f>'G-3 COST OF SERVICE'!O38-SUM('Functionalization LARGE'!M39:R39)</f>
        <v>0</v>
      </c>
    </row>
    <row r="40" spans="1:24">
      <c r="A40" s="386">
        <v>378</v>
      </c>
      <c r="B40" s="379" t="s">
        <v>84</v>
      </c>
      <c r="C40" s="653">
        <f t="shared" si="5"/>
        <v>494499.25628156442</v>
      </c>
      <c r="D40" s="653">
        <f>'G-3 COST OF SERVICE'!M39</f>
        <v>494499.25628156442</v>
      </c>
      <c r="E40" s="653">
        <f>'G-3 COST OF SERVICE'!N39</f>
        <v>0</v>
      </c>
      <c r="F40" s="653">
        <f>'G-3 COST OF SERVICE'!O39</f>
        <v>0</v>
      </c>
      <c r="G40" s="654">
        <f>IF(SUM('Function Allocators'!$D70:$G70)=0,0,($D40*'Function Allocators'!D70/SUM('Function Allocators'!$D70:$G70)))</f>
        <v>0</v>
      </c>
      <c r="H40" s="654">
        <f>IF(SUM('Function Allocators'!$D70:$G70)=0,0,($D40*'Function Allocators'!E70/SUM('Function Allocators'!$D70:$G70)))</f>
        <v>0</v>
      </c>
      <c r="I40" s="654">
        <f>IF(SUM('Function Allocators'!$D70:$G70)=0,0,($D40*'Function Allocators'!F70/SUM('Function Allocators'!$D70:$G70)))</f>
        <v>494499.25628156442</v>
      </c>
      <c r="J40" s="654">
        <f>IF(SUM('Function Allocators'!$D70:$G70)=0,0,($D40*'Function Allocators'!G70/SUM('Function Allocators'!$D70:$G70)))</f>
        <v>0</v>
      </c>
      <c r="K40" s="653">
        <f>IF(SUM('Function Allocators'!$H70:$I70)=0,0,($E40*'Function Allocators'!H70/SUM('Function Allocators'!$H70:$I70)))</f>
        <v>0</v>
      </c>
      <c r="L40" s="653">
        <f>IF(SUM('Function Allocators'!$H70:$I70)=0,0,($E40*'Function Allocators'!I70/SUM('Function Allocators'!$H70:$I70)))</f>
        <v>0</v>
      </c>
      <c r="M40" s="653">
        <f>IF(SUM('Function Allocators'!$J70:$O70)=0,0,($F40*'Function Allocators'!J70/SUM('Function Allocators'!$J70:$O70)))</f>
        <v>0</v>
      </c>
      <c r="N40" s="653">
        <f>IF(SUM('Function Allocators'!$J70:$O70)=0,0,($F40*'Function Allocators'!K70/SUM('Function Allocators'!$J70:$O70)))</f>
        <v>0</v>
      </c>
      <c r="O40" s="653">
        <f>IF(SUM('Function Allocators'!$J70:$O70)=0,0,($F40*'Function Allocators'!L70/SUM('Function Allocators'!$J70:$O70)))</f>
        <v>0</v>
      </c>
      <c r="P40" s="653">
        <f>IF(SUM('Function Allocators'!$J70:$O70)=0,0,($F40*'Function Allocators'!M70/SUM('Function Allocators'!$J70:$O70)))</f>
        <v>0</v>
      </c>
      <c r="Q40" s="653">
        <f>IF(SUM('Function Allocators'!$J70:$O70)=0,0,($F40*'Function Allocators'!N70/SUM('Function Allocators'!$J70:$O70)))</f>
        <v>0</v>
      </c>
      <c r="R40" s="653">
        <f>IF(SUM('Function Allocators'!$J70:$O70)=0,0,($F40*'Function Allocators'!O70/SUM('Function Allocators'!$J70:$O70)))</f>
        <v>0</v>
      </c>
      <c r="T40" s="456"/>
      <c r="U40" s="52">
        <f t="shared" si="6"/>
        <v>0</v>
      </c>
      <c r="V40" s="361">
        <f>'G-3 COST OF SERVICE'!M39-SUM('Functionalization LARGE'!G40:J40)</f>
        <v>0</v>
      </c>
      <c r="W40" s="361">
        <f>'G-3 COST OF SERVICE'!N39-SUM('Functionalization LARGE'!K40:L40)</f>
        <v>0</v>
      </c>
      <c r="X40" s="361">
        <f>'G-3 COST OF SERVICE'!O39-SUM('Functionalization LARGE'!M40:R40)</f>
        <v>0</v>
      </c>
    </row>
    <row r="41" spans="1:24">
      <c r="A41" s="386">
        <f t="shared" ref="A41:A46" si="7">+A40+1</f>
        <v>379</v>
      </c>
      <c r="B41" s="379" t="s">
        <v>85</v>
      </c>
      <c r="C41" s="653">
        <f t="shared" si="5"/>
        <v>324980.77388253273</v>
      </c>
      <c r="D41" s="653">
        <f>'G-3 COST OF SERVICE'!M40</f>
        <v>324980.77388253273</v>
      </c>
      <c r="E41" s="653">
        <f>'G-3 COST OF SERVICE'!N40</f>
        <v>0</v>
      </c>
      <c r="F41" s="653">
        <f>'G-3 COST OF SERVICE'!O40</f>
        <v>0</v>
      </c>
      <c r="G41" s="654">
        <f>IF(SUM('Function Allocators'!$D71:$G71)=0,0,($D41*'Function Allocators'!D71/SUM('Function Allocators'!$D71:$G71)))</f>
        <v>0</v>
      </c>
      <c r="H41" s="654">
        <f>IF(SUM('Function Allocators'!$D71:$G71)=0,0,($D41*'Function Allocators'!E71/SUM('Function Allocators'!$D71:$G71)))</f>
        <v>0</v>
      </c>
      <c r="I41" s="654">
        <f>IF(SUM('Function Allocators'!$D71:$G71)=0,0,($D41*'Function Allocators'!F71/SUM('Function Allocators'!$D71:$G71)))</f>
        <v>324980.77388253273</v>
      </c>
      <c r="J41" s="654">
        <f>IF(SUM('Function Allocators'!$D71:$G71)=0,0,($D41*'Function Allocators'!G71/SUM('Function Allocators'!$D71:$G71)))</f>
        <v>0</v>
      </c>
      <c r="K41" s="653">
        <f>IF(SUM('Function Allocators'!$H71:$I71)=0,0,($E41*'Function Allocators'!H71/SUM('Function Allocators'!$H71:$I71)))</f>
        <v>0</v>
      </c>
      <c r="L41" s="653">
        <f>IF(SUM('Function Allocators'!$H71:$I71)=0,0,($E41*'Function Allocators'!I71/SUM('Function Allocators'!$H71:$I71)))</f>
        <v>0</v>
      </c>
      <c r="M41" s="653">
        <f>IF(SUM('Function Allocators'!$J71:$O71)=0,0,($F41*'Function Allocators'!J71/SUM('Function Allocators'!$J71:$O71)))</f>
        <v>0</v>
      </c>
      <c r="N41" s="653">
        <f>IF(SUM('Function Allocators'!$J71:$O71)=0,0,($F41*'Function Allocators'!K71/SUM('Function Allocators'!$J71:$O71)))</f>
        <v>0</v>
      </c>
      <c r="O41" s="653">
        <f>IF(SUM('Function Allocators'!$J71:$O71)=0,0,($F41*'Function Allocators'!L71/SUM('Function Allocators'!$J71:$O71)))</f>
        <v>0</v>
      </c>
      <c r="P41" s="653">
        <f>IF(SUM('Function Allocators'!$J71:$O71)=0,0,($F41*'Function Allocators'!M71/SUM('Function Allocators'!$J71:$O71)))</f>
        <v>0</v>
      </c>
      <c r="Q41" s="653">
        <f>IF(SUM('Function Allocators'!$J71:$O71)=0,0,($F41*'Function Allocators'!N71/SUM('Function Allocators'!$J71:$O71)))</f>
        <v>0</v>
      </c>
      <c r="R41" s="653">
        <f>IF(SUM('Function Allocators'!$J71:$O71)=0,0,($F41*'Function Allocators'!O71/SUM('Function Allocators'!$J71:$O71)))</f>
        <v>0</v>
      </c>
      <c r="T41" s="456"/>
      <c r="U41" s="52">
        <f t="shared" si="6"/>
        <v>0</v>
      </c>
      <c r="V41" s="361">
        <f>'G-3 COST OF SERVICE'!M40-SUM('Functionalization LARGE'!G41:J41)</f>
        <v>0</v>
      </c>
      <c r="W41" s="361">
        <f>'G-3 COST OF SERVICE'!N40-SUM('Functionalization LARGE'!K41:L41)</f>
        <v>0</v>
      </c>
      <c r="X41" s="361">
        <f>'G-3 COST OF SERVICE'!O40-SUM('Functionalization LARGE'!M41:R41)</f>
        <v>0</v>
      </c>
    </row>
    <row r="42" spans="1:24">
      <c r="A42" s="386">
        <f t="shared" si="7"/>
        <v>380</v>
      </c>
      <c r="B42" s="379" t="s">
        <v>86</v>
      </c>
      <c r="C42" s="653">
        <f t="shared" si="5"/>
        <v>66071.008619032145</v>
      </c>
      <c r="D42" s="653">
        <f>'G-3 COST OF SERVICE'!M41</f>
        <v>0</v>
      </c>
      <c r="E42" s="653">
        <f>'G-3 COST OF SERVICE'!N41</f>
        <v>0</v>
      </c>
      <c r="F42" s="653">
        <f>'G-3 COST OF SERVICE'!O41</f>
        <v>66071.008619032145</v>
      </c>
      <c r="G42" s="654">
        <f>IF(SUM('Function Allocators'!$D72:$G72)=0,0,($D42*'Function Allocators'!D72/SUM('Function Allocators'!$D72:$G72)))</f>
        <v>0</v>
      </c>
      <c r="H42" s="654">
        <f>IF(SUM('Function Allocators'!$D72:$G72)=0,0,($D42*'Function Allocators'!E72/SUM('Function Allocators'!$D72:$G72)))</f>
        <v>0</v>
      </c>
      <c r="I42" s="654">
        <f>IF(SUM('Function Allocators'!$D72:$G72)=0,0,($D42*'Function Allocators'!F72/SUM('Function Allocators'!$D72:$G72)))</f>
        <v>0</v>
      </c>
      <c r="J42" s="654">
        <f>IF(SUM('Function Allocators'!$D72:$G72)=0,0,($D42*'Function Allocators'!G72/SUM('Function Allocators'!$D72:$G72)))</f>
        <v>0</v>
      </c>
      <c r="K42" s="653">
        <f>IF(SUM('Function Allocators'!$H72:$I72)=0,0,($E42*'Function Allocators'!H72/SUM('Function Allocators'!$H72:$I72)))</f>
        <v>0</v>
      </c>
      <c r="L42" s="653">
        <f>IF(SUM('Function Allocators'!$H72:$I72)=0,0,($E42*'Function Allocators'!I72/SUM('Function Allocators'!$H72:$I72)))</f>
        <v>0</v>
      </c>
      <c r="M42" s="653">
        <f>IF(SUM('Function Allocators'!$J72:$O72)=0,0,($F42*'Function Allocators'!J72/SUM('Function Allocators'!$J72:$O72)))</f>
        <v>66071.008619032145</v>
      </c>
      <c r="N42" s="653">
        <f>IF(SUM('Function Allocators'!$J72:$O72)=0,0,($F42*'Function Allocators'!K72/SUM('Function Allocators'!$J72:$O72)))</f>
        <v>0</v>
      </c>
      <c r="O42" s="653">
        <f>IF(SUM('Function Allocators'!$J72:$O72)=0,0,($F42*'Function Allocators'!L72/SUM('Function Allocators'!$J72:$O72)))</f>
        <v>0</v>
      </c>
      <c r="P42" s="653">
        <f>IF(SUM('Function Allocators'!$J72:$O72)=0,0,($F42*'Function Allocators'!M72/SUM('Function Allocators'!$J72:$O72)))</f>
        <v>0</v>
      </c>
      <c r="Q42" s="653">
        <f>IF(SUM('Function Allocators'!$J72:$O72)=0,0,($F42*'Function Allocators'!N72/SUM('Function Allocators'!$J72:$O72)))</f>
        <v>0</v>
      </c>
      <c r="R42" s="653">
        <f>IF(SUM('Function Allocators'!$J72:$O72)=0,0,($F42*'Function Allocators'!O72/SUM('Function Allocators'!$J72:$O72)))</f>
        <v>0</v>
      </c>
      <c r="T42" s="456"/>
      <c r="U42" s="52">
        <f t="shared" si="6"/>
        <v>0</v>
      </c>
      <c r="V42" s="361">
        <f>'G-3 COST OF SERVICE'!M41-SUM('Functionalization LARGE'!G42:J42)</f>
        <v>0</v>
      </c>
      <c r="W42" s="361">
        <f>'G-3 COST OF SERVICE'!N41-SUM('Functionalization LARGE'!K42:L42)</f>
        <v>0</v>
      </c>
      <c r="X42" s="361">
        <f>'G-3 COST OF SERVICE'!O41-SUM('Functionalization LARGE'!M42:R42)</f>
        <v>0</v>
      </c>
    </row>
    <row r="43" spans="1:24">
      <c r="A43" s="386">
        <f t="shared" si="7"/>
        <v>381</v>
      </c>
      <c r="B43" s="379" t="s">
        <v>88</v>
      </c>
      <c r="C43" s="653">
        <f t="shared" si="5"/>
        <v>58601.768984974362</v>
      </c>
      <c r="D43" s="653">
        <f>'G-3 COST OF SERVICE'!M42</f>
        <v>0</v>
      </c>
      <c r="E43" s="653">
        <f>'G-3 COST OF SERVICE'!N42</f>
        <v>0</v>
      </c>
      <c r="F43" s="653">
        <f>'G-3 COST OF SERVICE'!O42</f>
        <v>58601.768984974362</v>
      </c>
      <c r="G43" s="654">
        <f>IF(SUM('Function Allocators'!$D73:$G73)=0,0,($D43*'Function Allocators'!D73/SUM('Function Allocators'!$D73:$G73)))</f>
        <v>0</v>
      </c>
      <c r="H43" s="654">
        <f>IF(SUM('Function Allocators'!$D73:$G73)=0,0,($D43*'Function Allocators'!E73/SUM('Function Allocators'!$D73:$G73)))</f>
        <v>0</v>
      </c>
      <c r="I43" s="654">
        <f>IF(SUM('Function Allocators'!$D73:$G73)=0,0,($D43*'Function Allocators'!F73/SUM('Function Allocators'!$D73:$G73)))</f>
        <v>0</v>
      </c>
      <c r="J43" s="654">
        <f>IF(SUM('Function Allocators'!$D73:$G73)=0,0,($D43*'Function Allocators'!G73/SUM('Function Allocators'!$D73:$G73)))</f>
        <v>0</v>
      </c>
      <c r="K43" s="653">
        <f>IF(SUM('Function Allocators'!$H73:$I73)=0,0,($E43*'Function Allocators'!H73/SUM('Function Allocators'!$H73:$I73)))</f>
        <v>0</v>
      </c>
      <c r="L43" s="653">
        <f>IF(SUM('Function Allocators'!$H73:$I73)=0,0,($E43*'Function Allocators'!I73/SUM('Function Allocators'!$H73:$I73)))</f>
        <v>0</v>
      </c>
      <c r="M43" s="653">
        <f>IF(SUM('Function Allocators'!$J73:$O73)=0,0,($F43*'Function Allocators'!J73/SUM('Function Allocators'!$J73:$O73)))</f>
        <v>0</v>
      </c>
      <c r="N43" s="653">
        <f>IF(SUM('Function Allocators'!$J73:$O73)=0,0,($F43*'Function Allocators'!K73/SUM('Function Allocators'!$J73:$O73)))</f>
        <v>58601.768984974362</v>
      </c>
      <c r="O43" s="653">
        <f>IF(SUM('Function Allocators'!$J73:$O73)=0,0,($F43*'Function Allocators'!L73/SUM('Function Allocators'!$J73:$O73)))</f>
        <v>0</v>
      </c>
      <c r="P43" s="653">
        <f>IF(SUM('Function Allocators'!$J73:$O73)=0,0,($F43*'Function Allocators'!M73/SUM('Function Allocators'!$J73:$O73)))</f>
        <v>0</v>
      </c>
      <c r="Q43" s="653">
        <f>IF(SUM('Function Allocators'!$J73:$O73)=0,0,($F43*'Function Allocators'!N73/SUM('Function Allocators'!$J73:$O73)))</f>
        <v>0</v>
      </c>
      <c r="R43" s="653">
        <f>IF(SUM('Function Allocators'!$J73:$O73)=0,0,($F43*'Function Allocators'!O73/SUM('Function Allocators'!$J73:$O73)))</f>
        <v>0</v>
      </c>
      <c r="T43" s="456"/>
      <c r="U43" s="52">
        <f t="shared" si="6"/>
        <v>0</v>
      </c>
      <c r="V43" s="361">
        <f>'G-3 COST OF SERVICE'!M42-SUM('Functionalization LARGE'!G43:J43)</f>
        <v>0</v>
      </c>
      <c r="W43" s="361">
        <f>'G-3 COST OF SERVICE'!N42-SUM('Functionalization LARGE'!K43:L43)</f>
        <v>0</v>
      </c>
      <c r="X43" s="361">
        <f>'G-3 COST OF SERVICE'!O42-SUM('Functionalization LARGE'!M43:R43)</f>
        <v>0</v>
      </c>
    </row>
    <row r="44" spans="1:24">
      <c r="A44" s="386">
        <f t="shared" si="7"/>
        <v>382</v>
      </c>
      <c r="B44" s="379" t="s">
        <v>90</v>
      </c>
      <c r="C44" s="653">
        <f t="shared" si="5"/>
        <v>1005.9716129097399</v>
      </c>
      <c r="D44" s="653">
        <f>'G-3 COST OF SERVICE'!M43</f>
        <v>0</v>
      </c>
      <c r="E44" s="653">
        <f>'G-3 COST OF SERVICE'!N43</f>
        <v>0</v>
      </c>
      <c r="F44" s="653">
        <f>'G-3 COST OF SERVICE'!O43</f>
        <v>1005.9716129097399</v>
      </c>
      <c r="G44" s="654">
        <f>IF(SUM('Function Allocators'!$D74:$G74)=0,0,($D44*'Function Allocators'!D74/SUM('Function Allocators'!$D74:$G74)))</f>
        <v>0</v>
      </c>
      <c r="H44" s="654">
        <f>IF(SUM('Function Allocators'!$D74:$G74)=0,0,($D44*'Function Allocators'!E74/SUM('Function Allocators'!$D74:$G74)))</f>
        <v>0</v>
      </c>
      <c r="I44" s="654">
        <f>IF(SUM('Function Allocators'!$D74:$G74)=0,0,($D44*'Function Allocators'!F74/SUM('Function Allocators'!$D74:$G74)))</f>
        <v>0</v>
      </c>
      <c r="J44" s="654">
        <f>IF(SUM('Function Allocators'!$D74:$G74)=0,0,($D44*'Function Allocators'!G74/SUM('Function Allocators'!$D74:$G74)))</f>
        <v>0</v>
      </c>
      <c r="K44" s="653">
        <f>IF(SUM('Function Allocators'!$H74:$I74)=0,0,($E44*'Function Allocators'!H74/SUM('Function Allocators'!$H74:$I74)))</f>
        <v>0</v>
      </c>
      <c r="L44" s="653">
        <f>IF(SUM('Function Allocators'!$H74:$I74)=0,0,($E44*'Function Allocators'!I74/SUM('Function Allocators'!$H74:$I74)))</f>
        <v>0</v>
      </c>
      <c r="M44" s="653">
        <f>IF(SUM('Function Allocators'!$J74:$O74)=0,0,($F44*'Function Allocators'!J74/SUM('Function Allocators'!$J74:$O74)))</f>
        <v>0</v>
      </c>
      <c r="N44" s="653">
        <f>IF(SUM('Function Allocators'!$J74:$O74)=0,0,($F44*'Function Allocators'!K74/SUM('Function Allocators'!$J74:$O74)))</f>
        <v>1005.9716129097399</v>
      </c>
      <c r="O44" s="653">
        <f>IF(SUM('Function Allocators'!$J74:$O74)=0,0,($F44*'Function Allocators'!L74/SUM('Function Allocators'!$J74:$O74)))</f>
        <v>0</v>
      </c>
      <c r="P44" s="653">
        <f>IF(SUM('Function Allocators'!$J74:$O74)=0,0,($F44*'Function Allocators'!M74/SUM('Function Allocators'!$J74:$O74)))</f>
        <v>0</v>
      </c>
      <c r="Q44" s="653">
        <f>IF(SUM('Function Allocators'!$J74:$O74)=0,0,($F44*'Function Allocators'!N74/SUM('Function Allocators'!$J74:$O74)))</f>
        <v>0</v>
      </c>
      <c r="R44" s="653">
        <f>IF(SUM('Function Allocators'!$J74:$O74)=0,0,($F44*'Function Allocators'!O74/SUM('Function Allocators'!$J74:$O74)))</f>
        <v>0</v>
      </c>
      <c r="T44" s="456"/>
      <c r="U44" s="52">
        <f t="shared" si="6"/>
        <v>0</v>
      </c>
      <c r="V44" s="361">
        <f>'G-3 COST OF SERVICE'!M43-SUM('Functionalization LARGE'!G44:J44)</f>
        <v>0</v>
      </c>
      <c r="W44" s="361">
        <f>'G-3 COST OF SERVICE'!N43-SUM('Functionalization LARGE'!K44:L44)</f>
        <v>0</v>
      </c>
      <c r="X44" s="361">
        <f>'G-3 COST OF SERVICE'!O43-SUM('Functionalization LARGE'!M44:R44)</f>
        <v>0</v>
      </c>
    </row>
    <row r="45" spans="1:24">
      <c r="A45" s="386">
        <f t="shared" si="7"/>
        <v>383</v>
      </c>
      <c r="B45" s="379" t="s">
        <v>92</v>
      </c>
      <c r="C45" s="653">
        <f t="shared" si="5"/>
        <v>17418.492117094764</v>
      </c>
      <c r="D45" s="653">
        <f>'G-3 COST OF SERVICE'!M44</f>
        <v>0</v>
      </c>
      <c r="E45" s="653">
        <f>'G-3 COST OF SERVICE'!N44</f>
        <v>0</v>
      </c>
      <c r="F45" s="653">
        <f>'G-3 COST OF SERVICE'!O44</f>
        <v>17418.492117094764</v>
      </c>
      <c r="G45" s="654">
        <f>IF(SUM('Function Allocators'!$D75:$G75)=0,0,($D45*'Function Allocators'!D75/SUM('Function Allocators'!$D75:$G75)))</f>
        <v>0</v>
      </c>
      <c r="H45" s="654">
        <f>IF(SUM('Function Allocators'!$D75:$G75)=0,0,($D45*'Function Allocators'!E75/SUM('Function Allocators'!$D75:$G75)))</f>
        <v>0</v>
      </c>
      <c r="I45" s="654">
        <f>IF(SUM('Function Allocators'!$D75:$G75)=0,0,($D45*'Function Allocators'!F75/SUM('Function Allocators'!$D75:$G75)))</f>
        <v>0</v>
      </c>
      <c r="J45" s="654">
        <f>IF(SUM('Function Allocators'!$D75:$G75)=0,0,($D45*'Function Allocators'!G75/SUM('Function Allocators'!$D75:$G75)))</f>
        <v>0</v>
      </c>
      <c r="K45" s="653">
        <f>IF(SUM('Function Allocators'!$H75:$I75)=0,0,($E45*'Function Allocators'!H75/SUM('Function Allocators'!$H75:$I75)))</f>
        <v>0</v>
      </c>
      <c r="L45" s="653">
        <f>IF(SUM('Function Allocators'!$H75:$I75)=0,0,($E45*'Function Allocators'!I75/SUM('Function Allocators'!$H75:$I75)))</f>
        <v>0</v>
      </c>
      <c r="M45" s="653">
        <f>IF(SUM('Function Allocators'!$J75:$O75)=0,0,($F45*'Function Allocators'!J75/SUM('Function Allocators'!$J75:$O75)))</f>
        <v>0</v>
      </c>
      <c r="N45" s="653">
        <f>IF(SUM('Function Allocators'!$J75:$O75)=0,0,($F45*'Function Allocators'!K75/SUM('Function Allocators'!$J75:$O75)))</f>
        <v>0</v>
      </c>
      <c r="O45" s="653">
        <f>IF(SUM('Function Allocators'!$J75:$O75)=0,0,($F45*'Function Allocators'!L75/SUM('Function Allocators'!$J75:$O75)))</f>
        <v>17418.492117094764</v>
      </c>
      <c r="P45" s="653">
        <f>IF(SUM('Function Allocators'!$J75:$O75)=0,0,($F45*'Function Allocators'!M75/SUM('Function Allocators'!$J75:$O75)))</f>
        <v>0</v>
      </c>
      <c r="Q45" s="653">
        <f>IF(SUM('Function Allocators'!$J75:$O75)=0,0,($F45*'Function Allocators'!N75/SUM('Function Allocators'!$J75:$O75)))</f>
        <v>0</v>
      </c>
      <c r="R45" s="653">
        <f>IF(SUM('Function Allocators'!$J75:$O75)=0,0,($F45*'Function Allocators'!O75/SUM('Function Allocators'!$J75:$O75)))</f>
        <v>0</v>
      </c>
      <c r="T45" s="456"/>
      <c r="U45" s="52">
        <f t="shared" si="6"/>
        <v>0</v>
      </c>
      <c r="V45" s="361">
        <f>'G-3 COST OF SERVICE'!M44-SUM('Functionalization LARGE'!G45:J45)</f>
        <v>0</v>
      </c>
      <c r="W45" s="361">
        <f>'G-3 COST OF SERVICE'!N44-SUM('Functionalization LARGE'!K45:L45)</f>
        <v>0</v>
      </c>
      <c r="X45" s="361">
        <f>'G-3 COST OF SERVICE'!O44-SUM('Functionalization LARGE'!M45:R45)</f>
        <v>0</v>
      </c>
    </row>
    <row r="46" spans="1:24">
      <c r="A46" s="386">
        <f t="shared" si="7"/>
        <v>384</v>
      </c>
      <c r="B46" s="379" t="s">
        <v>109</v>
      </c>
      <c r="C46" s="653">
        <f t="shared" si="5"/>
        <v>731.78477777104354</v>
      </c>
      <c r="D46" s="653">
        <f>'G-3 COST OF SERVICE'!M45</f>
        <v>0</v>
      </c>
      <c r="E46" s="653">
        <f>'G-3 COST OF SERVICE'!N45</f>
        <v>0</v>
      </c>
      <c r="F46" s="653">
        <f>'G-3 COST OF SERVICE'!O45</f>
        <v>731.78477777104354</v>
      </c>
      <c r="G46" s="654">
        <f>IF(SUM('Function Allocators'!$D76:$G76)=0,0,($D46*'Function Allocators'!D76/SUM('Function Allocators'!$D76:$G76)))</f>
        <v>0</v>
      </c>
      <c r="H46" s="654">
        <f>IF(SUM('Function Allocators'!$D76:$G76)=0,0,($D46*'Function Allocators'!E76/SUM('Function Allocators'!$D76:$G76)))</f>
        <v>0</v>
      </c>
      <c r="I46" s="654">
        <f>IF(SUM('Function Allocators'!$D76:$G76)=0,0,($D46*'Function Allocators'!F76/SUM('Function Allocators'!$D76:$G76)))</f>
        <v>0</v>
      </c>
      <c r="J46" s="654">
        <f>IF(SUM('Function Allocators'!$D76:$G76)=0,0,($D46*'Function Allocators'!G76/SUM('Function Allocators'!$D76:$G76)))</f>
        <v>0</v>
      </c>
      <c r="K46" s="653">
        <f>IF(SUM('Function Allocators'!$H76:$I76)=0,0,($E46*'Function Allocators'!H76/SUM('Function Allocators'!$H76:$I76)))</f>
        <v>0</v>
      </c>
      <c r="L46" s="653">
        <f>IF(SUM('Function Allocators'!$H76:$I76)=0,0,($E46*'Function Allocators'!I76/SUM('Function Allocators'!$H76:$I76)))</f>
        <v>0</v>
      </c>
      <c r="M46" s="653">
        <f>IF(SUM('Function Allocators'!$J76:$O76)=0,0,($F46*'Function Allocators'!J76/SUM('Function Allocators'!$J76:$O76)))</f>
        <v>0</v>
      </c>
      <c r="N46" s="653">
        <f>IF(SUM('Function Allocators'!$J76:$O76)=0,0,($F46*'Function Allocators'!K76/SUM('Function Allocators'!$J76:$O76)))</f>
        <v>0</v>
      </c>
      <c r="O46" s="653">
        <f>IF(SUM('Function Allocators'!$J76:$O76)=0,0,($F46*'Function Allocators'!L76/SUM('Function Allocators'!$J76:$O76)))</f>
        <v>731.78477777104354</v>
      </c>
      <c r="P46" s="653">
        <f>IF(SUM('Function Allocators'!$J76:$O76)=0,0,($F46*'Function Allocators'!M76/SUM('Function Allocators'!$J76:$O76)))</f>
        <v>0</v>
      </c>
      <c r="Q46" s="653">
        <f>IF(SUM('Function Allocators'!$J76:$O76)=0,0,($F46*'Function Allocators'!N76/SUM('Function Allocators'!$J76:$O76)))</f>
        <v>0</v>
      </c>
      <c r="R46" s="653">
        <f>IF(SUM('Function Allocators'!$J76:$O76)=0,0,($F46*'Function Allocators'!O76/SUM('Function Allocators'!$J76:$O76)))</f>
        <v>0</v>
      </c>
      <c r="T46" s="456"/>
      <c r="U46" s="52">
        <f t="shared" si="6"/>
        <v>0</v>
      </c>
      <c r="V46" s="361">
        <f>'G-3 COST OF SERVICE'!M45-SUM('Functionalization LARGE'!G46:J46)</f>
        <v>0</v>
      </c>
      <c r="W46" s="361">
        <f>'G-3 COST OF SERVICE'!N45-SUM('Functionalization LARGE'!K46:L46)</f>
        <v>0</v>
      </c>
      <c r="X46" s="361">
        <f>'G-3 COST OF SERVICE'!O45-SUM('Functionalization LARGE'!M46:R46)</f>
        <v>0</v>
      </c>
    </row>
    <row r="47" spans="1:24">
      <c r="A47" s="386">
        <v>385</v>
      </c>
      <c r="B47" s="379" t="s">
        <v>96</v>
      </c>
      <c r="C47" s="653">
        <f t="shared" si="5"/>
        <v>1086037.8183738508</v>
      </c>
      <c r="D47" s="653">
        <f>'G-3 COST OF SERVICE'!M46</f>
        <v>0</v>
      </c>
      <c r="E47" s="653">
        <f>'G-3 COST OF SERVICE'!N46</f>
        <v>0</v>
      </c>
      <c r="F47" s="653">
        <f>'G-3 COST OF SERVICE'!O46</f>
        <v>1086037.8183738508</v>
      </c>
      <c r="G47" s="654">
        <f>IF(SUM('Function Allocators'!$D77:$G77)=0,0,($D47*'Function Allocators'!D77/SUM('Function Allocators'!$D77:$G77)))</f>
        <v>0</v>
      </c>
      <c r="H47" s="654">
        <f>IF(SUM('Function Allocators'!$D77:$G77)=0,0,($D47*'Function Allocators'!E77/SUM('Function Allocators'!$D77:$G77)))</f>
        <v>0</v>
      </c>
      <c r="I47" s="654">
        <f>IF(SUM('Function Allocators'!$D77:$G77)=0,0,($D47*'Function Allocators'!F77/SUM('Function Allocators'!$D77:$G77)))</f>
        <v>0</v>
      </c>
      <c r="J47" s="654">
        <f>IF(SUM('Function Allocators'!$D77:$G77)=0,0,($D47*'Function Allocators'!G77/SUM('Function Allocators'!$D77:$G77)))</f>
        <v>0</v>
      </c>
      <c r="K47" s="653">
        <f>IF(SUM('Function Allocators'!$H77:$I77)=0,0,($E47*'Function Allocators'!H77/SUM('Function Allocators'!$H77:$I77)))</f>
        <v>0</v>
      </c>
      <c r="L47" s="653">
        <f>IF(SUM('Function Allocators'!$H77:$I77)=0,0,($E47*'Function Allocators'!I77/SUM('Function Allocators'!$H77:$I77)))</f>
        <v>0</v>
      </c>
      <c r="M47" s="653">
        <f>IF(SUM('Function Allocators'!$J77:$O77)=0,0,($F47*'Function Allocators'!J77/SUM('Function Allocators'!$J77:$O77)))</f>
        <v>0</v>
      </c>
      <c r="N47" s="653">
        <f>IF(SUM('Function Allocators'!$J77:$O77)=0,0,($F47*'Function Allocators'!K77/SUM('Function Allocators'!$J77:$O77)))</f>
        <v>0</v>
      </c>
      <c r="O47" s="653">
        <f>IF(SUM('Function Allocators'!$J77:$O77)=0,0,($F47*'Function Allocators'!L77/SUM('Function Allocators'!$J77:$O77)))</f>
        <v>1086037.8183738508</v>
      </c>
      <c r="P47" s="653">
        <f>IF(SUM('Function Allocators'!$J77:$O77)=0,0,($F47*'Function Allocators'!M77/SUM('Function Allocators'!$J77:$O77)))</f>
        <v>0</v>
      </c>
      <c r="Q47" s="653">
        <f>IF(SUM('Function Allocators'!$J77:$O77)=0,0,($F47*'Function Allocators'!N77/SUM('Function Allocators'!$J77:$O77)))</f>
        <v>0</v>
      </c>
      <c r="R47" s="653">
        <f>IF(SUM('Function Allocators'!$J77:$O77)=0,0,($F47*'Function Allocators'!O77/SUM('Function Allocators'!$J77:$O77)))</f>
        <v>0</v>
      </c>
      <c r="T47" s="456" t="s">
        <v>462</v>
      </c>
      <c r="U47" s="52">
        <f t="shared" si="6"/>
        <v>0</v>
      </c>
      <c r="V47" s="361">
        <f>'G-3 COST OF SERVICE'!M46-SUM('Functionalization LARGE'!G47:J47)</f>
        <v>0</v>
      </c>
      <c r="W47" s="361">
        <f>'G-3 COST OF SERVICE'!N46-SUM('Functionalization LARGE'!K47:L47)</f>
        <v>0</v>
      </c>
      <c r="X47" s="361">
        <f>'G-3 COST OF SERVICE'!O46-SUM('Functionalization LARGE'!M47:R47)</f>
        <v>0</v>
      </c>
    </row>
    <row r="48" spans="1:24">
      <c r="A48" s="386">
        <v>387</v>
      </c>
      <c r="B48" s="379" t="s">
        <v>98</v>
      </c>
      <c r="C48" s="653">
        <f t="shared" si="5"/>
        <v>312482.70135441545</v>
      </c>
      <c r="D48" s="653">
        <f>'G-3 COST OF SERVICE'!M47</f>
        <v>312482.70135441545</v>
      </c>
      <c r="E48" s="653">
        <f>'G-3 COST OF SERVICE'!N47</f>
        <v>0</v>
      </c>
      <c r="F48" s="653">
        <f>'G-3 COST OF SERVICE'!O47</f>
        <v>0</v>
      </c>
      <c r="G48" s="654">
        <f>IF(SUM('Function Allocators'!$D78:$G78)=0,0,($D48*'Function Allocators'!D78/SUM('Function Allocators'!$D78:$G78)))</f>
        <v>0</v>
      </c>
      <c r="H48" s="654">
        <f>IF(SUM('Function Allocators'!$D78:$G78)=0,0,($D48*'Function Allocators'!E78/SUM('Function Allocators'!$D78:$G78)))</f>
        <v>0</v>
      </c>
      <c r="I48" s="654">
        <f>IF(SUM('Function Allocators'!$D78:$G78)=0,0,($D48*'Function Allocators'!F78/SUM('Function Allocators'!$D78:$G78)))</f>
        <v>0</v>
      </c>
      <c r="J48" s="654">
        <f>IF(SUM('Function Allocators'!$D78:$G78)=0,0,($D48*'Function Allocators'!G78/SUM('Function Allocators'!$D78:$G78)))</f>
        <v>312482.70135441545</v>
      </c>
      <c r="K48" s="653">
        <f>IF(SUM('Function Allocators'!$H78:$I78)=0,0,($E48*'Function Allocators'!H78/SUM('Function Allocators'!$H78:$I78)))</f>
        <v>0</v>
      </c>
      <c r="L48" s="653">
        <f>IF(SUM('Function Allocators'!$H78:$I78)=0,0,($E48*'Function Allocators'!I78/SUM('Function Allocators'!$H78:$I78)))</f>
        <v>0</v>
      </c>
      <c r="M48" s="653">
        <f>IF(SUM('Function Allocators'!$J78:$O78)=0,0,($F48*'Function Allocators'!J78/SUM('Function Allocators'!$J78:$O78)))</f>
        <v>0</v>
      </c>
      <c r="N48" s="653">
        <f>IF(SUM('Function Allocators'!$J78:$O78)=0,0,($F48*'Function Allocators'!K78/SUM('Function Allocators'!$J78:$O78)))</f>
        <v>0</v>
      </c>
      <c r="O48" s="653">
        <f>IF(SUM('Function Allocators'!$J78:$O78)=0,0,($F48*'Function Allocators'!L78/SUM('Function Allocators'!$J78:$O78)))</f>
        <v>0</v>
      </c>
      <c r="P48" s="653">
        <f>IF(SUM('Function Allocators'!$J78:$O78)=0,0,($F48*'Function Allocators'!M78/SUM('Function Allocators'!$J78:$O78)))</f>
        <v>0</v>
      </c>
      <c r="Q48" s="653">
        <f>IF(SUM('Function Allocators'!$J78:$O78)=0,0,($F48*'Function Allocators'!N78/SUM('Function Allocators'!$J78:$O78)))</f>
        <v>0</v>
      </c>
      <c r="R48" s="653">
        <f>IF(SUM('Function Allocators'!$J78:$O78)=0,0,($F48*'Function Allocators'!O78/SUM('Function Allocators'!$J78:$O78)))</f>
        <v>0</v>
      </c>
      <c r="T48" s="360" t="s">
        <v>428</v>
      </c>
      <c r="U48" s="52">
        <f t="shared" si="6"/>
        <v>0</v>
      </c>
      <c r="V48" s="361">
        <f>'G-3 COST OF SERVICE'!M47-SUM('Functionalization LARGE'!G48:J48)</f>
        <v>0</v>
      </c>
      <c r="W48" s="361">
        <f>'G-3 COST OF SERVICE'!N47-SUM('Functionalization LARGE'!K48:L48)</f>
        <v>0</v>
      </c>
      <c r="X48" s="361">
        <f>'G-3 COST OF SERVICE'!O47-SUM('Functionalization LARGE'!M48:R48)</f>
        <v>0</v>
      </c>
    </row>
    <row r="49" spans="1:24">
      <c r="A49" s="374"/>
      <c r="B49" s="377" t="s">
        <v>100</v>
      </c>
      <c r="C49" s="655">
        <f t="shared" ref="C49:R49" si="8">SUM(C37:C48)</f>
        <v>13054880.678423004</v>
      </c>
      <c r="D49" s="655">
        <f t="shared" si="8"/>
        <v>11801067.099502871</v>
      </c>
      <c r="E49" s="655">
        <f t="shared" si="8"/>
        <v>0</v>
      </c>
      <c r="F49" s="655">
        <f t="shared" si="8"/>
        <v>1253813.5789201353</v>
      </c>
      <c r="G49" s="655">
        <f t="shared" si="8"/>
        <v>0</v>
      </c>
      <c r="H49" s="655">
        <f t="shared" si="8"/>
        <v>10684202.055173425</v>
      </c>
      <c r="I49" s="655">
        <f t="shared" si="8"/>
        <v>819480.0301640972</v>
      </c>
      <c r="J49" s="655">
        <f t="shared" si="8"/>
        <v>297385.01416534663</v>
      </c>
      <c r="K49" s="655">
        <f t="shared" si="8"/>
        <v>0</v>
      </c>
      <c r="L49" s="655">
        <f t="shared" si="8"/>
        <v>0</v>
      </c>
      <c r="M49" s="655">
        <f t="shared" si="8"/>
        <v>90017.743053534534</v>
      </c>
      <c r="N49" s="655">
        <f t="shared" si="8"/>
        <v>59607.740597884105</v>
      </c>
      <c r="O49" s="655">
        <f t="shared" si="8"/>
        <v>1104188.0952687166</v>
      </c>
      <c r="P49" s="655">
        <f t="shared" si="8"/>
        <v>0</v>
      </c>
      <c r="Q49" s="655">
        <f t="shared" si="8"/>
        <v>0</v>
      </c>
      <c r="R49" s="655">
        <f t="shared" si="8"/>
        <v>0</v>
      </c>
      <c r="T49" s="456"/>
      <c r="U49" s="52">
        <f t="shared" si="6"/>
        <v>0</v>
      </c>
      <c r="V49" s="361">
        <f>'G-3 COST OF SERVICE'!M48-SUM('Functionalization LARGE'!G49:J49)</f>
        <v>0</v>
      </c>
      <c r="W49" s="361">
        <f>'G-3 COST OF SERVICE'!N48-SUM('Functionalization LARGE'!K49:L49)</f>
        <v>0</v>
      </c>
      <c r="X49" s="361">
        <f>'G-3 COST OF SERVICE'!O48-SUM('Functionalization LARGE'!M49:R49)</f>
        <v>0</v>
      </c>
    </row>
    <row r="50" spans="1:24">
      <c r="A50" s="374"/>
      <c r="B50" s="377"/>
      <c r="C50" s="637"/>
      <c r="D50" s="637"/>
      <c r="E50" s="637"/>
      <c r="F50" s="637"/>
      <c r="G50" s="654"/>
      <c r="H50" s="653"/>
      <c r="I50" s="653"/>
      <c r="J50" s="653"/>
      <c r="K50" s="653"/>
      <c r="L50" s="653"/>
      <c r="M50" s="653"/>
      <c r="N50" s="653"/>
      <c r="O50" s="653"/>
      <c r="P50" s="653"/>
      <c r="Q50" s="653"/>
      <c r="R50" s="653"/>
      <c r="T50" s="456"/>
      <c r="U50" s="52">
        <f t="shared" si="6"/>
        <v>0</v>
      </c>
      <c r="V50" s="361"/>
      <c r="W50" s="361"/>
      <c r="X50" s="361"/>
    </row>
    <row r="51" spans="1:24">
      <c r="A51" s="390"/>
      <c r="B51" s="407" t="s">
        <v>464</v>
      </c>
      <c r="C51" s="654">
        <f t="shared" ref="C51:R51" si="9">C47+C32</f>
        <v>1086037.8183738508</v>
      </c>
      <c r="D51" s="654">
        <f t="shared" si="9"/>
        <v>0</v>
      </c>
      <c r="E51" s="654">
        <f t="shared" si="9"/>
        <v>0</v>
      </c>
      <c r="F51" s="654">
        <f t="shared" si="9"/>
        <v>1086037.8183738508</v>
      </c>
      <c r="G51" s="654">
        <f t="shared" si="9"/>
        <v>0</v>
      </c>
      <c r="H51" s="654">
        <f t="shared" si="9"/>
        <v>0</v>
      </c>
      <c r="I51" s="654">
        <f t="shared" si="9"/>
        <v>0</v>
      </c>
      <c r="J51" s="654">
        <f t="shared" si="9"/>
        <v>0</v>
      </c>
      <c r="K51" s="654">
        <f t="shared" si="9"/>
        <v>0</v>
      </c>
      <c r="L51" s="654">
        <f t="shared" si="9"/>
        <v>0</v>
      </c>
      <c r="M51" s="654">
        <f t="shared" si="9"/>
        <v>0</v>
      </c>
      <c r="N51" s="654">
        <f t="shared" si="9"/>
        <v>0</v>
      </c>
      <c r="O51" s="654">
        <f t="shared" si="9"/>
        <v>1086037.8183738508</v>
      </c>
      <c r="P51" s="654">
        <f t="shared" si="9"/>
        <v>0</v>
      </c>
      <c r="Q51" s="654">
        <f t="shared" si="9"/>
        <v>0</v>
      </c>
      <c r="R51" s="654">
        <f t="shared" si="9"/>
        <v>0</v>
      </c>
      <c r="S51" s="654"/>
      <c r="T51" s="456"/>
      <c r="U51" s="52">
        <f t="shared" si="6"/>
        <v>0</v>
      </c>
      <c r="V51" s="361"/>
      <c r="W51" s="361"/>
      <c r="X51" s="361"/>
    </row>
    <row r="52" spans="1:24">
      <c r="A52" s="374"/>
      <c r="B52" s="377"/>
      <c r="C52" s="637"/>
      <c r="D52" s="637"/>
      <c r="E52" s="637"/>
      <c r="F52" s="637"/>
      <c r="G52" s="654"/>
      <c r="H52" s="653"/>
      <c r="I52" s="653"/>
      <c r="J52" s="653"/>
      <c r="K52" s="653"/>
      <c r="L52" s="653"/>
      <c r="M52" s="653"/>
      <c r="N52" s="653"/>
      <c r="O52" s="653"/>
      <c r="P52" s="653"/>
      <c r="Q52" s="653"/>
      <c r="R52" s="653"/>
      <c r="T52" s="456"/>
      <c r="V52" s="361"/>
      <c r="W52" s="361"/>
      <c r="X52" s="361"/>
    </row>
    <row r="53" spans="1:24">
      <c r="A53" s="390" t="s">
        <v>463</v>
      </c>
      <c r="B53" s="377" t="s">
        <v>467</v>
      </c>
      <c r="C53" s="654">
        <f>SUM(G53:R53)</f>
        <v>1603966.5664143267</v>
      </c>
      <c r="D53" s="654">
        <f>'G-3 COST OF SERVICE'!M50</f>
        <v>1454393.7882903295</v>
      </c>
      <c r="E53" s="654">
        <f>'G-3 COST OF SERVICE'!N50</f>
        <v>0</v>
      </c>
      <c r="F53" s="654">
        <f>'G-3 COST OF SERVICE'!O50</f>
        <v>149572.7781239973</v>
      </c>
      <c r="G53" s="654">
        <f>IF(SUM('Function Allocators'!$D82:$G82)=0,0,($D53*'Function Allocators'!D82/SUM('Function Allocators'!$D$82:$G$82)))</f>
        <v>0</v>
      </c>
      <c r="H53" s="654">
        <f>IF(SUM('Function Allocators'!$D82:$G82)=0,0,($D53*'Function Allocators'!E82/SUM('Function Allocators'!$D$82:$G$82)))</f>
        <v>1333671.9027673432</v>
      </c>
      <c r="I53" s="654">
        <f>IF(SUM('Function Allocators'!$D82:$G82)=0,0,($D53*'Function Allocators'!F82/SUM('Function Allocators'!$D$82:$G$82)))</f>
        <v>94550.048461014667</v>
      </c>
      <c r="J53" s="654">
        <f>IF(SUM('Function Allocators'!$D82:$G82)=0,0,($D53*'Function Allocators'!G82/SUM('Function Allocators'!$D$82:$G$82)))</f>
        <v>26171.83706197159</v>
      </c>
      <c r="K53" s="654">
        <f>IF(SUM('Function Allocators'!$H82:$I82)=0,0,($E53*'Function Allocators'!H82/SUM('Function Allocators'!$H82:$I82)))</f>
        <v>0</v>
      </c>
      <c r="L53" s="654">
        <f>IF(SUM('Function Allocators'!$H82:$I82)=0,0,($E53*'Function Allocators'!I82/SUM('Function Allocators'!$H82:$I82)))</f>
        <v>0</v>
      </c>
      <c r="M53" s="654">
        <f>IF(SUM('Function Allocators'!$J82:$O82)=0,0,($F53*'Function Allocators'!J82/SUM('Function Allocators'!$J82:$O82)))</f>
        <v>121248.70851051608</v>
      </c>
      <c r="N53" s="654">
        <f>IF(SUM('Function Allocators'!$J82:$O82)=0,0,($F53*'Function Allocators'!K82/SUM('Function Allocators'!$J82:$O82)))</f>
        <v>23345.209558014481</v>
      </c>
      <c r="O53" s="654">
        <f>IF(SUM('Function Allocators'!$J82:$O82)=0,0,($F53*'Function Allocators'!L82/SUM('Function Allocators'!$J82:$O82)))</f>
        <v>4978.8600554667382</v>
      </c>
      <c r="P53" s="654">
        <f>IF(SUM('Function Allocators'!$J82:$O82)=0,0,($F53*'Function Allocators'!M82/SUM('Function Allocators'!$J82:$O82)))</f>
        <v>0</v>
      </c>
      <c r="Q53" s="654">
        <f>IF(SUM('Function Allocators'!$J82:$O82)=0,0,($F53*'Function Allocators'!N82/SUM('Function Allocators'!$J82:$O82)))</f>
        <v>0</v>
      </c>
      <c r="R53" s="654">
        <f>IF(SUM('Function Allocators'!$J82:$O82)=0,0,($F53*'Function Allocators'!O82/SUM('Function Allocators'!$J82:$O82)))</f>
        <v>0</v>
      </c>
      <c r="S53" s="654"/>
      <c r="T53" s="456" t="s">
        <v>426</v>
      </c>
      <c r="U53" s="52">
        <f>C53-SUM(D53:F53)</f>
        <v>0</v>
      </c>
      <c r="V53" s="361">
        <f>'G-3 COST OF SERVICE'!M50-SUM('Functionalization LARGE'!G53:J53)</f>
        <v>0</v>
      </c>
      <c r="W53" s="361">
        <f>'G-3 COST OF SERVICE'!N50-SUM('Functionalization LARGE'!K53:L53)</f>
        <v>0</v>
      </c>
      <c r="X53" s="361">
        <f>'G-3 COST OF SERVICE'!O50-SUM('Functionalization LARGE'!M53:R53)</f>
        <v>0</v>
      </c>
    </row>
    <row r="54" spans="1:24">
      <c r="A54" s="381"/>
      <c r="B54" s="381"/>
      <c r="C54" s="653"/>
      <c r="D54" s="653"/>
      <c r="E54" s="653"/>
      <c r="F54" s="653"/>
      <c r="G54" s="654"/>
      <c r="H54" s="653"/>
      <c r="I54" s="653"/>
      <c r="J54" s="653"/>
      <c r="K54" s="653"/>
      <c r="L54" s="653"/>
      <c r="M54" s="653"/>
      <c r="N54" s="653"/>
      <c r="O54" s="653"/>
      <c r="P54" s="653"/>
      <c r="Q54" s="653"/>
      <c r="R54" s="653"/>
      <c r="T54" s="456"/>
      <c r="V54" s="361"/>
      <c r="W54" s="361"/>
      <c r="X54" s="361"/>
    </row>
    <row r="55" spans="1:24">
      <c r="A55" s="381"/>
      <c r="B55" s="377" t="s">
        <v>468</v>
      </c>
      <c r="C55" s="654">
        <f>SUM(G55:R55)</f>
        <v>16782198.509291761</v>
      </c>
      <c r="D55" s="654">
        <f t="shared" ref="D55:R55" si="10">+D33+D34+D49+D53</f>
        <v>15376422.875611128</v>
      </c>
      <c r="E55" s="654">
        <f t="shared" si="10"/>
        <v>0</v>
      </c>
      <c r="F55" s="654">
        <f t="shared" si="10"/>
        <v>1405775.6336806335</v>
      </c>
      <c r="G55" s="654">
        <f t="shared" si="10"/>
        <v>0</v>
      </c>
      <c r="H55" s="654">
        <f t="shared" si="10"/>
        <v>14136907.533488683</v>
      </c>
      <c r="I55" s="654">
        <f t="shared" si="10"/>
        <v>915540.42178114143</v>
      </c>
      <c r="J55" s="654">
        <f t="shared" si="10"/>
        <v>323974.92034130252</v>
      </c>
      <c r="K55" s="654">
        <f t="shared" si="10"/>
        <v>0</v>
      </c>
      <c r="L55" s="654">
        <f t="shared" si="10"/>
        <v>0</v>
      </c>
      <c r="M55" s="654">
        <f t="shared" si="10"/>
        <v>213203.27930826694</v>
      </c>
      <c r="N55" s="654">
        <f t="shared" si="10"/>
        <v>83325.866701748513</v>
      </c>
      <c r="O55" s="654">
        <f t="shared" si="10"/>
        <v>1109246.4876706176</v>
      </c>
      <c r="P55" s="654">
        <f t="shared" si="10"/>
        <v>0</v>
      </c>
      <c r="Q55" s="654">
        <f t="shared" si="10"/>
        <v>0</v>
      </c>
      <c r="R55" s="654">
        <f t="shared" si="10"/>
        <v>0</v>
      </c>
      <c r="T55" s="456"/>
      <c r="U55" s="52">
        <f>C55-SUM(D55:F55)</f>
        <v>0</v>
      </c>
      <c r="V55" s="361">
        <f>'G-3 COST OF SERVICE'!M52-SUM('Functionalization LARGE'!G55:J55)</f>
        <v>0</v>
      </c>
      <c r="W55" s="361">
        <f>'G-3 COST OF SERVICE'!N52-SUM('Functionalization LARGE'!K55:L55)</f>
        <v>0</v>
      </c>
      <c r="X55" s="361">
        <f>'G-3 COST OF SERVICE'!O52-SUM('Functionalization LARGE'!M55:R55)</f>
        <v>0</v>
      </c>
    </row>
    <row r="56" spans="1:24">
      <c r="A56" s="381"/>
      <c r="B56" s="381"/>
      <c r="C56" s="638"/>
      <c r="D56" s="638"/>
      <c r="E56" s="638"/>
      <c r="F56" s="638"/>
      <c r="G56" s="654"/>
      <c r="H56" s="653"/>
      <c r="I56" s="653"/>
      <c r="J56" s="653"/>
      <c r="K56" s="653"/>
      <c r="L56" s="653"/>
      <c r="M56" s="653"/>
      <c r="N56" s="653"/>
      <c r="O56" s="653"/>
      <c r="P56" s="653"/>
      <c r="Q56" s="653"/>
      <c r="R56" s="653"/>
      <c r="T56" s="456"/>
      <c r="V56" s="361"/>
      <c r="W56" s="361"/>
      <c r="X56" s="361"/>
    </row>
    <row r="57" spans="1:24">
      <c r="A57" s="390"/>
      <c r="B57" s="377" t="s">
        <v>114</v>
      </c>
      <c r="C57" s="638"/>
      <c r="D57" s="638"/>
      <c r="E57" s="638"/>
      <c r="F57" s="638"/>
      <c r="G57" s="654"/>
      <c r="H57" s="653"/>
      <c r="I57" s="653"/>
      <c r="J57" s="653"/>
      <c r="K57" s="653"/>
      <c r="L57" s="653"/>
      <c r="M57" s="653"/>
      <c r="N57" s="653"/>
      <c r="O57" s="653"/>
      <c r="P57" s="653"/>
      <c r="Q57" s="653"/>
      <c r="R57" s="653"/>
      <c r="T57" s="456"/>
      <c r="V57" s="361"/>
      <c r="W57" s="361"/>
      <c r="X57" s="361"/>
    </row>
    <row r="58" spans="1:24">
      <c r="A58" s="390" t="s">
        <v>115</v>
      </c>
      <c r="B58" s="379" t="s">
        <v>16</v>
      </c>
      <c r="C58" s="653">
        <f>SUM(G58:R58)</f>
        <v>-359060.62444262399</v>
      </c>
      <c r="D58" s="653">
        <f>'G-3 COST OF SERVICE'!M57</f>
        <v>-325577.57296426315</v>
      </c>
      <c r="E58" s="653">
        <f>'G-3 COST OF SERVICE'!N57</f>
        <v>0</v>
      </c>
      <c r="F58" s="653">
        <f>'G-3 COST OF SERVICE'!O57</f>
        <v>-33483.051478360794</v>
      </c>
      <c r="G58" s="654">
        <f>IF(SUM('Function Allocators'!$D95:$G95)=0,0,($D58*'Function Allocators'!D95/SUM('Function Allocators'!$D95:$G95)))</f>
        <v>0</v>
      </c>
      <c r="H58" s="654">
        <f>IF(SUM('Function Allocators'!$D95:$G95)=0,0,($D58*'Function Allocators'!E95/SUM('Function Allocators'!$D95:$G95)))</f>
        <v>-298553.02238608268</v>
      </c>
      <c r="I58" s="654">
        <f>IF(SUM('Function Allocators'!$D95:$G95)=0,0,($D58*'Function Allocators'!F95/SUM('Function Allocators'!$D95:$G95)))</f>
        <v>-21165.777487111744</v>
      </c>
      <c r="J58" s="654">
        <f>IF(SUM('Function Allocators'!$D95:$G95)=0,0,($D58*'Function Allocators'!G95/SUM('Function Allocators'!$D95:$G95)))</f>
        <v>-5858.7730910687069</v>
      </c>
      <c r="K58" s="653">
        <f>IF(SUM('Function Allocators'!$H95:$I95)=0,0,($E58*'Function Allocators'!H95/SUM('Function Allocators'!$H95:$I95)))</f>
        <v>0</v>
      </c>
      <c r="L58" s="653">
        <f>IF(SUM('Function Allocators'!$H95:$I95)=0,0,($E58*'Function Allocators'!I95/SUM('Function Allocators'!$H95:$I95)))</f>
        <v>0</v>
      </c>
      <c r="M58" s="653">
        <f>IF(SUM('Function Allocators'!$J95:$O95)=0,0,($F58*'Function Allocators'!J95/SUM('Function Allocators'!$J95:$O95)))</f>
        <v>-27142.484078063848</v>
      </c>
      <c r="N58" s="653">
        <f>IF(SUM('Function Allocators'!$J95:$O95)=0,0,($F58*'Function Allocators'!K95/SUM('Function Allocators'!$J95:$O95)))</f>
        <v>-5226.0101283677977</v>
      </c>
      <c r="O58" s="653">
        <f>IF(SUM('Function Allocators'!$J95:$O95)=0,0,($F58*'Function Allocators'!L95/SUM('Function Allocators'!$J95:$O95)))</f>
        <v>-1114.557271929154</v>
      </c>
      <c r="P58" s="653">
        <f>IF(SUM('Function Allocators'!$J95:$O95)=0,0,($F58*'Function Allocators'!M95/SUM('Function Allocators'!$J95:$O95)))</f>
        <v>0</v>
      </c>
      <c r="Q58" s="653">
        <f>IF(SUM('Function Allocators'!$J95:$O95)=0,0,($F58*'Function Allocators'!N95/SUM('Function Allocators'!$J95:$O95)))</f>
        <v>0</v>
      </c>
      <c r="R58" s="653">
        <f>IF(SUM('Function Allocators'!$J95:$O95)=0,0,($F58*'Function Allocators'!O95/SUM('Function Allocators'!$J95:$O95)))</f>
        <v>0</v>
      </c>
      <c r="T58" s="456" t="s">
        <v>469</v>
      </c>
      <c r="U58" s="52">
        <f>C58-SUM(D58:F58)</f>
        <v>0</v>
      </c>
      <c r="V58" s="361">
        <f>'G-3 COST OF SERVICE'!M57-SUM('Functionalization LARGE'!G58:J58)</f>
        <v>0</v>
      </c>
      <c r="W58" s="361">
        <f>'G-3 COST OF SERVICE'!N57-SUM('Functionalization LARGE'!K58:L58)</f>
        <v>0</v>
      </c>
      <c r="X58" s="361">
        <f>'G-3 COST OF SERVICE'!O57-SUM('Functionalization LARGE'!M58:R58)</f>
        <v>0</v>
      </c>
    </row>
    <row r="59" spans="1:24">
      <c r="A59" s="390" t="s">
        <v>116</v>
      </c>
      <c r="B59" s="379" t="s">
        <v>17</v>
      </c>
      <c r="C59" s="653">
        <f>SUM(G59:R59)</f>
        <v>175502.93451681081</v>
      </c>
      <c r="D59" s="653">
        <f>'G-3 COST OF SERVICE'!M58</f>
        <v>159136.96901961445</v>
      </c>
      <c r="E59" s="653">
        <f>'G-3 COST OF SERVICE'!N58</f>
        <v>0</v>
      </c>
      <c r="F59" s="653">
        <f>'G-3 COST OF SERVICE'!O58</f>
        <v>16365.96549719635</v>
      </c>
      <c r="G59" s="654">
        <f>IF(SUM('Function Allocators'!$D96:$G96)=0,0,($D59*'Function Allocators'!D96/SUM('Function Allocators'!$D96:$G96)))</f>
        <v>0</v>
      </c>
      <c r="H59" s="654">
        <f>IF(SUM('Function Allocators'!$D96:$G96)=0,0,($D59*'Function Allocators'!E96/SUM('Function Allocators'!$D96:$G96)))</f>
        <v>145927.81266104378</v>
      </c>
      <c r="I59" s="654">
        <f>IF(SUM('Function Allocators'!$D96:$G96)=0,0,($D59*'Function Allocators'!F96/SUM('Function Allocators'!$D96:$G96)))</f>
        <v>10345.484320605428</v>
      </c>
      <c r="J59" s="654">
        <f>IF(SUM('Function Allocators'!$D96:$G96)=0,0,($D59*'Function Allocators'!G96/SUM('Function Allocators'!$D96:$G96)))</f>
        <v>2863.6720379652511</v>
      </c>
      <c r="K59" s="653">
        <f>IF(SUM('Function Allocators'!$H96:$I96)=0,0,($E59*'Function Allocators'!H96/SUM('Function Allocators'!$H96:$I96)))</f>
        <v>0</v>
      </c>
      <c r="L59" s="653">
        <f>IF(SUM('Function Allocators'!$H96:$I96)=0,0,($E59*'Function Allocators'!I96/SUM('Function Allocators'!$H96:$I96)))</f>
        <v>0</v>
      </c>
      <c r="M59" s="653">
        <f>IF(SUM('Function Allocators'!$J96:$O96)=0,0,($F59*'Function Allocators'!J96/SUM('Function Allocators'!$J96:$O96)))</f>
        <v>13266.800315881519</v>
      </c>
      <c r="N59" s="653">
        <f>IF(SUM('Function Allocators'!$J96:$O96)=0,0,($F59*'Function Allocators'!K96/SUM('Function Allocators'!$J96:$O96)))</f>
        <v>2554.3878969376783</v>
      </c>
      <c r="O59" s="653">
        <f>IF(SUM('Function Allocators'!$J96:$O96)=0,0,($F59*'Function Allocators'!L96/SUM('Function Allocators'!$J96:$O96)))</f>
        <v>544.77728437715336</v>
      </c>
      <c r="P59" s="653">
        <f>IF(SUM('Function Allocators'!$J96:$O96)=0,0,($F59*'Function Allocators'!M96/SUM('Function Allocators'!$J96:$O96)))</f>
        <v>0</v>
      </c>
      <c r="Q59" s="653">
        <f>IF(SUM('Function Allocators'!$J96:$O96)=0,0,($F59*'Function Allocators'!N96/SUM('Function Allocators'!$J96:$O96)))</f>
        <v>0</v>
      </c>
      <c r="R59" s="653">
        <f>IF(SUM('Function Allocators'!$J96:$O96)=0,0,($F59*'Function Allocators'!O96/SUM('Function Allocators'!$J96:$O96)))</f>
        <v>0</v>
      </c>
      <c r="T59" s="456" t="s">
        <v>127</v>
      </c>
      <c r="U59" s="52">
        <f>C59-SUM(D59:F59)</f>
        <v>0</v>
      </c>
      <c r="V59" s="361">
        <f>'G-3 COST OF SERVICE'!M58-SUM('Functionalization LARGE'!G59:J59)</f>
        <v>0</v>
      </c>
      <c r="W59" s="361">
        <f>'G-3 COST OF SERVICE'!N58-SUM('Functionalization LARGE'!K59:L59)</f>
        <v>0</v>
      </c>
      <c r="X59" s="361">
        <f>'G-3 COST OF SERVICE'!O58-SUM('Functionalization LARGE'!M59:R59)</f>
        <v>0</v>
      </c>
    </row>
    <row r="60" spans="1:24">
      <c r="A60" s="385">
        <v>165</v>
      </c>
      <c r="B60" s="381" t="s">
        <v>18</v>
      </c>
      <c r="C60" s="661">
        <f>SUM(G60:R60)</f>
        <v>32830.809731952606</v>
      </c>
      <c r="D60" s="653">
        <f>'G-3 COST OF SERVICE'!M59</f>
        <v>29769.277451609523</v>
      </c>
      <c r="E60" s="653">
        <f>'G-3 COST OF SERVICE'!N59</f>
        <v>0</v>
      </c>
      <c r="F60" s="653">
        <f>'G-3 COST OF SERVICE'!O59</f>
        <v>3061.5322803430827</v>
      </c>
      <c r="G60" s="654">
        <f>IF(SUM('Function Allocators'!$D97:$G97)=0,0,($D60*'Function Allocators'!D97/SUM('Function Allocators'!$D97:$G97)))</f>
        <v>0</v>
      </c>
      <c r="H60" s="654">
        <f>IF(SUM('Function Allocators'!$D97:$G97)=0,0,($D60*'Function Allocators'!E97/SUM('Function Allocators'!$D97:$G97)))</f>
        <v>27298.280027425106</v>
      </c>
      <c r="I60" s="654">
        <f>IF(SUM('Function Allocators'!$D97:$G97)=0,0,($D60*'Function Allocators'!F97/SUM('Function Allocators'!$D97:$G97)))</f>
        <v>1935.2988498443704</v>
      </c>
      <c r="J60" s="654">
        <f>IF(SUM('Function Allocators'!$D97:$G97)=0,0,($D60*'Function Allocators'!G97/SUM('Function Allocators'!$D97:$G97)))</f>
        <v>535.69857434004666</v>
      </c>
      <c r="K60" s="653">
        <f>IF(SUM('Function Allocators'!$H97:$I97)=0,0,($E60*'Function Allocators'!H97/SUM('Function Allocators'!$H97:$I97)))</f>
        <v>0</v>
      </c>
      <c r="L60" s="653">
        <f>IF(SUM('Function Allocators'!$H97:$I97)=0,0,($E60*'Function Allocators'!I97/SUM('Function Allocators'!$H97:$I97)))</f>
        <v>0</v>
      </c>
      <c r="M60" s="653">
        <f>IF(SUM('Function Allocators'!$J97:$O97)=0,0,($F60*'Function Allocators'!J97/SUM('Function Allocators'!$J97:$O97)))</f>
        <v>2481.7807070957788</v>
      </c>
      <c r="N60" s="653">
        <f>IF(SUM('Function Allocators'!$J97:$O97)=0,0,($F60*'Function Allocators'!K97/SUM('Function Allocators'!$J97:$O97)))</f>
        <v>477.84171391123141</v>
      </c>
      <c r="O60" s="653">
        <f>IF(SUM('Function Allocators'!$J97:$O97)=0,0,($F60*'Function Allocators'!L97/SUM('Function Allocators'!$J97:$O97)))</f>
        <v>101.90985933607266</v>
      </c>
      <c r="P60" s="653">
        <f>IF(SUM('Function Allocators'!$J97:$O97)=0,0,($F60*'Function Allocators'!M97/SUM('Function Allocators'!$J97:$O97)))</f>
        <v>0</v>
      </c>
      <c r="Q60" s="653">
        <f>IF(SUM('Function Allocators'!$J97:$O97)=0,0,($F60*'Function Allocators'!N97/SUM('Function Allocators'!$J97:$O97)))</f>
        <v>0</v>
      </c>
      <c r="R60" s="653">
        <f>IF(SUM('Function Allocators'!$J97:$O97)=0,0,($F60*'Function Allocators'!O97/SUM('Function Allocators'!$J97:$O97)))</f>
        <v>0</v>
      </c>
      <c r="T60" s="456" t="s">
        <v>127</v>
      </c>
      <c r="U60" s="52">
        <f>C60-SUM(D60:F60)</f>
        <v>0</v>
      </c>
      <c r="V60" s="361">
        <f>'G-3 COST OF SERVICE'!M59-SUM('Functionalization LARGE'!G60:J60)</f>
        <v>0</v>
      </c>
      <c r="W60" s="361">
        <f>'G-3 COST OF SERVICE'!N59-SUM('Functionalization LARGE'!K60:L60)</f>
        <v>0</v>
      </c>
      <c r="X60" s="361">
        <f>'G-3 COST OF SERVICE'!O59-SUM('Functionalization LARGE'!M60:R60)</f>
        <v>0</v>
      </c>
    </row>
    <row r="61" spans="1:24">
      <c r="A61" s="374"/>
      <c r="B61" s="387" t="s">
        <v>117</v>
      </c>
      <c r="C61" s="653">
        <f t="shared" ref="C61:R61" si="11">SUM(C58:C60)</f>
        <v>-150726.88019386056</v>
      </c>
      <c r="D61" s="655">
        <f t="shared" si="11"/>
        <v>-136671.32649303917</v>
      </c>
      <c r="E61" s="655">
        <f t="shared" si="11"/>
        <v>0</v>
      </c>
      <c r="F61" s="655">
        <f t="shared" si="11"/>
        <v>-14055.553700821361</v>
      </c>
      <c r="G61" s="655">
        <f t="shared" si="11"/>
        <v>0</v>
      </c>
      <c r="H61" s="655">
        <f t="shared" si="11"/>
        <v>-125326.9296976138</v>
      </c>
      <c r="I61" s="655">
        <f t="shared" si="11"/>
        <v>-8884.994316661945</v>
      </c>
      <c r="J61" s="655">
        <f t="shared" si="11"/>
        <v>-2459.4024787634089</v>
      </c>
      <c r="K61" s="655">
        <f t="shared" si="11"/>
        <v>0</v>
      </c>
      <c r="L61" s="655">
        <f t="shared" si="11"/>
        <v>0</v>
      </c>
      <c r="M61" s="655">
        <f t="shared" si="11"/>
        <v>-11393.90305508655</v>
      </c>
      <c r="N61" s="655">
        <f t="shared" si="11"/>
        <v>-2193.7805175188878</v>
      </c>
      <c r="O61" s="655">
        <f t="shared" si="11"/>
        <v>-467.87012821592799</v>
      </c>
      <c r="P61" s="655">
        <f t="shared" si="11"/>
        <v>0</v>
      </c>
      <c r="Q61" s="655">
        <f t="shared" si="11"/>
        <v>0</v>
      </c>
      <c r="R61" s="655">
        <f t="shared" si="11"/>
        <v>0</v>
      </c>
      <c r="T61" s="456"/>
      <c r="U61" s="52">
        <f>C61-SUM(D61:F61)</f>
        <v>0</v>
      </c>
      <c r="V61" s="361">
        <f>'G-3 COST OF SERVICE'!M60-SUM('Functionalization LARGE'!G61:J61)</f>
        <v>0</v>
      </c>
      <c r="W61" s="361">
        <f>'G-3 COST OF SERVICE'!N60-SUM('Functionalization LARGE'!K61:L61)</f>
        <v>0</v>
      </c>
      <c r="X61" s="361">
        <f>'G-3 COST OF SERVICE'!O60-SUM('Functionalization LARGE'!M61:R61)</f>
        <v>0</v>
      </c>
    </row>
    <row r="62" spans="1:24">
      <c r="A62" s="374"/>
      <c r="B62" s="387"/>
      <c r="C62" s="638"/>
      <c r="D62" s="638"/>
      <c r="E62" s="638"/>
      <c r="F62" s="638"/>
      <c r="G62" s="654"/>
      <c r="H62" s="653"/>
      <c r="I62" s="653"/>
      <c r="J62" s="653"/>
      <c r="K62" s="653"/>
      <c r="L62" s="653"/>
      <c r="M62" s="653"/>
      <c r="N62" s="653"/>
      <c r="O62" s="653"/>
      <c r="P62" s="653"/>
      <c r="Q62" s="653"/>
      <c r="R62" s="653"/>
      <c r="T62" s="456"/>
      <c r="V62" s="361"/>
      <c r="W62" s="361"/>
      <c r="X62" s="361"/>
    </row>
    <row r="63" spans="1:24">
      <c r="A63" s="386"/>
      <c r="B63" s="377" t="s">
        <v>118</v>
      </c>
      <c r="C63" s="638"/>
      <c r="D63" s="638"/>
      <c r="E63" s="638"/>
      <c r="F63" s="638"/>
      <c r="G63" s="654"/>
      <c r="H63" s="653"/>
      <c r="I63" s="653"/>
      <c r="J63" s="653"/>
      <c r="K63" s="653"/>
      <c r="L63" s="653"/>
      <c r="M63" s="653"/>
      <c r="N63" s="653"/>
      <c r="O63" s="653"/>
      <c r="P63" s="653"/>
      <c r="Q63" s="653"/>
      <c r="R63" s="653"/>
      <c r="T63" s="456"/>
      <c r="V63" s="361"/>
      <c r="W63" s="361"/>
      <c r="X63" s="361"/>
    </row>
    <row r="64" spans="1:24">
      <c r="A64" s="385">
        <v>252</v>
      </c>
      <c r="B64" s="381" t="s">
        <v>119</v>
      </c>
      <c r="C64" s="653">
        <f>SUM(G64:R64)</f>
        <v>-2486.8321850643242</v>
      </c>
      <c r="D64" s="653">
        <f>'G-3 COST OF SERVICE'!M63</f>
        <v>0</v>
      </c>
      <c r="E64" s="653">
        <f>'G-3 COST OF SERVICE'!N63</f>
        <v>0</v>
      </c>
      <c r="F64" s="653">
        <f>'G-3 COST OF SERVICE'!O63</f>
        <v>-2486.8321850643242</v>
      </c>
      <c r="G64" s="654">
        <f>IF(SUM('Function Allocators'!$D101:$G101)=0,0,($D64*'Function Allocators'!D101/SUM('Function Allocators'!$D101:$G101)))</f>
        <v>0</v>
      </c>
      <c r="H64" s="654">
        <f>IF(SUM('Function Allocators'!$D101:$G101)=0,0,($D64*'Function Allocators'!E101/SUM('Function Allocators'!$D101:$G101)))</f>
        <v>0</v>
      </c>
      <c r="I64" s="654">
        <f>IF(SUM('Function Allocators'!$D101:$G101)=0,0,($D64*'Function Allocators'!F101/SUM('Function Allocators'!$D101:$G101)))</f>
        <v>0</v>
      </c>
      <c r="J64" s="654">
        <f>IF(SUM('Function Allocators'!$D101:$G101)=0,0,($D64*'Function Allocators'!G101/SUM('Function Allocators'!$D101:$G101)))</f>
        <v>0</v>
      </c>
      <c r="K64" s="653">
        <f>IF(SUM('Function Allocators'!$H101:$I101)=0,0,($E64*'Function Allocators'!H101/SUM('Function Allocators'!$H101:$I101)))</f>
        <v>0</v>
      </c>
      <c r="L64" s="653">
        <f>IF(SUM('Function Allocators'!$H101:$I101)=0,0,($E64*'Function Allocators'!I101/SUM('Function Allocators'!$H101:$I101)))</f>
        <v>0</v>
      </c>
      <c r="M64" s="653">
        <f>IF(SUM('Function Allocators'!$J101:$O101)=0,0,($F64*'Function Allocators'!J101/SUM('Function Allocators'!$J101:$O101)))</f>
        <v>-2486.8321850643242</v>
      </c>
      <c r="N64" s="653">
        <f>IF(SUM('Function Allocators'!$J101:$O101)=0,0,($F64*'Function Allocators'!K101/SUM('Function Allocators'!$J101:$O101)))</f>
        <v>0</v>
      </c>
      <c r="O64" s="653">
        <f>IF(SUM('Function Allocators'!$J101:$O101)=0,0,($F64*'Function Allocators'!L101/SUM('Function Allocators'!$J101:$O101)))</f>
        <v>0</v>
      </c>
      <c r="P64" s="653">
        <f>IF(SUM('Function Allocators'!$J101:$O101)=0,0,($F64*'Function Allocators'!M101/SUM('Function Allocators'!$J101:$O101)))</f>
        <v>0</v>
      </c>
      <c r="Q64" s="653">
        <f>IF(SUM('Function Allocators'!$J101:$O101)=0,0,($F64*'Function Allocators'!N101/SUM('Function Allocators'!$J101:$O101)))</f>
        <v>0</v>
      </c>
      <c r="R64" s="653">
        <f>IF(SUM('Function Allocators'!$J101:$O101)=0,0,($F64*'Function Allocators'!O101/SUM('Function Allocators'!$J101:$O101)))</f>
        <v>0</v>
      </c>
      <c r="T64" s="456" t="s">
        <v>127</v>
      </c>
      <c r="U64" s="52">
        <f>C64-SUM(D64:F64)</f>
        <v>0</v>
      </c>
      <c r="V64" s="361">
        <f>'G-3 COST OF SERVICE'!M63-SUM('Functionalization LARGE'!G64:J64)</f>
        <v>0</v>
      </c>
      <c r="W64" s="361">
        <f>'G-3 COST OF SERVICE'!N63-SUM('Functionalization LARGE'!K64:L64)</f>
        <v>0</v>
      </c>
      <c r="X64" s="361">
        <f>'G-3 COST OF SERVICE'!O63-SUM('Functionalization LARGE'!M64:R64)</f>
        <v>0</v>
      </c>
    </row>
    <row r="65" spans="1:24">
      <c r="A65" s="385">
        <v>235</v>
      </c>
      <c r="B65" s="381" t="s">
        <v>20</v>
      </c>
      <c r="C65" s="653">
        <f>SUM(G65:R65)</f>
        <v>-730.19179417366468</v>
      </c>
      <c r="D65" s="653">
        <f>'G-3 COST OF SERVICE'!M64</f>
        <v>0</v>
      </c>
      <c r="E65" s="653">
        <f>'G-3 COST OF SERVICE'!N64</f>
        <v>0</v>
      </c>
      <c r="F65" s="653">
        <f>'G-3 COST OF SERVICE'!O64</f>
        <v>-730.19179417366468</v>
      </c>
      <c r="G65" s="654">
        <f>IF(SUM('Function Allocators'!$D102:$G102)=0,0,($D65*'Function Allocators'!D102/SUM('Function Allocators'!$D102:$G102)))</f>
        <v>0</v>
      </c>
      <c r="H65" s="654">
        <f>IF(SUM('Function Allocators'!$D102:$G102)=0,0,($D65*'Function Allocators'!E102/SUM('Function Allocators'!$D102:$G102)))</f>
        <v>0</v>
      </c>
      <c r="I65" s="654">
        <f>IF(SUM('Function Allocators'!$D102:$G102)=0,0,($D65*'Function Allocators'!F102/SUM('Function Allocators'!$D102:$G102)))</f>
        <v>0</v>
      </c>
      <c r="J65" s="654">
        <f>IF(SUM('Function Allocators'!$D102:$G102)=0,0,($D65*'Function Allocators'!G102/SUM('Function Allocators'!$D102:$G102)))</f>
        <v>0</v>
      </c>
      <c r="K65" s="653">
        <f>IF(SUM('Function Allocators'!$H102:$I102)=0,0,($E65*'Function Allocators'!H102/SUM('Function Allocators'!$H102:$I102)))</f>
        <v>0</v>
      </c>
      <c r="L65" s="653">
        <f>IF(SUM('Function Allocators'!$H102:$I102)=0,0,($E65*'Function Allocators'!I102/SUM('Function Allocators'!$H102:$I102)))</f>
        <v>0</v>
      </c>
      <c r="M65" s="653">
        <f>IF(SUM('Function Allocators'!$J102:$O102)=0,0,($F65*'Function Allocators'!J102/SUM('Function Allocators'!$J102:$O102)))</f>
        <v>-730.19179417366468</v>
      </c>
      <c r="N65" s="653">
        <f>IF(SUM('Function Allocators'!$J102:$O102)=0,0,($F65*'Function Allocators'!K102/SUM('Function Allocators'!$J102:$O102)))</f>
        <v>0</v>
      </c>
      <c r="O65" s="653">
        <f>IF(SUM('Function Allocators'!$J102:$O102)=0,0,($F65*'Function Allocators'!L102/SUM('Function Allocators'!$J102:$O102)))</f>
        <v>0</v>
      </c>
      <c r="P65" s="653">
        <f>IF(SUM('Function Allocators'!$J102:$O102)=0,0,($F65*'Function Allocators'!M102/SUM('Function Allocators'!$J102:$O102)))</f>
        <v>0</v>
      </c>
      <c r="Q65" s="653">
        <f>IF(SUM('Function Allocators'!$J102:$O102)=0,0,($F65*'Function Allocators'!N102/SUM('Function Allocators'!$J102:$O102)))</f>
        <v>0</v>
      </c>
      <c r="R65" s="653">
        <f>IF(SUM('Function Allocators'!$J102:$O102)=0,0,($F65*'Function Allocators'!O102/SUM('Function Allocators'!$J102:$O102)))</f>
        <v>0</v>
      </c>
      <c r="T65" s="456" t="s">
        <v>127</v>
      </c>
      <c r="U65" s="52">
        <f>C65-SUM(D65:F65)</f>
        <v>0</v>
      </c>
      <c r="V65" s="361">
        <f>'G-3 COST OF SERVICE'!M64-SUM('Functionalization LARGE'!G65:J65)</f>
        <v>0</v>
      </c>
      <c r="W65" s="361">
        <f>'G-3 COST OF SERVICE'!N64-SUM('Functionalization LARGE'!K65:L65)</f>
        <v>0</v>
      </c>
      <c r="X65" s="361">
        <f>'G-3 COST OF SERVICE'!O64-SUM('Functionalization LARGE'!M65:R65)</f>
        <v>0</v>
      </c>
    </row>
    <row r="66" spans="1:24">
      <c r="A66" s="374"/>
      <c r="B66" s="377" t="s">
        <v>121</v>
      </c>
      <c r="C66" s="655">
        <f t="shared" ref="C66:R66" si="12">SUM(C64:C65)</f>
        <v>-3217.0239792379889</v>
      </c>
      <c r="D66" s="655">
        <f t="shared" si="12"/>
        <v>0</v>
      </c>
      <c r="E66" s="655">
        <f t="shared" si="12"/>
        <v>0</v>
      </c>
      <c r="F66" s="655">
        <f t="shared" si="12"/>
        <v>-3217.0239792379889</v>
      </c>
      <c r="G66" s="655">
        <f t="shared" si="12"/>
        <v>0</v>
      </c>
      <c r="H66" s="655">
        <f t="shared" si="12"/>
        <v>0</v>
      </c>
      <c r="I66" s="655">
        <f t="shared" si="12"/>
        <v>0</v>
      </c>
      <c r="J66" s="655">
        <f t="shared" si="12"/>
        <v>0</v>
      </c>
      <c r="K66" s="655">
        <f t="shared" si="12"/>
        <v>0</v>
      </c>
      <c r="L66" s="655">
        <f t="shared" si="12"/>
        <v>0</v>
      </c>
      <c r="M66" s="655">
        <f t="shared" si="12"/>
        <v>-3217.0239792379889</v>
      </c>
      <c r="N66" s="655">
        <f t="shared" si="12"/>
        <v>0</v>
      </c>
      <c r="O66" s="655">
        <f t="shared" si="12"/>
        <v>0</v>
      </c>
      <c r="P66" s="655">
        <f t="shared" si="12"/>
        <v>0</v>
      </c>
      <c r="Q66" s="655">
        <f t="shared" si="12"/>
        <v>0</v>
      </c>
      <c r="R66" s="655">
        <f t="shared" si="12"/>
        <v>0</v>
      </c>
      <c r="T66" s="456"/>
      <c r="U66" s="52">
        <f>C66-SUM(D66:F66)</f>
        <v>0</v>
      </c>
      <c r="V66" s="361">
        <f>'G-3 COST OF SERVICE'!M65-SUM('Functionalization LARGE'!G66:J66)</f>
        <v>0</v>
      </c>
      <c r="W66" s="361">
        <f>'G-3 COST OF SERVICE'!N65-SUM('Functionalization LARGE'!K66:L66)</f>
        <v>0</v>
      </c>
      <c r="X66" s="361">
        <f>'G-3 COST OF SERVICE'!O65-SUM('Functionalization LARGE'!M66:R66)</f>
        <v>0</v>
      </c>
    </row>
    <row r="67" spans="1:24">
      <c r="A67" s="374"/>
      <c r="B67" s="377"/>
      <c r="C67" s="655"/>
      <c r="D67" s="637"/>
      <c r="E67" s="637"/>
      <c r="F67" s="637"/>
      <c r="G67" s="654"/>
      <c r="H67" s="653"/>
      <c r="I67" s="653"/>
      <c r="J67" s="653"/>
      <c r="K67" s="653"/>
      <c r="L67" s="653"/>
      <c r="M67" s="653"/>
      <c r="N67" s="653"/>
      <c r="O67" s="653"/>
      <c r="P67" s="653"/>
      <c r="Q67" s="653"/>
      <c r="R67" s="653"/>
      <c r="T67" s="456"/>
      <c r="V67" s="361"/>
      <c r="W67" s="361"/>
      <c r="X67" s="361"/>
    </row>
    <row r="68" spans="1:24">
      <c r="B68" s="360" t="s">
        <v>123</v>
      </c>
      <c r="C68" s="654">
        <f>SUM(G68:R68)</f>
        <v>0</v>
      </c>
      <c r="D68" s="654">
        <f>'G-3 COST OF SERVICE'!M68</f>
        <v>0</v>
      </c>
      <c r="E68" s="654">
        <f>'G-3 COST OF SERVICE'!N68</f>
        <v>0</v>
      </c>
      <c r="F68" s="654">
        <f>'G-3 COST OF SERVICE'!O68</f>
        <v>0</v>
      </c>
      <c r="G68" s="654">
        <f>IF(SUM('Function Allocators'!$D106:$G106)=0,0,($D68*'Function Allocators'!D106/SUM('Function Allocators'!$D106:$G106)))</f>
        <v>0</v>
      </c>
      <c r="H68" s="654">
        <f>IF(SUM('Function Allocators'!$D106:$G106)=0,0,($D68*'Function Allocators'!E106/SUM('Function Allocators'!$D106:$G106)))</f>
        <v>0</v>
      </c>
      <c r="I68" s="654">
        <f>IF(SUM('Function Allocators'!$D106:$G106)=0,0,($D68*'Function Allocators'!F106/SUM('Function Allocators'!$D106:$G106)))</f>
        <v>0</v>
      </c>
      <c r="J68" s="654">
        <f>IF(SUM('Function Allocators'!$D106:$G106)=0,0,($D68*'Function Allocators'!G106/SUM('Function Allocators'!$D106:$G106)))</f>
        <v>0</v>
      </c>
      <c r="K68" s="654">
        <f>IF(SUM('Function Allocators'!$H106:$I106)=0,0,($E68*'Function Allocators'!H106/SUM('Function Allocators'!$H106:$I106)))</f>
        <v>0</v>
      </c>
      <c r="L68" s="654">
        <f>IF(SUM('Function Allocators'!$H106:$I106)=0,0,($E68*'Function Allocators'!I106/SUM('Function Allocators'!$H106:$I106)))</f>
        <v>0</v>
      </c>
      <c r="M68" s="654">
        <f>IF(SUM('Function Allocators'!$J106:$O106)=0,0,($F68*'Function Allocators'!J106/SUM('Function Allocators'!$J106:$O106)))</f>
        <v>0</v>
      </c>
      <c r="N68" s="654">
        <f>IF(SUM('Function Allocators'!$J106:$O106)=0,0,($F68*'Function Allocators'!K106/SUM('Function Allocators'!$J106:$O106)))</f>
        <v>0</v>
      </c>
      <c r="O68" s="654">
        <f>IF(SUM('Function Allocators'!$J106:$O106)=0,0,($F68*'Function Allocators'!L106/SUM('Function Allocators'!$J106:$O106)))</f>
        <v>0</v>
      </c>
      <c r="P68" s="654">
        <f>IF(SUM('Function Allocators'!$J106:$O106)=0,0,($F68*'Function Allocators'!M106/SUM('Function Allocators'!$J106:$O106)))</f>
        <v>0</v>
      </c>
      <c r="Q68" s="654">
        <f>IF(SUM('Function Allocators'!$J106:$O106)=0,0,($F68*'Function Allocators'!N106/SUM('Function Allocators'!$J106:$O106)))</f>
        <v>0</v>
      </c>
      <c r="R68" s="654">
        <f>IF(SUM('Function Allocators'!$J106:$O106)=0,0,($F68*'Function Allocators'!O106/SUM('Function Allocators'!$J106:$O106)))</f>
        <v>0</v>
      </c>
      <c r="U68" s="52">
        <f>C68-SUM(D68:F68)</f>
        <v>0</v>
      </c>
      <c r="V68" s="361">
        <f>'G-3 COST OF SERVICE'!M68-SUM('Functionalization LARGE'!G68:J68)</f>
        <v>0</v>
      </c>
      <c r="W68" s="361">
        <f>'G-3 COST OF SERVICE'!N68-SUM('Functionalization LARGE'!K68:L68)</f>
        <v>0</v>
      </c>
      <c r="X68" s="361">
        <f>'G-3 COST OF SERVICE'!O68-SUM('Functionalization LARGE'!M68:R68)</f>
        <v>0</v>
      </c>
    </row>
    <row r="69" spans="1:24">
      <c r="A69" s="663">
        <v>182.3</v>
      </c>
      <c r="B69" s="360" t="s">
        <v>125</v>
      </c>
      <c r="C69" s="654">
        <f>SUM(G69:R69)</f>
        <v>45800.538918645361</v>
      </c>
      <c r="D69" s="654">
        <f>'G-3 COST OF SERVICE'!M69</f>
        <v>44507.033126773858</v>
      </c>
      <c r="E69" s="654">
        <f>'G-3 COST OF SERVICE'!N69</f>
        <v>889.07541676251367</v>
      </c>
      <c r="F69" s="654">
        <f>'G-3 COST OF SERVICE'!O69</f>
        <v>404.43037510899154</v>
      </c>
      <c r="G69" s="654">
        <f>IF(SUM('Function Allocators'!$D107:$G107)=0,0,($D69*'Function Allocators'!D107/SUM('Function Allocators'!$D107:$G107)))</f>
        <v>0</v>
      </c>
      <c r="H69" s="654">
        <f>IF(SUM('Function Allocators'!$D107:$G107)=0,0,($D69*'Function Allocators'!E107/SUM('Function Allocators'!$D107:$G107)))</f>
        <v>31289.159052946336</v>
      </c>
      <c r="I69" s="654">
        <f>IF(SUM('Function Allocators'!$D107:$G107)=0,0,($D69*'Function Allocators'!F107/SUM('Function Allocators'!$D107:$G107)))</f>
        <v>12808.861051827334</v>
      </c>
      <c r="J69" s="654">
        <f>IF(SUM('Function Allocators'!$D107:$G107)=0,0,($D69*'Function Allocators'!G107/SUM('Function Allocators'!$D107:$G107)))</f>
        <v>409.01302200018455</v>
      </c>
      <c r="K69" s="654">
        <f>IF(SUM('Function Allocators'!$H107:$I107)=0,0,($E69*'Function Allocators'!H107/SUM('Function Allocators'!$H107:$I107)))</f>
        <v>889.07541676251367</v>
      </c>
      <c r="L69" s="654">
        <f>IF(SUM('Function Allocators'!$H107:$I107)=0,0,($E69*'Function Allocators'!I107/SUM('Function Allocators'!$H107:$I107)))</f>
        <v>0</v>
      </c>
      <c r="M69" s="654">
        <f>IF(SUM('Function Allocators'!$J107:$O107)=0,0,($F69*'Function Allocators'!J107/SUM('Function Allocators'!$J107:$O107)))</f>
        <v>169.23775378265358</v>
      </c>
      <c r="N69" s="654">
        <f>IF(SUM('Function Allocators'!$J107:$O107)=0,0,($F69*'Function Allocators'!K107/SUM('Function Allocators'!$J107:$O107)))</f>
        <v>203.96125621878053</v>
      </c>
      <c r="O69" s="654">
        <f>IF(SUM('Function Allocators'!$J107:$O107)=0,0,($F69*'Function Allocators'!L107/SUM('Function Allocators'!$J107:$O107)))</f>
        <v>31.231365107557423</v>
      </c>
      <c r="P69" s="654">
        <f>IF(SUM('Function Allocators'!$J107:$O107)=0,0,($F69*'Function Allocators'!M107/SUM('Function Allocators'!$J107:$O107)))</f>
        <v>0</v>
      </c>
      <c r="Q69" s="654">
        <f>IF(SUM('Function Allocators'!$J107:$O107)=0,0,($F69*'Function Allocators'!N107/SUM('Function Allocators'!$J107:$O107)))</f>
        <v>0</v>
      </c>
      <c r="R69" s="654">
        <f>IF(SUM('Function Allocators'!$J107:$O107)=0,0,($F69*'Function Allocators'!O107/SUM('Function Allocators'!$J107:$O107)))</f>
        <v>0</v>
      </c>
      <c r="T69" s="456"/>
      <c r="U69" s="52">
        <f>C69-SUM(D69:F69)</f>
        <v>0</v>
      </c>
      <c r="V69" s="361">
        <f>'G-3 COST OF SERVICE'!M69-SUM('Functionalization LARGE'!G69:J69)</f>
        <v>0</v>
      </c>
      <c r="W69" s="361">
        <f>'G-3 COST OF SERVICE'!N69-SUM('Functionalization LARGE'!K69:L69)</f>
        <v>0</v>
      </c>
      <c r="X69" s="361">
        <f>'G-3 COST OF SERVICE'!O69-SUM('Functionalization LARGE'!M69:R69)</f>
        <v>0</v>
      </c>
    </row>
    <row r="70" spans="1:24">
      <c r="A70" s="390">
        <v>254</v>
      </c>
      <c r="B70" s="360" t="s">
        <v>126</v>
      </c>
      <c r="C70" s="654">
        <f>SUM(G70:R70)</f>
        <v>-1687076.7980049902</v>
      </c>
      <c r="D70" s="654">
        <f>'G-3 COST OF SERVICE'!M70</f>
        <v>-1529753.827697895</v>
      </c>
      <c r="E70" s="654">
        <f>'G-3 COST OF SERVICE'!N70</f>
        <v>0</v>
      </c>
      <c r="F70" s="654">
        <f>'G-3 COST OF SERVICE'!O70</f>
        <v>-157322.97030709547</v>
      </c>
      <c r="G70" s="654">
        <f>IF(SUM('Function Allocators'!$D108:$G108)=0,0,($D70*'Function Allocators'!D108/SUM('Function Allocators'!$D108:$G108)))</f>
        <v>0</v>
      </c>
      <c r="H70" s="654">
        <f>IF(SUM('Function Allocators'!$D108:$G108)=0,0,($D70*'Function Allocators'!E108/SUM('Function Allocators'!$D108:$G108)))</f>
        <v>-1402776.6857762532</v>
      </c>
      <c r="I70" s="654">
        <f>IF(SUM('Function Allocators'!$D108:$G108)=0,0,($D70*'Function Allocators'!F108/SUM('Function Allocators'!$D108:$G108)))</f>
        <v>-99449.199870610013</v>
      </c>
      <c r="J70" s="654">
        <f>IF(SUM('Function Allocators'!$D108:$G108)=0,0,($D70*'Function Allocators'!G108/SUM('Function Allocators'!$D108:$G108)))</f>
        <v>-27527.942051031707</v>
      </c>
      <c r="K70" s="654">
        <f>IF(SUM('Function Allocators'!$H108:$I108)=0,0,($E70*'Function Allocators'!H108/SUM('Function Allocators'!$H108:$I108)))</f>
        <v>0</v>
      </c>
      <c r="L70" s="654">
        <f>IF(SUM('Function Allocators'!$H108:$I108)=0,0,($E70*'Function Allocators'!I108/SUM('Function Allocators'!$H108:$I108)))</f>
        <v>0</v>
      </c>
      <c r="M70" s="654">
        <f>IF(SUM('Function Allocators'!$J108:$O108)=0,0,($F70*'Function Allocators'!J108/SUM('Function Allocators'!$J108:$O108)))</f>
        <v>-127531.27412636585</v>
      </c>
      <c r="N70" s="654">
        <f>IF(SUM('Function Allocators'!$J108:$O108)=0,0,($F70*'Function Allocators'!K108/SUM('Function Allocators'!$J108:$O108)))</f>
        <v>-24554.85387229819</v>
      </c>
      <c r="O70" s="654">
        <f>IF(SUM('Function Allocators'!$J108:$O108)=0,0,($F70*'Function Allocators'!L108/SUM('Function Allocators'!$J108:$O108)))</f>
        <v>-5236.8423084314381</v>
      </c>
      <c r="P70" s="654">
        <f>IF(SUM('Function Allocators'!$J108:$O108)=0,0,($F70*'Function Allocators'!M108/SUM('Function Allocators'!$J108:$O108)))</f>
        <v>0</v>
      </c>
      <c r="Q70" s="654">
        <f>IF(SUM('Function Allocators'!$J108:$O108)=0,0,($F70*'Function Allocators'!N108/SUM('Function Allocators'!$J108:$O108)))</f>
        <v>0</v>
      </c>
      <c r="R70" s="654">
        <f>IF(SUM('Function Allocators'!$J108:$O108)=0,0,($F70*'Function Allocators'!O108/SUM('Function Allocators'!$J108:$O108)))</f>
        <v>0</v>
      </c>
      <c r="T70" s="456"/>
      <c r="U70" s="52">
        <f>C70-SUM(D70:F70)</f>
        <v>0</v>
      </c>
      <c r="V70" s="361">
        <f>'G-3 COST OF SERVICE'!M70-SUM('Functionalization LARGE'!G70:J70)</f>
        <v>0</v>
      </c>
      <c r="W70" s="361">
        <f>'G-3 COST OF SERVICE'!N70-SUM('Functionalization LARGE'!K70:L70)</f>
        <v>0</v>
      </c>
      <c r="X70" s="361">
        <f>'G-3 COST OF SERVICE'!O70-SUM('Functionalization LARGE'!M70:R70)</f>
        <v>0</v>
      </c>
    </row>
    <row r="71" spans="1:24">
      <c r="A71" s="390"/>
      <c r="B71" s="379" t="s">
        <v>272</v>
      </c>
      <c r="C71" s="654">
        <f>SUM(G71:R71)</f>
        <v>-2548163.1085483576</v>
      </c>
      <c r="D71" s="654">
        <f>'G-3 COST OF SERVICE'!M73</f>
        <v>-2310542.278519846</v>
      </c>
      <c r="E71" s="654">
        <f>'G-3 COST OF SERVICE'!N73</f>
        <v>0</v>
      </c>
      <c r="F71" s="654">
        <f>'G-3 COST OF SERVICE'!O73</f>
        <v>-237620.83002851155</v>
      </c>
      <c r="G71" s="654">
        <f>IF(SUM('Function Allocators'!$D114:$G114)=0,0,($D71*'Function Allocators'!D114/SUM('Function Allocators'!$D$114:$G$114)))</f>
        <v>0</v>
      </c>
      <c r="H71" s="654">
        <f>IF(SUM('Function Allocators'!$D114:$G114)=0,0,($D71*'Function Allocators'!E114/SUM('Function Allocators'!$D$114:$G$114)))</f>
        <v>-2118755.8292863243</v>
      </c>
      <c r="I71" s="654">
        <f>IF(SUM('Function Allocators'!$D114:$G114)=0,0,($D71*'Function Allocators'!F114/SUM('Function Allocators'!$D$114:$G$114)))</f>
        <v>-150208.20782113023</v>
      </c>
      <c r="J71" s="654">
        <f>IF(SUM('Function Allocators'!$D114:$G114)=0,0,($D71*'Function Allocators'!G114/SUM('Function Allocators'!$D$114:$G$114)))</f>
        <v>-41578.24141239153</v>
      </c>
      <c r="K71" s="654">
        <f>IF(SUM('Function Allocators'!$H114:$I114)=0,0,($D71*'Function Allocators'!H114/SUM('Function Allocators'!$H114:$I114)))</f>
        <v>0</v>
      </c>
      <c r="L71" s="654">
        <f>IF(SUM('Function Allocators'!$H114:$I114)=0,0,($D71*'Function Allocators'!I114/SUM('Function Allocators'!$H114:$I114)))</f>
        <v>0</v>
      </c>
      <c r="M71" s="654">
        <f>IF(SUM('Function Allocators'!$J114:$O114)=0,0,($F71*'Function Allocators'!J114/SUM('Function Allocators'!$J114:$O114)))</f>
        <v>-192623.4112752061</v>
      </c>
      <c r="N71" s="654">
        <f>IF(SUM('Function Allocators'!$J114:$O114)=0,0,($F71*'Function Allocators'!K114/SUM('Function Allocators'!$J114:$O114)))</f>
        <v>-37087.684951376439</v>
      </c>
      <c r="O71" s="654">
        <f>IF(SUM('Function Allocators'!$J114:$O114)=0,0,($F71*'Function Allocators'!L114/SUM('Function Allocators'!$J114:$O114)))</f>
        <v>-7909.7338019289964</v>
      </c>
      <c r="P71" s="654">
        <f>IF(SUM('Function Allocators'!$J114:$O114)=0,0,($F71*'Function Allocators'!M114/SUM('Function Allocators'!$J114:$O114)))</f>
        <v>0</v>
      </c>
      <c r="Q71" s="654">
        <f>IF(SUM('Function Allocators'!$J114:$O114)=0,0,($F71*'Function Allocators'!N114/SUM('Function Allocators'!$J114:$O114)))</f>
        <v>0</v>
      </c>
      <c r="R71" s="654">
        <f>IF(SUM('Function Allocators'!$J114:$O114)=0,0,($F71*'Function Allocators'!O114/SUM('Function Allocators'!$J114:$O114)))</f>
        <v>0</v>
      </c>
      <c r="T71" s="456"/>
      <c r="V71" s="361">
        <f>'G-3 COST OF SERVICE'!M73-SUM('Functionalization LARGE'!G71:J71)</f>
        <v>0</v>
      </c>
      <c r="W71" s="361">
        <f>'G-3 COST OF SERVICE'!N73-SUM('Functionalization LARGE'!K71:L71)</f>
        <v>0</v>
      </c>
      <c r="X71" s="361">
        <f>'G-3 COST OF SERVICE'!O73-SUM('Functionalization LARGE'!M71:R71)</f>
        <v>0</v>
      </c>
    </row>
    <row r="72" spans="1:24">
      <c r="A72" s="374"/>
      <c r="B72" s="377"/>
      <c r="C72" s="661"/>
      <c r="D72" s="661"/>
      <c r="E72" s="661"/>
      <c r="F72" s="661"/>
      <c r="G72" s="662"/>
      <c r="H72" s="661"/>
      <c r="I72" s="661"/>
      <c r="J72" s="661"/>
      <c r="K72" s="661"/>
      <c r="L72" s="661"/>
      <c r="M72" s="661"/>
      <c r="N72" s="661"/>
      <c r="O72" s="661"/>
      <c r="P72" s="661"/>
      <c r="Q72" s="661"/>
      <c r="R72" s="661"/>
      <c r="T72" s="456"/>
      <c r="V72" s="361"/>
      <c r="W72" s="361"/>
      <c r="X72" s="361"/>
    </row>
    <row r="73" spans="1:24">
      <c r="A73" s="390"/>
      <c r="B73" s="377" t="s">
        <v>470</v>
      </c>
      <c r="C73" s="660">
        <f>SUM(G73:R73)</f>
        <v>18983739.715933848</v>
      </c>
      <c r="D73" s="654">
        <f>'G-3 COST OF SERVICE'!M75</f>
        <v>17060171.724804867</v>
      </c>
      <c r="E73" s="654">
        <f>'G-3 COST OF SERVICE'!N75</f>
        <v>889.07541676251367</v>
      </c>
      <c r="F73" s="654">
        <f>'G-3 COST OF SERVICE'!O75</f>
        <v>1922679.4186788094</v>
      </c>
      <c r="G73" s="660">
        <f t="shared" ref="G73:R73" si="13">+G30-G55+SUM(G61,G66,G68:G71)</f>
        <v>0</v>
      </c>
      <c r="H73" s="660">
        <f t="shared" si="13"/>
        <v>15597765.408902479</v>
      </c>
      <c r="I73" s="660">
        <f t="shared" si="13"/>
        <v>1203075.9998433068</v>
      </c>
      <c r="J73" s="660">
        <f t="shared" si="13"/>
        <v>259330.17000950943</v>
      </c>
      <c r="K73" s="660">
        <f t="shared" si="13"/>
        <v>889.07541676251367</v>
      </c>
      <c r="L73" s="660">
        <f t="shared" si="13"/>
        <v>0</v>
      </c>
      <c r="M73" s="660">
        <f t="shared" si="13"/>
        <v>15718.323227327899</v>
      </c>
      <c r="N73" s="660">
        <f t="shared" si="13"/>
        <v>243346.61726140417</v>
      </c>
      <c r="O73" s="660">
        <f t="shared" si="13"/>
        <v>1663614.121273061</v>
      </c>
      <c r="P73" s="660">
        <f t="shared" si="13"/>
        <v>0</v>
      </c>
      <c r="Q73" s="660">
        <f t="shared" si="13"/>
        <v>0</v>
      </c>
      <c r="R73" s="660">
        <f t="shared" si="13"/>
        <v>0</v>
      </c>
      <c r="T73" s="456"/>
      <c r="U73" s="52">
        <f>C73-SUM(D73:F73)</f>
        <v>-0.50296659022569656</v>
      </c>
      <c r="V73" s="361">
        <f>'G-3 COST OF SERVICE'!M75-SUM('Functionalization LARGE'!G73:J73)</f>
        <v>0.14604957029223442</v>
      </c>
      <c r="W73" s="361">
        <f>'G-3 COST OF SERVICE'!N75-SUM('Functionalization LARGE'!K73:L73)</f>
        <v>0</v>
      </c>
      <c r="X73" s="361">
        <f>'G-3 COST OF SERVICE'!O75-SUM('Functionalization LARGE'!M73:R73)</f>
        <v>0.35691701620817184</v>
      </c>
    </row>
    <row r="74" spans="1:24">
      <c r="A74" s="374"/>
      <c r="B74" s="377"/>
      <c r="C74" s="637"/>
      <c r="D74" s="637"/>
      <c r="E74" s="637"/>
      <c r="F74" s="637"/>
      <c r="G74" s="654"/>
      <c r="H74" s="653"/>
      <c r="I74" s="653"/>
      <c r="J74" s="653"/>
      <c r="K74" s="653"/>
      <c r="L74" s="653"/>
      <c r="M74" s="653"/>
      <c r="N74" s="653"/>
      <c r="O74" s="653"/>
      <c r="P74" s="653"/>
      <c r="Q74" s="653"/>
      <c r="R74" s="653"/>
      <c r="T74" s="456"/>
      <c r="V74" s="361"/>
      <c r="W74" s="361"/>
      <c r="X74" s="361"/>
    </row>
    <row r="75" spans="1:24" ht="11.25">
      <c r="G75" s="456"/>
      <c r="H75" s="456"/>
      <c r="I75" s="456"/>
      <c r="J75" s="456"/>
      <c r="K75" s="456"/>
      <c r="L75" s="456"/>
      <c r="M75" s="456"/>
      <c r="N75" s="456"/>
      <c r="O75" s="456"/>
      <c r="P75" s="456"/>
      <c r="Q75" s="456"/>
      <c r="R75" s="456"/>
      <c r="U75" s="360"/>
      <c r="V75" s="361"/>
      <c r="W75" s="361"/>
      <c r="X75" s="361"/>
    </row>
    <row r="76" spans="1:24" ht="12.75">
      <c r="B76" s="465" t="s">
        <v>437</v>
      </c>
      <c r="C76" s="457"/>
      <c r="D76" s="457"/>
      <c r="E76" s="457"/>
      <c r="F76" s="457"/>
      <c r="G76" s="659"/>
      <c r="H76" s="657"/>
      <c r="I76" s="657"/>
      <c r="J76" s="657"/>
      <c r="K76" s="657"/>
      <c r="L76" s="657"/>
      <c r="M76" s="657"/>
      <c r="N76" s="657"/>
      <c r="O76" s="658"/>
      <c r="P76" s="657"/>
      <c r="Q76" s="657"/>
      <c r="R76" s="657"/>
      <c r="U76" s="360"/>
      <c r="V76" s="361"/>
      <c r="W76" s="361"/>
      <c r="X76" s="361"/>
    </row>
    <row r="77" spans="1:24">
      <c r="A77" s="385">
        <v>807</v>
      </c>
      <c r="B77" s="379" t="s">
        <v>471</v>
      </c>
      <c r="C77" s="654">
        <f>SUM(G77:R77)</f>
        <v>60743.730910819024</v>
      </c>
      <c r="D77" s="654">
        <f>'G-4 COST OF SERVICE'!M7</f>
        <v>0</v>
      </c>
      <c r="E77" s="654">
        <f>'G-4 COST OF SERVICE'!N7</f>
        <v>60743.730910819024</v>
      </c>
      <c r="F77" s="654">
        <f>'G-4 COST OF SERVICE'!O7</f>
        <v>0</v>
      </c>
      <c r="G77" s="654">
        <f>IF(SUM('Function Allocators'!$D123:$G123)=0,0,($D77*'Function Allocators'!D123/SUM('Function Allocators'!$D123:$G123)))</f>
        <v>0</v>
      </c>
      <c r="H77" s="654">
        <f>IF(SUM('Function Allocators'!$D123:$G123)=0,0,($D77*'Function Allocators'!E123/SUM('Function Allocators'!$D123:$G123)))</f>
        <v>0</v>
      </c>
      <c r="I77" s="654">
        <f>IF(SUM('Function Allocators'!$D123:$G123)=0,0,($D77*'Function Allocators'!F123/SUM('Function Allocators'!$D123:$G123)))</f>
        <v>0</v>
      </c>
      <c r="J77" s="654">
        <f>IF(SUM('Function Allocators'!$D123:$G123)=0,0,($D77*'Function Allocators'!G123/SUM('Function Allocators'!$D123:$G123)))</f>
        <v>0</v>
      </c>
      <c r="K77" s="654">
        <f>IF(SUM('Function Allocators'!$H123:$I123)=0,0,($E77*'Function Allocators'!H123/SUM('Function Allocators'!$H$123:$I$123)))</f>
        <v>60743.730910819024</v>
      </c>
      <c r="L77" s="654">
        <f>IF(SUM('Function Allocators'!$H123:$I123)=0,0,($E77*'Function Allocators'!I123/SUM('Function Allocators'!$H$123:$I$123)))</f>
        <v>0</v>
      </c>
      <c r="M77" s="654">
        <f>IF(SUM('Function Allocators'!$J123:$O123)=0,0,($F77*'Function Allocators'!J123/SUM('Function Allocators'!$J123:$O123)))</f>
        <v>0</v>
      </c>
      <c r="N77" s="654">
        <f>IF(SUM('Function Allocators'!$J123:$O123)=0,0,($F77*'Function Allocators'!K123/SUM('Function Allocators'!$J123:$O123)))</f>
        <v>0</v>
      </c>
      <c r="O77" s="654">
        <f>IF(SUM('Function Allocators'!$J123:$O123)=0,0,($F77*'Function Allocators'!L123/SUM('Function Allocators'!$J123:$O123)))</f>
        <v>0</v>
      </c>
      <c r="P77" s="654">
        <f>IF(SUM('Function Allocators'!$J123:$O123)=0,0,($F77*'Function Allocators'!M123/SUM('Function Allocators'!$J123:$O123)))</f>
        <v>0</v>
      </c>
      <c r="Q77" s="654">
        <f>IF(SUM('Function Allocators'!$J123:$O123)=0,0,($F77*'Function Allocators'!N123/SUM('Function Allocators'!$J123:$O123)))</f>
        <v>0</v>
      </c>
      <c r="R77" s="654">
        <f>IF(SUM('Function Allocators'!$J123:$O123)=0,0,($F77*'Function Allocators'!O123/SUM('Function Allocators'!$J123:$O123)))</f>
        <v>0</v>
      </c>
      <c r="U77" s="52">
        <f>C77-SUM(D77:F77)</f>
        <v>0</v>
      </c>
      <c r="V77" s="361">
        <f>'G-4 COST OF SERVICE'!M7-SUM('Functionalization LARGE'!G77:J77)</f>
        <v>0</v>
      </c>
      <c r="W77" s="361">
        <f>'G-4 COST OF SERVICE'!N7-SUM('Functionalization LARGE'!K77:L77)</f>
        <v>0</v>
      </c>
      <c r="X77" s="361">
        <f>'G-4 COST OF SERVICE'!O7-SUM('Functionalization LARGE'!M77:R77)</f>
        <v>0</v>
      </c>
    </row>
    <row r="78" spans="1:24">
      <c r="A78" s="385"/>
      <c r="B78" s="379" t="s">
        <v>277</v>
      </c>
      <c r="C78" s="653">
        <f>SUM(G78:R78)</f>
        <v>45795.425192957111</v>
      </c>
      <c r="D78" s="653">
        <f>'G-4 COST OF SERVICE'!M10</f>
        <v>45795.425192957111</v>
      </c>
      <c r="E78" s="653">
        <f>'G-4 COST OF SERVICE'!N10</f>
        <v>0</v>
      </c>
      <c r="F78" s="653">
        <f>'G-4 COST OF SERVICE'!O10</f>
        <v>0</v>
      </c>
      <c r="G78" s="654">
        <f>IF(SUM('Function Allocators'!$D127:$G127)=0,0,($D78*'Function Allocators'!D127/SUM('Function Allocators'!$D127:$G127)))</f>
        <v>0</v>
      </c>
      <c r="H78" s="654">
        <f>IF(SUM('Function Allocators'!$D127:$G127)=0,0,($D78*'Function Allocators'!E127/SUM('Function Allocators'!$D127:$G127)))</f>
        <v>45795.425192957111</v>
      </c>
      <c r="I78" s="654">
        <f>IF(SUM('Function Allocators'!$D127:$G127)=0,0,($D78*'Function Allocators'!F127/SUM('Function Allocators'!$D127:$G127)))</f>
        <v>0</v>
      </c>
      <c r="J78" s="654">
        <f>IF(SUM('Function Allocators'!$D127:$G127)=0,0,($D78*'Function Allocators'!G127/SUM('Function Allocators'!$D127:$G127)))</f>
        <v>0</v>
      </c>
      <c r="K78" s="654">
        <f>IF(SUM('Function Allocators'!$H127:$I127)=0,0,($E78*'Function Allocators'!H127/SUM('Function Allocators'!$H$127:$I$127)))</f>
        <v>0</v>
      </c>
      <c r="L78" s="654">
        <f>IF(SUM('Function Allocators'!$H127:$I127)=0,0,($E78*'Function Allocators'!I127/SUM('Function Allocators'!$H$127:$I$127)))</f>
        <v>0</v>
      </c>
      <c r="M78" s="654">
        <f>IF(SUM('Function Allocators'!$J127:$O127)=0,0,($F78*'Function Allocators'!J127/SUM('Function Allocators'!$J127:$O127)))</f>
        <v>0</v>
      </c>
      <c r="N78" s="654">
        <f>IF(SUM('Function Allocators'!$J127:$O127)=0,0,($F78*'Function Allocators'!K127/SUM('Function Allocators'!$J127:$O127)))</f>
        <v>0</v>
      </c>
      <c r="O78" s="654">
        <f>IF(SUM('Function Allocators'!$J127:$O127)=0,0,($F78*'Function Allocators'!L127/SUM('Function Allocators'!$J127:$O127)))</f>
        <v>0</v>
      </c>
      <c r="P78" s="654">
        <f>IF(SUM('Function Allocators'!$J127:$O127)=0,0,($F78*'Function Allocators'!M127/SUM('Function Allocators'!$J127:$O127)))</f>
        <v>0</v>
      </c>
      <c r="Q78" s="654">
        <f>IF(SUM('Function Allocators'!$J127:$O127)=0,0,($F78*'Function Allocators'!N127/SUM('Function Allocators'!$J127:$O127)))</f>
        <v>0</v>
      </c>
      <c r="R78" s="654">
        <f>IF(SUM('Function Allocators'!$J127:$O127)=0,0,($F78*'Function Allocators'!O127/SUM('Function Allocators'!$J127:$O127)))</f>
        <v>0</v>
      </c>
      <c r="U78" s="52">
        <f>C78-SUM(D78:F78)</f>
        <v>0</v>
      </c>
      <c r="V78" s="361">
        <f>'G-4 COST OF SERVICE'!M10-SUM('Functionalization LARGE'!G78:J78)</f>
        <v>0</v>
      </c>
      <c r="W78" s="361">
        <f>'G-4 COST OF SERVICE'!N10-SUM('Functionalization LARGE'!K78:L78)</f>
        <v>0</v>
      </c>
      <c r="X78" s="361">
        <f>'G-4 COST OF SERVICE'!O10-SUM('Functionalization LARGE'!M78:R78)</f>
        <v>0</v>
      </c>
    </row>
    <row r="79" spans="1:24" ht="11.25">
      <c r="A79" s="390"/>
      <c r="C79" s="653"/>
      <c r="D79" s="653"/>
      <c r="E79" s="653"/>
      <c r="F79" s="653"/>
      <c r="G79" s="654"/>
      <c r="H79" s="654"/>
      <c r="I79" s="654"/>
      <c r="J79" s="654"/>
      <c r="K79" s="654"/>
      <c r="L79" s="654"/>
      <c r="M79" s="654"/>
      <c r="N79" s="654"/>
      <c r="O79" s="654"/>
      <c r="P79" s="654"/>
      <c r="Q79" s="654"/>
      <c r="R79" s="654"/>
      <c r="U79" s="360"/>
    </row>
    <row r="80" spans="1:24" ht="11.25">
      <c r="A80" s="463"/>
      <c r="B80" s="377" t="s">
        <v>138</v>
      </c>
      <c r="C80" s="653"/>
      <c r="D80" s="653"/>
      <c r="E80" s="653"/>
      <c r="F80" s="653"/>
      <c r="G80" s="654"/>
      <c r="H80" s="654"/>
      <c r="I80" s="654"/>
      <c r="J80" s="654"/>
      <c r="K80" s="654"/>
      <c r="L80" s="654"/>
      <c r="M80" s="654"/>
      <c r="N80" s="654"/>
      <c r="O80" s="654"/>
      <c r="P80" s="654"/>
      <c r="Q80" s="654"/>
      <c r="R80" s="654"/>
      <c r="U80" s="360"/>
      <c r="V80" s="361"/>
      <c r="W80" s="361"/>
      <c r="X80" s="361"/>
    </row>
    <row r="81" spans="1:24">
      <c r="A81" s="385">
        <v>871</v>
      </c>
      <c r="B81" s="379" t="s">
        <v>139</v>
      </c>
      <c r="C81" s="653">
        <f t="shared" ref="C81:C95" si="14">SUM(G81:R81)</f>
        <v>0</v>
      </c>
      <c r="D81" s="653">
        <f>'G-4 COST OF SERVICE'!M13</f>
        <v>0</v>
      </c>
      <c r="E81" s="653">
        <f>'G-4 COST OF SERVICE'!N13</f>
        <v>0</v>
      </c>
      <c r="F81" s="653">
        <f>'G-4 COST OF SERVICE'!O13</f>
        <v>0</v>
      </c>
      <c r="G81" s="654">
        <f>IF(SUM('Function Allocators'!$D134:$G134)=0,0,($D81*'Function Allocators'!D134/SUM('Function Allocators'!$D134:$G134)))</f>
        <v>0</v>
      </c>
      <c r="H81" s="654">
        <f>IF(SUM('Function Allocators'!$D134:$G134)=0,0,($D81*'Function Allocators'!E134/SUM('Function Allocators'!$D134:$G134)))</f>
        <v>0</v>
      </c>
      <c r="I81" s="654">
        <f>IF(SUM('Function Allocators'!$D134:$G134)=0,0,($D81*'Function Allocators'!F134/SUM('Function Allocators'!$D134:$G134)))</f>
        <v>0</v>
      </c>
      <c r="J81" s="654">
        <f>IF(SUM('Function Allocators'!$D134:$G134)=0,0,($D81*'Function Allocators'!G134/SUM('Function Allocators'!$D134:$G134)))</f>
        <v>0</v>
      </c>
      <c r="K81" s="654">
        <f>IF(SUM('Function Allocators'!$H134:$I134)=0,0,($E81*'Function Allocators'!H134/SUM('Function Allocators'!$H134:$I134)))</f>
        <v>0</v>
      </c>
      <c r="L81" s="654">
        <f>IF(SUM('Function Allocators'!$H134:$I134)=0,0,($E81*'Function Allocators'!I134/SUM('Function Allocators'!$H$134:$I$134)))</f>
        <v>0</v>
      </c>
      <c r="M81" s="654">
        <f>IF(SUM('Function Allocators'!$J134:$O134)=0,0,($F81*'Function Allocators'!J134/SUM('Function Allocators'!$J134:$O134)))</f>
        <v>0</v>
      </c>
      <c r="N81" s="654">
        <f>IF(SUM('Function Allocators'!$J134:$O134)=0,0,($F81*'Function Allocators'!K134/SUM('Function Allocators'!$J134:$O134)))</f>
        <v>0</v>
      </c>
      <c r="O81" s="654">
        <f>IF(SUM('Function Allocators'!$J134:$O134)=0,0,($F81*'Function Allocators'!L134/SUM('Function Allocators'!$J134:$O134)))</f>
        <v>0</v>
      </c>
      <c r="P81" s="654">
        <f>IF(SUM('Function Allocators'!$J134:$O134)=0,0,($F81*'Function Allocators'!M134/SUM('Function Allocators'!$J134:$O134)))</f>
        <v>0</v>
      </c>
      <c r="Q81" s="654">
        <f>IF(SUM('Function Allocators'!$J134:$O134)=0,0,($F81*'Function Allocators'!N134/SUM('Function Allocators'!$J134:$O134)))</f>
        <v>0</v>
      </c>
      <c r="R81" s="654">
        <f>IF(SUM('Function Allocators'!$J134:$O134)=0,0,($F81*'Function Allocators'!O134/SUM('Function Allocators'!$J134:$O134)))</f>
        <v>0</v>
      </c>
      <c r="T81" s="360" t="s">
        <v>228</v>
      </c>
      <c r="U81" s="52">
        <f t="shared" ref="U81:U96" si="15">C81-SUM(D81:F81)</f>
        <v>0</v>
      </c>
      <c r="V81" s="361">
        <f>'G-4 COST OF SERVICE'!M13-SUM('Functionalization LARGE'!G81:J81)</f>
        <v>0</v>
      </c>
      <c r="W81" s="361">
        <f>'G-4 COST OF SERVICE'!N13-SUM('Functionalization LARGE'!K81:L81)</f>
        <v>0</v>
      </c>
      <c r="X81" s="361">
        <f>'G-4 COST OF SERVICE'!O13-SUM('Functionalization LARGE'!M81:R81)</f>
        <v>0</v>
      </c>
    </row>
    <row r="82" spans="1:24">
      <c r="A82" s="385">
        <v>874</v>
      </c>
      <c r="B82" s="379" t="s">
        <v>140</v>
      </c>
      <c r="C82" s="653">
        <f t="shared" si="14"/>
        <v>137569.84050939939</v>
      </c>
      <c r="D82" s="653">
        <f>'G-4 COST OF SERVICE'!M14</f>
        <v>136406.52699006291</v>
      </c>
      <c r="E82" s="653">
        <f>'G-4 COST OF SERVICE'!N14</f>
        <v>0</v>
      </c>
      <c r="F82" s="653">
        <f>'G-4 COST OF SERVICE'!O14</f>
        <v>1163.3135193364924</v>
      </c>
      <c r="G82" s="654">
        <f>IF(SUM('Function Allocators'!$D135:$G135)=0,0,($D82*'Function Allocators'!D135/SUM('Function Allocators'!$D135:$G135)))</f>
        <v>0</v>
      </c>
      <c r="H82" s="654">
        <f>IF(SUM('Function Allocators'!$D135:$G135)=0,0,($D82*'Function Allocators'!E135/SUM('Function Allocators'!$D135:$G135)))</f>
        <v>136406.52699006291</v>
      </c>
      <c r="I82" s="654">
        <f>IF(SUM('Function Allocators'!$D135:$G135)=0,0,($D82*'Function Allocators'!F135/SUM('Function Allocators'!$D135:$G135)))</f>
        <v>0</v>
      </c>
      <c r="J82" s="654">
        <f>IF(SUM('Function Allocators'!$D135:$G135)=0,0,($D82*'Function Allocators'!G135/SUM('Function Allocators'!$D135:$G135)))</f>
        <v>0</v>
      </c>
      <c r="K82" s="654">
        <f>IF(SUM('Function Allocators'!$H135:$I135)=0,0,($E82*'Function Allocators'!H135/SUM('Function Allocators'!$H135:$I135)))</f>
        <v>0</v>
      </c>
      <c r="L82" s="654">
        <f>IF(SUM('Function Allocators'!$H135:$I135)=0,0,($E82*'Function Allocators'!I135/SUM('Function Allocators'!$H$134:$I$134)))</f>
        <v>0</v>
      </c>
      <c r="M82" s="654">
        <f>IF(SUM('Function Allocators'!$J135:$O135)=0,0,($F82*'Function Allocators'!J135/SUM('Function Allocators'!$J135:$O135)))</f>
        <v>1163.3135193364924</v>
      </c>
      <c r="N82" s="654">
        <f>IF(SUM('Function Allocators'!$J135:$O135)=0,0,($F82*'Function Allocators'!K135/SUM('Function Allocators'!$J135:$O135)))</f>
        <v>0</v>
      </c>
      <c r="O82" s="654">
        <f>IF(SUM('Function Allocators'!$J135:$O135)=0,0,($F82*'Function Allocators'!L135/SUM('Function Allocators'!$J135:$O135)))</f>
        <v>0</v>
      </c>
      <c r="P82" s="654">
        <f>IF(SUM('Function Allocators'!$J135:$O135)=0,0,($F82*'Function Allocators'!M135/SUM('Function Allocators'!$J135:$O135)))</f>
        <v>0</v>
      </c>
      <c r="Q82" s="654">
        <f>IF(SUM('Function Allocators'!$J135:$O135)=0,0,($F82*'Function Allocators'!N135/SUM('Function Allocators'!$J135:$O135)))</f>
        <v>0</v>
      </c>
      <c r="R82" s="654">
        <f>IF(SUM('Function Allocators'!$J135:$O135)=0,0,($F82*'Function Allocators'!O135/SUM('Function Allocators'!$J135:$O135)))</f>
        <v>0</v>
      </c>
      <c r="T82" s="360" t="s">
        <v>438</v>
      </c>
      <c r="U82" s="52">
        <f t="shared" si="15"/>
        <v>0</v>
      </c>
      <c r="V82" s="361">
        <f>'G-4 COST OF SERVICE'!M14-SUM('Functionalization LARGE'!G82:J82)</f>
        <v>0</v>
      </c>
      <c r="W82" s="361">
        <f>'G-4 COST OF SERVICE'!N14-SUM('Functionalization LARGE'!K82:L82)</f>
        <v>0</v>
      </c>
      <c r="X82" s="361">
        <f>'G-4 COST OF SERVICE'!O14-SUM('Functionalization LARGE'!M82:R82)</f>
        <v>0</v>
      </c>
    </row>
    <row r="83" spans="1:24">
      <c r="A83" s="385">
        <v>875</v>
      </c>
      <c r="B83" s="379" t="s">
        <v>142</v>
      </c>
      <c r="C83" s="653">
        <f t="shared" si="14"/>
        <v>90503.743828360006</v>
      </c>
      <c r="D83" s="653">
        <f>'G-4 COST OF SERVICE'!M15</f>
        <v>90503.743828360006</v>
      </c>
      <c r="E83" s="653">
        <f>'G-4 COST OF SERVICE'!N15</f>
        <v>0</v>
      </c>
      <c r="F83" s="653">
        <f>'G-4 COST OF SERVICE'!O15</f>
        <v>0</v>
      </c>
      <c r="G83" s="654">
        <f>IF(SUM('Function Allocators'!$D136:$G136)=0,0,($D83*'Function Allocators'!D136/SUM('Function Allocators'!$D136:$G136)))</f>
        <v>0</v>
      </c>
      <c r="H83" s="654">
        <f>IF(SUM('Function Allocators'!$D136:$G136)=0,0,($D83*'Function Allocators'!E136/SUM('Function Allocators'!$D136:$G136)))</f>
        <v>0</v>
      </c>
      <c r="I83" s="654">
        <f>IF(SUM('Function Allocators'!$D136:$G136)=0,0,($D83*'Function Allocators'!F136/SUM('Function Allocators'!$D136:$G136)))</f>
        <v>90503.743828360006</v>
      </c>
      <c r="J83" s="654">
        <f>IF(SUM('Function Allocators'!$D136:$G136)=0,0,($D83*'Function Allocators'!G136/SUM('Function Allocators'!$D136:$G136)))</f>
        <v>0</v>
      </c>
      <c r="K83" s="654">
        <f>IF(SUM('Function Allocators'!$H136:$I136)=0,0,($E83*'Function Allocators'!H136/SUM('Function Allocators'!$H136:$I136)))</f>
        <v>0</v>
      </c>
      <c r="L83" s="654">
        <f>IF(SUM('Function Allocators'!$H136:$I136)=0,0,($E83*'Function Allocators'!I136/SUM('Function Allocators'!$H$134:$I$134)))</f>
        <v>0</v>
      </c>
      <c r="M83" s="654">
        <f>IF(SUM('Function Allocators'!$J136:$O136)=0,0,($F83*'Function Allocators'!J136/SUM('Function Allocators'!$J136:$O136)))</f>
        <v>0</v>
      </c>
      <c r="N83" s="654">
        <f>IF(SUM('Function Allocators'!$J136:$O136)=0,0,($F83*'Function Allocators'!K136/SUM('Function Allocators'!$J136:$O136)))</f>
        <v>0</v>
      </c>
      <c r="O83" s="654">
        <f>IF(SUM('Function Allocators'!$J136:$O136)=0,0,($F83*'Function Allocators'!L136/SUM('Function Allocators'!$J136:$O136)))</f>
        <v>0</v>
      </c>
      <c r="P83" s="654">
        <f>IF(SUM('Function Allocators'!$J136:$O136)=0,0,($F83*'Function Allocators'!M136/SUM('Function Allocators'!$J136:$O136)))</f>
        <v>0</v>
      </c>
      <c r="Q83" s="654">
        <f>IF(SUM('Function Allocators'!$J136:$O136)=0,0,($F83*'Function Allocators'!N136/SUM('Function Allocators'!$J136:$O136)))</f>
        <v>0</v>
      </c>
      <c r="R83" s="654">
        <f>IF(SUM('Function Allocators'!$J136:$O136)=0,0,($F83*'Function Allocators'!O136/SUM('Function Allocators'!$J136:$O136)))</f>
        <v>0</v>
      </c>
      <c r="T83" s="360" t="s">
        <v>431</v>
      </c>
      <c r="U83" s="52">
        <f t="shared" si="15"/>
        <v>0</v>
      </c>
      <c r="V83" s="361">
        <f>'G-4 COST OF SERVICE'!M15-SUM('Functionalization LARGE'!G83:J83)</f>
        <v>0</v>
      </c>
      <c r="W83" s="361">
        <f>'G-4 COST OF SERVICE'!N15-SUM('Functionalization LARGE'!K83:L83)</f>
        <v>0</v>
      </c>
      <c r="X83" s="361">
        <f>'G-4 COST OF SERVICE'!O15-SUM('Functionalization LARGE'!M83:R83)</f>
        <v>0</v>
      </c>
    </row>
    <row r="84" spans="1:24">
      <c r="A84" s="385">
        <v>876</v>
      </c>
      <c r="B84" s="379" t="s">
        <v>144</v>
      </c>
      <c r="C84" s="654">
        <f t="shared" si="14"/>
        <v>26993.795347970776</v>
      </c>
      <c r="D84" s="654">
        <f>'G-4 COST OF SERVICE'!M16</f>
        <v>26993.795347970776</v>
      </c>
      <c r="E84" s="654">
        <f>'G-4 COST OF SERVICE'!N16</f>
        <v>0</v>
      </c>
      <c r="F84" s="654">
        <f>'G-4 COST OF SERVICE'!O16</f>
        <v>0</v>
      </c>
      <c r="G84" s="654">
        <f>IF(SUM('Function Allocators'!$D137:$G137)=0,0,($D84*'Function Allocators'!D137/SUM('Function Allocators'!$D137:$G137)))</f>
        <v>0</v>
      </c>
      <c r="H84" s="654">
        <f>IF(SUM('Function Allocators'!$D137:$G137)=0,0,($D84*'Function Allocators'!E137/SUM('Function Allocators'!$D137:$G137)))</f>
        <v>0</v>
      </c>
      <c r="I84" s="654">
        <f>IF(SUM('Function Allocators'!$D137:$G137)=0,0,($D84*'Function Allocators'!F137/SUM('Function Allocators'!$D137:$G137)))</f>
        <v>26993.795347970776</v>
      </c>
      <c r="J84" s="654">
        <f>IF(SUM('Function Allocators'!$D137:$G137)=0,0,($D84*'Function Allocators'!G137/SUM('Function Allocators'!$D137:$G137)))</f>
        <v>0</v>
      </c>
      <c r="K84" s="654">
        <f>IF(SUM('Function Allocators'!$H137:$I137)=0,0,($E84*'Function Allocators'!H137/SUM('Function Allocators'!$H137:$I137)))</f>
        <v>0</v>
      </c>
      <c r="L84" s="654">
        <f>IF(SUM('Function Allocators'!$H137:$I137)=0,0,($E84*'Function Allocators'!I137/SUM('Function Allocators'!$H$134:$I$134)))</f>
        <v>0</v>
      </c>
      <c r="M84" s="654">
        <f>IF(SUM('Function Allocators'!$J137:$O137)=0,0,($F84*'Function Allocators'!J137/SUM('Function Allocators'!$J137:$O137)))</f>
        <v>0</v>
      </c>
      <c r="N84" s="654">
        <f>IF(SUM('Function Allocators'!$J137:$O137)=0,0,($F84*'Function Allocators'!K137/SUM('Function Allocators'!$J137:$O137)))</f>
        <v>0</v>
      </c>
      <c r="O84" s="654">
        <f>IF(SUM('Function Allocators'!$J137:$O137)=0,0,($F84*'Function Allocators'!L137/SUM('Function Allocators'!$J137:$O137)))</f>
        <v>0</v>
      </c>
      <c r="P84" s="654">
        <f>IF(SUM('Function Allocators'!$J137:$O137)=0,0,($F84*'Function Allocators'!M137/SUM('Function Allocators'!$J137:$O137)))</f>
        <v>0</v>
      </c>
      <c r="Q84" s="654">
        <f>IF(SUM('Function Allocators'!$J137:$O137)=0,0,($F84*'Function Allocators'!N137/SUM('Function Allocators'!$J137:$O137)))</f>
        <v>0</v>
      </c>
      <c r="R84" s="654">
        <f>IF(SUM('Function Allocators'!$J137:$O137)=0,0,($F84*'Function Allocators'!O137/SUM('Function Allocators'!$J137:$O137)))</f>
        <v>0</v>
      </c>
      <c r="T84" s="360" t="s">
        <v>431</v>
      </c>
      <c r="U84" s="52">
        <f t="shared" si="15"/>
        <v>0</v>
      </c>
      <c r="V84" s="361">
        <f>'G-4 COST OF SERVICE'!M16-SUM('Functionalization LARGE'!G84:J84)</f>
        <v>0</v>
      </c>
      <c r="W84" s="361">
        <f>'G-4 COST OF SERVICE'!N16-SUM('Functionalization LARGE'!K84:L84)</f>
        <v>0</v>
      </c>
      <c r="X84" s="361">
        <f>'G-4 COST OF SERVICE'!O16-SUM('Functionalization LARGE'!M84:R84)</f>
        <v>0</v>
      </c>
    </row>
    <row r="85" spans="1:24">
      <c r="A85" s="385">
        <v>877</v>
      </c>
      <c r="B85" s="379" t="s">
        <v>145</v>
      </c>
      <c r="C85" s="653">
        <f t="shared" si="14"/>
        <v>16720.823089238249</v>
      </c>
      <c r="D85" s="653">
        <f>'G-4 COST OF SERVICE'!M17</f>
        <v>16720.823089238249</v>
      </c>
      <c r="E85" s="653">
        <f>'G-4 COST OF SERVICE'!N17</f>
        <v>0</v>
      </c>
      <c r="F85" s="653">
        <f>'G-4 COST OF SERVICE'!O17</f>
        <v>0</v>
      </c>
      <c r="G85" s="654">
        <f>IF(SUM('Function Allocators'!$D138:$G138)=0,0,($D85*'Function Allocators'!D138/SUM('Function Allocators'!$D138:$G138)))</f>
        <v>0</v>
      </c>
      <c r="H85" s="654">
        <f>IF(SUM('Function Allocators'!$D138:$G138)=0,0,($D85*'Function Allocators'!E138/SUM('Function Allocators'!$D138:$G138)))</f>
        <v>0</v>
      </c>
      <c r="I85" s="654">
        <f>IF(SUM('Function Allocators'!$D138:$G138)=0,0,($D85*'Function Allocators'!F138/SUM('Function Allocators'!$D138:$G138)))</f>
        <v>16720.823089238249</v>
      </c>
      <c r="J85" s="654">
        <f>IF(SUM('Function Allocators'!$D138:$G138)=0,0,($D85*'Function Allocators'!G138/SUM('Function Allocators'!$D138:$G138)))</f>
        <v>0</v>
      </c>
      <c r="K85" s="654">
        <f>IF(SUM('Function Allocators'!$H138:$I138)=0,0,($E85*'Function Allocators'!H138/SUM('Function Allocators'!$H138:$I138)))</f>
        <v>0</v>
      </c>
      <c r="L85" s="654">
        <f>IF(SUM('Function Allocators'!$H138:$I138)=0,0,($E85*'Function Allocators'!I138/SUM('Function Allocators'!$H$134:$I$134)))</f>
        <v>0</v>
      </c>
      <c r="M85" s="654">
        <f>IF(SUM('Function Allocators'!$J138:$O138)=0,0,($F85*'Function Allocators'!J138/SUM('Function Allocators'!$J138:$O138)))</f>
        <v>0</v>
      </c>
      <c r="N85" s="654">
        <f>IF(SUM('Function Allocators'!$J138:$O138)=0,0,($F85*'Function Allocators'!K138/SUM('Function Allocators'!$J138:$O138)))</f>
        <v>0</v>
      </c>
      <c r="O85" s="654">
        <f>IF(SUM('Function Allocators'!$J138:$O138)=0,0,($F85*'Function Allocators'!L138/SUM('Function Allocators'!$J138:$O138)))</f>
        <v>0</v>
      </c>
      <c r="P85" s="654">
        <f>IF(SUM('Function Allocators'!$J138:$O138)=0,0,($F85*'Function Allocators'!M138/SUM('Function Allocators'!$J138:$O138)))</f>
        <v>0</v>
      </c>
      <c r="Q85" s="654">
        <f>IF(SUM('Function Allocators'!$J138:$O138)=0,0,($F85*'Function Allocators'!N138/SUM('Function Allocators'!$J138:$O138)))</f>
        <v>0</v>
      </c>
      <c r="R85" s="654">
        <f>IF(SUM('Function Allocators'!$J138:$O138)=0,0,($F85*'Function Allocators'!O138/SUM('Function Allocators'!$J138:$O138)))</f>
        <v>0</v>
      </c>
      <c r="T85" s="360" t="s">
        <v>431</v>
      </c>
      <c r="U85" s="52">
        <f t="shared" si="15"/>
        <v>0</v>
      </c>
      <c r="V85" s="361">
        <f>'G-4 COST OF SERVICE'!M17-SUM('Functionalization LARGE'!G85:J85)</f>
        <v>0</v>
      </c>
      <c r="W85" s="361">
        <f>'G-4 COST OF SERVICE'!N17-SUM('Functionalization LARGE'!K85:L85)</f>
        <v>0</v>
      </c>
      <c r="X85" s="361">
        <f>'G-4 COST OF SERVICE'!O17-SUM('Functionalization LARGE'!M85:R85)</f>
        <v>0</v>
      </c>
    </row>
    <row r="86" spans="1:24">
      <c r="A86" s="385">
        <v>878</v>
      </c>
      <c r="B86" s="379" t="s">
        <v>146</v>
      </c>
      <c r="C86" s="653">
        <f t="shared" si="14"/>
        <v>673.12630295488191</v>
      </c>
      <c r="D86" s="653">
        <f>'G-4 COST OF SERVICE'!M18</f>
        <v>0</v>
      </c>
      <c r="E86" s="653">
        <f>'G-4 COST OF SERVICE'!N18</f>
        <v>0</v>
      </c>
      <c r="F86" s="653">
        <f>'G-4 COST OF SERVICE'!O18</f>
        <v>673.12630295488191</v>
      </c>
      <c r="G86" s="654">
        <f>IF(SUM('Function Allocators'!$D139:$G139)=0,0,($D86*'Function Allocators'!D139/SUM('Function Allocators'!$D139:$G139)))</f>
        <v>0</v>
      </c>
      <c r="H86" s="654">
        <f>IF(SUM('Function Allocators'!$D139:$G139)=0,0,($D86*'Function Allocators'!E139/SUM('Function Allocators'!$D139:$G139)))</f>
        <v>0</v>
      </c>
      <c r="I86" s="654">
        <f>IF(SUM('Function Allocators'!$D139:$G139)=0,0,($D86*'Function Allocators'!F139/SUM('Function Allocators'!$D139:$G139)))</f>
        <v>0</v>
      </c>
      <c r="J86" s="654">
        <f>IF(SUM('Function Allocators'!$D139:$G139)=0,0,($D86*'Function Allocators'!G139/SUM('Function Allocators'!$D139:$G139)))</f>
        <v>0</v>
      </c>
      <c r="K86" s="654">
        <f>IF(SUM('Function Allocators'!$H139:$I139)=0,0,($E86*'Function Allocators'!H139/SUM('Function Allocators'!$H139:$I139)))</f>
        <v>0</v>
      </c>
      <c r="L86" s="654">
        <f>IF(SUM('Function Allocators'!$H139:$I139)=0,0,($E86*'Function Allocators'!I139/SUM('Function Allocators'!$H$134:$I$134)))</f>
        <v>0</v>
      </c>
      <c r="M86" s="654">
        <f>IF(SUM('Function Allocators'!$J139:$O139)=0,0,($F86*'Function Allocators'!J139/SUM('Function Allocators'!$J139:$O139)))</f>
        <v>0</v>
      </c>
      <c r="N86" s="654">
        <f>IF(SUM('Function Allocators'!$J139:$O139)=0,0,($F86*'Function Allocators'!K139/SUM('Function Allocators'!$J139:$O139)))</f>
        <v>584.55588739264567</v>
      </c>
      <c r="O86" s="654">
        <f>IF(SUM('Function Allocators'!$J139:$O139)=0,0,($F86*'Function Allocators'!L139/SUM('Function Allocators'!$J139:$O139)))</f>
        <v>88.570415562236235</v>
      </c>
      <c r="P86" s="654">
        <f>IF(SUM('Function Allocators'!$J139:$O139)=0,0,($F86*'Function Allocators'!M139/SUM('Function Allocators'!$J139:$O139)))</f>
        <v>0</v>
      </c>
      <c r="Q86" s="654">
        <f>IF(SUM('Function Allocators'!$J139:$O139)=0,0,($F86*'Function Allocators'!N139/SUM('Function Allocators'!$J139:$O139)))</f>
        <v>0</v>
      </c>
      <c r="R86" s="654">
        <f>IF(SUM('Function Allocators'!$J139:$O139)=0,0,($F86*'Function Allocators'!O139/SUM('Function Allocators'!$J139:$O139)))</f>
        <v>0</v>
      </c>
      <c r="T86" s="360" t="s">
        <v>439</v>
      </c>
      <c r="U86" s="52">
        <f t="shared" si="15"/>
        <v>0</v>
      </c>
      <c r="V86" s="361">
        <f>'G-4 COST OF SERVICE'!M18-SUM('Functionalization LARGE'!G86:J86)</f>
        <v>0</v>
      </c>
      <c r="W86" s="361">
        <f>'G-4 COST OF SERVICE'!N18-SUM('Functionalization LARGE'!K86:L86)</f>
        <v>0</v>
      </c>
      <c r="X86" s="361">
        <f>'G-4 COST OF SERVICE'!O18-SUM('Functionalization LARGE'!M86:R86)</f>
        <v>0</v>
      </c>
    </row>
    <row r="87" spans="1:24">
      <c r="A87" s="385">
        <v>879</v>
      </c>
      <c r="B87" s="379" t="s">
        <v>148</v>
      </c>
      <c r="C87" s="653">
        <f t="shared" si="14"/>
        <v>625.87344370817448</v>
      </c>
      <c r="D87" s="653">
        <f>'G-4 COST OF SERVICE'!M19</f>
        <v>0</v>
      </c>
      <c r="E87" s="653">
        <f>'G-4 COST OF SERVICE'!N19</f>
        <v>0</v>
      </c>
      <c r="F87" s="653">
        <f>'G-4 COST OF SERVICE'!O19</f>
        <v>625.87344370817448</v>
      </c>
      <c r="G87" s="654">
        <f>IF(SUM('Function Allocators'!$D140:$G140)=0,0,($D87*'Function Allocators'!D140/SUM('Function Allocators'!$D140:$G140)))</f>
        <v>0</v>
      </c>
      <c r="H87" s="654">
        <f>IF(SUM('Function Allocators'!$D140:$G140)=0,0,($D87*'Function Allocators'!E140/SUM('Function Allocators'!$D140:$G140)))</f>
        <v>0</v>
      </c>
      <c r="I87" s="654">
        <f>IF(SUM('Function Allocators'!$D140:$G140)=0,0,($D87*'Function Allocators'!F140/SUM('Function Allocators'!$D140:$G140)))</f>
        <v>0</v>
      </c>
      <c r="J87" s="654">
        <f>IF(SUM('Function Allocators'!$D140:$G140)=0,0,($D87*'Function Allocators'!G140/SUM('Function Allocators'!$D140:$G140)))</f>
        <v>0</v>
      </c>
      <c r="K87" s="654">
        <f>IF(SUM('Function Allocators'!$H140:$I140)=0,0,($E87*'Function Allocators'!H140/SUM('Function Allocators'!$H140:$I140)))</f>
        <v>0</v>
      </c>
      <c r="L87" s="654">
        <f>IF(SUM('Function Allocators'!$H140:$I140)=0,0,($E87*'Function Allocators'!I140/SUM('Function Allocators'!$H$134:$I$134)))</f>
        <v>0</v>
      </c>
      <c r="M87" s="654">
        <f>IF(SUM('Function Allocators'!$J140:$O140)=0,0,($F87*'Function Allocators'!J140/SUM('Function Allocators'!$J140:$O140)))</f>
        <v>0</v>
      </c>
      <c r="N87" s="654">
        <f>IF(SUM('Function Allocators'!$J140:$O140)=0,0,($F87*'Function Allocators'!K140/SUM('Function Allocators'!$J140:$O140)))</f>
        <v>543.5205914198923</v>
      </c>
      <c r="O87" s="654">
        <f>IF(SUM('Function Allocators'!$J140:$O140)=0,0,($F87*'Function Allocators'!L140/SUM('Function Allocators'!$J140:$O140)))</f>
        <v>82.352852288282207</v>
      </c>
      <c r="P87" s="654">
        <f>IF(SUM('Function Allocators'!$J140:$O140)=0,0,($F87*'Function Allocators'!M140/SUM('Function Allocators'!$J140:$O140)))</f>
        <v>0</v>
      </c>
      <c r="Q87" s="654">
        <f>IF(SUM('Function Allocators'!$J140:$O140)=0,0,($F87*'Function Allocators'!N140/SUM('Function Allocators'!$J140:$O140)))</f>
        <v>0</v>
      </c>
      <c r="R87" s="654">
        <f>IF(SUM('Function Allocators'!$J140:$O140)=0,0,($F87*'Function Allocators'!O140/SUM('Function Allocators'!$J140:$O140)))</f>
        <v>0</v>
      </c>
      <c r="T87" s="360" t="s">
        <v>439</v>
      </c>
      <c r="U87" s="52">
        <f t="shared" si="15"/>
        <v>0</v>
      </c>
      <c r="V87" s="361">
        <f>'G-4 COST OF SERVICE'!M19-SUM('Functionalization LARGE'!G87:J87)</f>
        <v>0</v>
      </c>
      <c r="W87" s="361">
        <f>'G-4 COST OF SERVICE'!N19-SUM('Functionalization LARGE'!K87:L87)</f>
        <v>0</v>
      </c>
      <c r="X87" s="361">
        <f>'G-4 COST OF SERVICE'!O19-SUM('Functionalization LARGE'!M87:R87)</f>
        <v>0</v>
      </c>
    </row>
    <row r="88" spans="1:24" ht="12" customHeight="1">
      <c r="A88" s="385">
        <v>880</v>
      </c>
      <c r="B88" s="379" t="s">
        <v>149</v>
      </c>
      <c r="C88" s="653">
        <f t="shared" si="14"/>
        <v>144627.51171252065</v>
      </c>
      <c r="D88" s="653">
        <f>'G-4 COST OF SERVICE'!M20</f>
        <v>129396.74118757101</v>
      </c>
      <c r="E88" s="653">
        <f>'G-4 COST OF SERVICE'!N20</f>
        <v>0</v>
      </c>
      <c r="F88" s="653">
        <f>'G-4 COST OF SERVICE'!O20</f>
        <v>15230.770524949616</v>
      </c>
      <c r="G88" s="654">
        <f>IF(SUM('Function Allocators'!$D141:$G141)=0,0,($D88*'Function Allocators'!D141/SUM('Function Allocators'!$D141:$G141)))</f>
        <v>0</v>
      </c>
      <c r="H88" s="654">
        <f>IF(SUM('Function Allocators'!$D141:$G141)=0,0,($D88*'Function Allocators'!E141/SUM('Function Allocators'!$D141:$G141)))</f>
        <v>117103.81356530308</v>
      </c>
      <c r="I88" s="654">
        <f>IF(SUM('Function Allocators'!$D141:$G141)=0,0,($D88*'Function Allocators'!F141/SUM('Function Allocators'!$D141:$G141)))</f>
        <v>9627.888906621416</v>
      </c>
      <c r="J88" s="654">
        <f>IF(SUM('Function Allocators'!$D141:$G141)=0,0,($D88*'Function Allocators'!G141/SUM('Function Allocators'!$D141:$G141)))</f>
        <v>2665.0387156465276</v>
      </c>
      <c r="K88" s="654">
        <f>IF(SUM('Function Allocators'!$H141:$I141)=0,0,($E88*'Function Allocators'!H141/SUM('Function Allocators'!$H141:$I141)))</f>
        <v>0</v>
      </c>
      <c r="L88" s="654">
        <f>IF(SUM('Function Allocators'!$H141:$I141)=0,0,($E88*'Function Allocators'!I141/SUM('Function Allocators'!$H$134:$I$134)))</f>
        <v>0</v>
      </c>
      <c r="M88" s="654">
        <f>IF(SUM('Function Allocators'!$J141:$O141)=0,0,($F88*'Function Allocators'!J141/SUM('Function Allocators'!$J141:$O141)))</f>
        <v>12346.573212936075</v>
      </c>
      <c r="N88" s="654">
        <f>IF(SUM('Function Allocators'!$J141:$O141)=0,0,($F88*'Function Allocators'!K141/SUM('Function Allocators'!$J141:$O141)))</f>
        <v>2377.207497879137</v>
      </c>
      <c r="O88" s="654">
        <f>IF(SUM('Function Allocators'!$J141:$O141)=0,0,($F88*'Function Allocators'!L141/SUM('Function Allocators'!$J141:$O141)))</f>
        <v>506.98981413440367</v>
      </c>
      <c r="P88" s="654">
        <f>IF(SUM('Function Allocators'!$J141:$O141)=0,0,($F88*'Function Allocators'!M141/SUM('Function Allocators'!$J141:$O141)))</f>
        <v>0</v>
      </c>
      <c r="Q88" s="654">
        <f>IF(SUM('Function Allocators'!$J141:$O141)=0,0,($F88*'Function Allocators'!N141/SUM('Function Allocators'!$J141:$O141)))</f>
        <v>0</v>
      </c>
      <c r="R88" s="654">
        <f>IF(SUM('Function Allocators'!$J141:$O141)=0,0,($F88*'Function Allocators'!O141/SUM('Function Allocators'!$J141:$O141)))</f>
        <v>0</v>
      </c>
      <c r="T88" s="360" t="s">
        <v>441</v>
      </c>
      <c r="U88" s="52">
        <f t="shared" si="15"/>
        <v>0</v>
      </c>
      <c r="V88" s="361">
        <f>'G-4 COST OF SERVICE'!M20-SUM('Functionalization LARGE'!G88:J88)</f>
        <v>0</v>
      </c>
      <c r="W88" s="361">
        <f>'G-4 COST OF SERVICE'!N20-SUM('Functionalization LARGE'!K88:L88)</f>
        <v>0</v>
      </c>
      <c r="X88" s="361">
        <f>'G-4 COST OF SERVICE'!O20-SUM('Functionalization LARGE'!M88:R88)</f>
        <v>0</v>
      </c>
    </row>
    <row r="89" spans="1:24">
      <c r="A89" s="385">
        <v>881</v>
      </c>
      <c r="B89" s="379" t="s">
        <v>151</v>
      </c>
      <c r="C89" s="653">
        <f t="shared" si="14"/>
        <v>4609.3229555572798</v>
      </c>
      <c r="D89" s="653">
        <f>'G-4 COST OF SERVICE'!M21</f>
        <v>4609.3229555572798</v>
      </c>
      <c r="E89" s="653">
        <f>'G-4 COST OF SERVICE'!N21</f>
        <v>0</v>
      </c>
      <c r="F89" s="653">
        <f>'G-4 COST OF SERVICE'!O21</f>
        <v>0</v>
      </c>
      <c r="G89" s="654">
        <f>IF(SUM('Function Allocators'!$D142:$G142)=0,0,($D89*'Function Allocators'!D142/SUM('Function Allocators'!$D142:$G142)))</f>
        <v>0</v>
      </c>
      <c r="H89" s="654">
        <f>IF(SUM('Function Allocators'!$D142:$G142)=0,0,($D89*'Function Allocators'!E142/SUM('Function Allocators'!$D142:$G142)))</f>
        <v>4286.1217100343674</v>
      </c>
      <c r="I89" s="654">
        <f>IF(SUM('Function Allocators'!$D142:$G142)=0,0,($D89*'Function Allocators'!F142/SUM('Function Allocators'!$D142:$G142)))</f>
        <v>323.20124552291264</v>
      </c>
      <c r="J89" s="654">
        <f>IF(SUM('Function Allocators'!$D142:$G142)=0,0,($D89*'Function Allocators'!G142/SUM('Function Allocators'!$D142:$G142)))</f>
        <v>0</v>
      </c>
      <c r="K89" s="654">
        <f>IF(SUM('Function Allocators'!$H142:$I142)=0,0,($E89*'Function Allocators'!H142/SUM('Function Allocators'!$H142:$I142)))</f>
        <v>0</v>
      </c>
      <c r="L89" s="654">
        <f>IF(SUM('Function Allocators'!$H142:$I142)=0,0,($E89*'Function Allocators'!I142/SUM('Function Allocators'!$H$134:$I$134)))</f>
        <v>0</v>
      </c>
      <c r="M89" s="654">
        <f>IF(SUM('Function Allocators'!$J142:$O142)=0,0,($F89*'Function Allocators'!J142/SUM('Function Allocators'!$J142:$O142)))</f>
        <v>0</v>
      </c>
      <c r="N89" s="654">
        <f>IF(SUM('Function Allocators'!$J142:$O142)=0,0,($F89*'Function Allocators'!K142/SUM('Function Allocators'!$J142:$O142)))</f>
        <v>0</v>
      </c>
      <c r="O89" s="654">
        <f>IF(SUM('Function Allocators'!$J142:$O142)=0,0,($F89*'Function Allocators'!L142/SUM('Function Allocators'!$J142:$O142)))</f>
        <v>0</v>
      </c>
      <c r="P89" s="654">
        <f>IF(SUM('Function Allocators'!$J142:$O142)=0,0,($F89*'Function Allocators'!M142/SUM('Function Allocators'!$J142:$O142)))</f>
        <v>0</v>
      </c>
      <c r="Q89" s="654">
        <f>IF(SUM('Function Allocators'!$J142:$O142)=0,0,($F89*'Function Allocators'!N142/SUM('Function Allocators'!$J142:$O142)))</f>
        <v>0</v>
      </c>
      <c r="R89" s="654">
        <f>IF(SUM('Function Allocators'!$J142:$O142)=0,0,($F89*'Function Allocators'!O142/SUM('Function Allocators'!$J142:$O142)))</f>
        <v>0</v>
      </c>
      <c r="T89" s="360" t="s">
        <v>441</v>
      </c>
      <c r="U89" s="52">
        <f t="shared" si="15"/>
        <v>0</v>
      </c>
      <c r="V89" s="361">
        <f>'G-4 COST OF SERVICE'!M21-SUM('Functionalization LARGE'!G89:J89)</f>
        <v>0</v>
      </c>
      <c r="W89" s="361">
        <f>'G-4 COST OF SERVICE'!N21-SUM('Functionalization LARGE'!K89:L89)</f>
        <v>0</v>
      </c>
      <c r="X89" s="361">
        <f>'G-4 COST OF SERVICE'!O21-SUM('Functionalization LARGE'!M89:R89)</f>
        <v>0</v>
      </c>
    </row>
    <row r="90" spans="1:24">
      <c r="A90" s="385">
        <v>885</v>
      </c>
      <c r="B90" s="379" t="s">
        <v>152</v>
      </c>
      <c r="C90" s="653">
        <f t="shared" si="14"/>
        <v>8445.2928125018716</v>
      </c>
      <c r="D90" s="653">
        <f>'G-4 COST OF SERVICE'!M22</f>
        <v>8369.2424531115103</v>
      </c>
      <c r="E90" s="653">
        <f>'G-4 COST OF SERVICE'!N22</f>
        <v>0</v>
      </c>
      <c r="F90" s="653">
        <f>'G-4 COST OF SERVICE'!O22</f>
        <v>76.050359390363923</v>
      </c>
      <c r="G90" s="654">
        <f>IF(SUM('Function Allocators'!$D143:$G143)=0,0,($D90*'Function Allocators'!D143/SUM('Function Allocators'!$D143:$G143)))</f>
        <v>0</v>
      </c>
      <c r="H90" s="654">
        <f>IF(SUM('Function Allocators'!$D143:$G143)=0,0,($D90*'Function Allocators'!E143/SUM('Function Allocators'!$D143:$G143)))</f>
        <v>5883.7118511623985</v>
      </c>
      <c r="I90" s="654">
        <f>IF(SUM('Function Allocators'!$D143:$G143)=0,0,($D90*'Function Allocators'!F143/SUM('Function Allocators'!$D143:$G143)))</f>
        <v>2408.61850722806</v>
      </c>
      <c r="J90" s="654">
        <f>IF(SUM('Function Allocators'!$D143:$G143)=0,0,($D90*'Function Allocators'!G143/SUM('Function Allocators'!$D143:$G143)))</f>
        <v>76.912094721050806</v>
      </c>
      <c r="K90" s="654">
        <f>IF(SUM('Function Allocators'!$H143:$I143)=0,0,($E90*'Function Allocators'!H143/SUM('Function Allocators'!$H143:$I143)))</f>
        <v>0</v>
      </c>
      <c r="L90" s="654">
        <f>IF(SUM('Function Allocators'!$H143:$I143)=0,0,($E90*'Function Allocators'!I143/SUM('Function Allocators'!$H$134:$I$134)))</f>
        <v>0</v>
      </c>
      <c r="M90" s="654">
        <f>IF(SUM('Function Allocators'!$J143:$O143)=0,0,($F90*'Function Allocators'!J143/SUM('Function Allocators'!$J143:$O143)))</f>
        <v>31.823999357417652</v>
      </c>
      <c r="N90" s="654">
        <f>IF(SUM('Function Allocators'!$J143:$O143)=0,0,($F90*'Function Allocators'!K143/SUM('Function Allocators'!$J143:$O143)))</f>
        <v>38.353515936996942</v>
      </c>
      <c r="O90" s="654">
        <f>IF(SUM('Function Allocators'!$J143:$O143)=0,0,($F90*'Function Allocators'!L143/SUM('Function Allocators'!$J143:$O143)))</f>
        <v>5.87284409594933</v>
      </c>
      <c r="P90" s="654">
        <f>IF(SUM('Function Allocators'!$J143:$O143)=0,0,($F90*'Function Allocators'!M143/SUM('Function Allocators'!$J143:$O143)))</f>
        <v>0</v>
      </c>
      <c r="Q90" s="654">
        <f>IF(SUM('Function Allocators'!$J143:$O143)=0,0,($F90*'Function Allocators'!N143/SUM('Function Allocators'!$J143:$O143)))</f>
        <v>0</v>
      </c>
      <c r="R90" s="654">
        <f>IF(SUM('Function Allocators'!$J143:$O143)=0,0,($F90*'Function Allocators'!O143/SUM('Function Allocators'!$J143:$O143)))</f>
        <v>0</v>
      </c>
      <c r="T90" s="360" t="s">
        <v>441</v>
      </c>
      <c r="U90" s="52">
        <f t="shared" si="15"/>
        <v>0</v>
      </c>
      <c r="V90" s="361">
        <f>'G-4 COST OF SERVICE'!M22-SUM('Functionalization LARGE'!G90:J90)</f>
        <v>0</v>
      </c>
      <c r="W90" s="361">
        <f>'G-4 COST OF SERVICE'!N22-SUM('Functionalization LARGE'!K90:L90)</f>
        <v>0</v>
      </c>
      <c r="X90" s="361">
        <f>'G-4 COST OF SERVICE'!O22-SUM('Functionalization LARGE'!M90:R90)</f>
        <v>0</v>
      </c>
    </row>
    <row r="91" spans="1:24">
      <c r="A91" s="385">
        <v>887</v>
      </c>
      <c r="B91" s="379" t="s">
        <v>154</v>
      </c>
      <c r="C91" s="653">
        <f t="shared" si="14"/>
        <v>61751.511458322195</v>
      </c>
      <c r="D91" s="653">
        <f>'G-4 COST OF SERVICE'!M23</f>
        <v>61613.415969094713</v>
      </c>
      <c r="E91" s="653">
        <f>'G-4 COST OF SERVICE'!N23</f>
        <v>0</v>
      </c>
      <c r="F91" s="653">
        <f>'G-4 COST OF SERVICE'!O23</f>
        <v>138.09548922748166</v>
      </c>
      <c r="G91" s="654">
        <f>IF(SUM('Function Allocators'!$D144:$G144)=0,0,($D91*'Function Allocators'!D144/SUM('Function Allocators'!$D144:$G144)))</f>
        <v>0</v>
      </c>
      <c r="H91" s="654">
        <f>IF(SUM('Function Allocators'!$D144:$G144)=0,0,($D91*'Function Allocators'!E144/SUM('Function Allocators'!$D144:$G144)))</f>
        <v>61613.415969094713</v>
      </c>
      <c r="I91" s="654">
        <f>IF(SUM('Function Allocators'!$D144:$G144)=0,0,($D91*'Function Allocators'!F144/SUM('Function Allocators'!$D144:$G144)))</f>
        <v>0</v>
      </c>
      <c r="J91" s="654">
        <f>IF(SUM('Function Allocators'!$D144:$G144)=0,0,($D91*'Function Allocators'!G144/SUM('Function Allocators'!$D144:$G144)))</f>
        <v>0</v>
      </c>
      <c r="K91" s="654">
        <f>IF(SUM('Function Allocators'!$H144:$I144)=0,0,($E91*'Function Allocators'!H144/SUM('Function Allocators'!$H144:$I144)))</f>
        <v>0</v>
      </c>
      <c r="L91" s="654">
        <f>IF(SUM('Function Allocators'!$H144:$I144)=0,0,($E91*'Function Allocators'!I144/SUM('Function Allocators'!$H$134:$I$134)))</f>
        <v>0</v>
      </c>
      <c r="M91" s="654">
        <f>IF(SUM('Function Allocators'!$J144:$O144)=0,0,($F91*'Function Allocators'!J144/SUM('Function Allocators'!$J144:$O144)))</f>
        <v>138.09548922748166</v>
      </c>
      <c r="N91" s="654">
        <f>IF(SUM('Function Allocators'!$J144:$O144)=0,0,($F91*'Function Allocators'!K144/SUM('Function Allocators'!$J144:$O144)))</f>
        <v>0</v>
      </c>
      <c r="O91" s="654">
        <f>IF(SUM('Function Allocators'!$J144:$O144)=0,0,($F91*'Function Allocators'!L144/SUM('Function Allocators'!$J144:$O144)))</f>
        <v>0</v>
      </c>
      <c r="P91" s="654">
        <f>IF(SUM('Function Allocators'!$J144:$O144)=0,0,($F91*'Function Allocators'!M144/SUM('Function Allocators'!$J144:$O144)))</f>
        <v>0</v>
      </c>
      <c r="Q91" s="654">
        <f>IF(SUM('Function Allocators'!$J144:$O144)=0,0,($F91*'Function Allocators'!N144/SUM('Function Allocators'!$J144:$O144)))</f>
        <v>0</v>
      </c>
      <c r="R91" s="654">
        <f>IF(SUM('Function Allocators'!$J144:$O144)=0,0,($F91*'Function Allocators'!O144/SUM('Function Allocators'!$J144:$O144)))</f>
        <v>0</v>
      </c>
      <c r="T91" s="360" t="s">
        <v>442</v>
      </c>
      <c r="U91" s="52">
        <f t="shared" si="15"/>
        <v>0</v>
      </c>
      <c r="V91" s="361">
        <f>'G-4 COST OF SERVICE'!M23-SUM('Functionalization LARGE'!G91:J91)</f>
        <v>0</v>
      </c>
      <c r="W91" s="361">
        <f>'G-4 COST OF SERVICE'!N23-SUM('Functionalization LARGE'!K91:L91)</f>
        <v>0</v>
      </c>
      <c r="X91" s="361">
        <f>'G-4 COST OF SERVICE'!O23-SUM('Functionalization LARGE'!M91:R91)</f>
        <v>0</v>
      </c>
    </row>
    <row r="92" spans="1:24">
      <c r="A92" s="385">
        <v>889</v>
      </c>
      <c r="B92" s="379" t="s">
        <v>156</v>
      </c>
      <c r="C92" s="653">
        <f t="shared" si="14"/>
        <v>1601.9710516019475</v>
      </c>
      <c r="D92" s="653">
        <f>'G-4 COST OF SERVICE'!M24</f>
        <v>1601.9710516019475</v>
      </c>
      <c r="E92" s="653">
        <f>'G-4 COST OF SERVICE'!N24</f>
        <v>0</v>
      </c>
      <c r="F92" s="653">
        <f>'G-4 COST OF SERVICE'!O24</f>
        <v>0</v>
      </c>
      <c r="G92" s="654">
        <f>IF(SUM('Function Allocators'!$D145:$G145)=0,0,($D92*'Function Allocators'!D145/SUM('Function Allocators'!$D145:$G145)))</f>
        <v>0</v>
      </c>
      <c r="H92" s="654">
        <f>IF(SUM('Function Allocators'!$D145:$G145)=0,0,($D92*'Function Allocators'!E145/SUM('Function Allocators'!$D145:$G145)))</f>
        <v>0</v>
      </c>
      <c r="I92" s="654">
        <f>IF(SUM('Function Allocators'!$D145:$G145)=0,0,($D92*'Function Allocators'!F145/SUM('Function Allocators'!$D145:$G145)))</f>
        <v>1601.9710516019475</v>
      </c>
      <c r="J92" s="654">
        <f>IF(SUM('Function Allocators'!$D145:$G145)=0,0,($D92*'Function Allocators'!G145/SUM('Function Allocators'!$D145:$G145)))</f>
        <v>0</v>
      </c>
      <c r="K92" s="654">
        <f>IF(SUM('Function Allocators'!$H145:$I145)=0,0,($E92*'Function Allocators'!H145/SUM('Function Allocators'!$H145:$I145)))</f>
        <v>0</v>
      </c>
      <c r="L92" s="654">
        <f>IF(SUM('Function Allocators'!$H145:$I145)=0,0,($E92*'Function Allocators'!I145/SUM('Function Allocators'!$H$134:$I$134)))</f>
        <v>0</v>
      </c>
      <c r="M92" s="654">
        <f>IF(SUM('Function Allocators'!$J145:$O145)=0,0,($F92*'Function Allocators'!J145/SUM('Function Allocators'!$J145:$O145)))</f>
        <v>0</v>
      </c>
      <c r="N92" s="654">
        <f>IF(SUM('Function Allocators'!$J145:$O145)=0,0,($F92*'Function Allocators'!K145/SUM('Function Allocators'!$J145:$O145)))</f>
        <v>0</v>
      </c>
      <c r="O92" s="654">
        <f>IF(SUM('Function Allocators'!$J145:$O145)=0,0,($F92*'Function Allocators'!L145/SUM('Function Allocators'!$J145:$O145)))</f>
        <v>0</v>
      </c>
      <c r="P92" s="654">
        <f>IF(SUM('Function Allocators'!$J145:$O145)=0,0,($F92*'Function Allocators'!M145/SUM('Function Allocators'!$J145:$O145)))</f>
        <v>0</v>
      </c>
      <c r="Q92" s="654">
        <f>IF(SUM('Function Allocators'!$J145:$O145)=0,0,($F92*'Function Allocators'!N145/SUM('Function Allocators'!$J145:$O145)))</f>
        <v>0</v>
      </c>
      <c r="R92" s="654">
        <f>IF(SUM('Function Allocators'!$J145:$O145)=0,0,($F92*'Function Allocators'!O145/SUM('Function Allocators'!$J145:$O145)))</f>
        <v>0</v>
      </c>
      <c r="T92" s="360" t="s">
        <v>431</v>
      </c>
      <c r="U92" s="52">
        <f t="shared" si="15"/>
        <v>0</v>
      </c>
      <c r="V92" s="361">
        <f>'G-4 COST OF SERVICE'!M24-SUM('Functionalization LARGE'!G92:J92)</f>
        <v>0</v>
      </c>
      <c r="W92" s="361">
        <f>'G-4 COST OF SERVICE'!N24-SUM('Functionalization LARGE'!K92:L92)</f>
        <v>0</v>
      </c>
      <c r="X92" s="361">
        <f>'G-4 COST OF SERVICE'!O24-SUM('Functionalization LARGE'!M92:R92)</f>
        <v>0</v>
      </c>
    </row>
    <row r="93" spans="1:24">
      <c r="A93" s="385">
        <v>892</v>
      </c>
      <c r="B93" s="379" t="s">
        <v>157</v>
      </c>
      <c r="C93" s="654">
        <f t="shared" si="14"/>
        <v>277.83742516508272</v>
      </c>
      <c r="D93" s="653">
        <f>'G-4 COST OF SERVICE'!M25</f>
        <v>0</v>
      </c>
      <c r="E93" s="653">
        <f>'G-4 COST OF SERVICE'!N25</f>
        <v>0</v>
      </c>
      <c r="F93" s="653">
        <f>'G-4 COST OF SERVICE'!O25</f>
        <v>277.83742516508272</v>
      </c>
      <c r="G93" s="654">
        <f>IF(SUM('Function Allocators'!$D146:$G146)=0,0,($D93*'Function Allocators'!D146/SUM('Function Allocators'!$D146:$G146)))</f>
        <v>0</v>
      </c>
      <c r="H93" s="654">
        <f>IF(SUM('Function Allocators'!$D146:$G146)=0,0,($D93*'Function Allocators'!E146/SUM('Function Allocators'!$D146:$G146)))</f>
        <v>0</v>
      </c>
      <c r="I93" s="654">
        <f>IF(SUM('Function Allocators'!$D146:$G146)=0,0,($D93*'Function Allocators'!F146/SUM('Function Allocators'!$D146:$G146)))</f>
        <v>0</v>
      </c>
      <c r="J93" s="654">
        <f>IF(SUM('Function Allocators'!$D146:$G146)=0,0,($D93*'Function Allocators'!G146/SUM('Function Allocators'!$D146:$G146)))</f>
        <v>0</v>
      </c>
      <c r="K93" s="654">
        <f>IF(SUM('Function Allocators'!$H146:$I146)=0,0,($E93*'Function Allocators'!H146/SUM('Function Allocators'!$H146:$I146)))</f>
        <v>0</v>
      </c>
      <c r="L93" s="654">
        <f>IF(SUM('Function Allocators'!$H146:$I146)=0,0,($E93*'Function Allocators'!I146/SUM('Function Allocators'!$H$134:$I$134)))</f>
        <v>0</v>
      </c>
      <c r="M93" s="654">
        <f>IF(SUM('Function Allocators'!$J146:$O146)=0,0,($F93*'Function Allocators'!J146/SUM('Function Allocators'!$J146:$O146)))</f>
        <v>277.83742516508272</v>
      </c>
      <c r="N93" s="654">
        <f>IF(SUM('Function Allocators'!$J146:$O146)=0,0,($F93*'Function Allocators'!K146/SUM('Function Allocators'!$J146:$O146)))</f>
        <v>0</v>
      </c>
      <c r="O93" s="654">
        <f>IF(SUM('Function Allocators'!$J146:$O146)=0,0,($F93*'Function Allocators'!L146/SUM('Function Allocators'!$J146:$O146)))</f>
        <v>0</v>
      </c>
      <c r="P93" s="654">
        <f>IF(SUM('Function Allocators'!$J146:$O146)=0,0,($F93*'Function Allocators'!M146/SUM('Function Allocators'!$J146:$O146)))</f>
        <v>0</v>
      </c>
      <c r="Q93" s="654">
        <f>IF(SUM('Function Allocators'!$J146:$O146)=0,0,($F93*'Function Allocators'!N146/SUM('Function Allocators'!$J146:$O146)))</f>
        <v>0</v>
      </c>
      <c r="R93" s="654">
        <f>IF(SUM('Function Allocators'!$J146:$O146)=0,0,($F93*'Function Allocators'!O146/SUM('Function Allocators'!$J146:$O146)))</f>
        <v>0</v>
      </c>
      <c r="T93" s="360" t="s">
        <v>449</v>
      </c>
      <c r="U93" s="52">
        <f t="shared" si="15"/>
        <v>0</v>
      </c>
      <c r="V93" s="361">
        <f>'G-4 COST OF SERVICE'!M25-SUM('Functionalization LARGE'!G93:J93)</f>
        <v>0</v>
      </c>
      <c r="W93" s="361">
        <f>'G-4 COST OF SERVICE'!N25-SUM('Functionalization LARGE'!K93:L93)</f>
        <v>0</v>
      </c>
      <c r="X93" s="361">
        <f>'G-4 COST OF SERVICE'!O25-SUM('Functionalization LARGE'!M93:R93)</f>
        <v>0</v>
      </c>
    </row>
    <row r="94" spans="1:24">
      <c r="A94" s="385">
        <v>893</v>
      </c>
      <c r="B94" s="379" t="s">
        <v>158</v>
      </c>
      <c r="C94" s="654">
        <f t="shared" si="14"/>
        <v>264.85303105405251</v>
      </c>
      <c r="D94" s="653">
        <f>'G-4 COST OF SERVICE'!M26</f>
        <v>0</v>
      </c>
      <c r="E94" s="653">
        <f>'G-4 COST OF SERVICE'!N26</f>
        <v>0</v>
      </c>
      <c r="F94" s="653">
        <f>'G-4 COST OF SERVICE'!O26</f>
        <v>264.85303105405251</v>
      </c>
      <c r="G94" s="654">
        <f>IF(SUM('Function Allocators'!$D147:$G147)=0,0,($D94*'Function Allocators'!D147/SUM('Function Allocators'!$D147:$G147)))</f>
        <v>0</v>
      </c>
      <c r="H94" s="654">
        <f>IF(SUM('Function Allocators'!$D147:$G147)=0,0,($D94*'Function Allocators'!E147/SUM('Function Allocators'!$D147:$G147)))</f>
        <v>0</v>
      </c>
      <c r="I94" s="654">
        <f>IF(SUM('Function Allocators'!$D147:$G147)=0,0,($D94*'Function Allocators'!F147/SUM('Function Allocators'!$D147:$G147)))</f>
        <v>0</v>
      </c>
      <c r="J94" s="654">
        <f>IF(SUM('Function Allocators'!$D147:$G147)=0,0,($D94*'Function Allocators'!G147/SUM('Function Allocators'!$D147:$G147)))</f>
        <v>0</v>
      </c>
      <c r="K94" s="654">
        <f>IF(SUM('Function Allocators'!$H147:$I147)=0,0,($E94*'Function Allocators'!H147/SUM('Function Allocators'!$H147:$I147)))</f>
        <v>0</v>
      </c>
      <c r="L94" s="654">
        <f>IF(SUM('Function Allocators'!$H147:$I147)=0,0,($E94*'Function Allocators'!I147/SUM('Function Allocators'!$H$134:$I$134)))</f>
        <v>0</v>
      </c>
      <c r="M94" s="654">
        <f>IF(SUM('Function Allocators'!$J147:$O147)=0,0,($F94*'Function Allocators'!J147/SUM('Function Allocators'!$J147:$O147)))</f>
        <v>0</v>
      </c>
      <c r="N94" s="654">
        <f>IF(SUM('Function Allocators'!$J147:$O147)=0,0,($F94*'Function Allocators'!K147/SUM('Function Allocators'!$J147:$O147)))</f>
        <v>230.00348956325203</v>
      </c>
      <c r="O94" s="654">
        <f>IF(SUM('Function Allocators'!$J147:$O147)=0,0,($F94*'Function Allocators'!L147/SUM('Function Allocators'!$J147:$O147)))</f>
        <v>34.849541490800483</v>
      </c>
      <c r="P94" s="654">
        <f>IF(SUM('Function Allocators'!$J147:$O147)=0,0,($F94*'Function Allocators'!M147/SUM('Function Allocators'!$J147:$O147)))</f>
        <v>0</v>
      </c>
      <c r="Q94" s="654">
        <f>IF(SUM('Function Allocators'!$J147:$O147)=0,0,($F94*'Function Allocators'!N147/SUM('Function Allocators'!$J147:$O147)))</f>
        <v>0</v>
      </c>
      <c r="R94" s="654">
        <f>IF(SUM('Function Allocators'!$J147:$O147)=0,0,($F94*'Function Allocators'!O147/SUM('Function Allocators'!$J147:$O147)))</f>
        <v>0</v>
      </c>
      <c r="T94" s="360" t="s">
        <v>439</v>
      </c>
      <c r="U94" s="52">
        <f t="shared" si="15"/>
        <v>0</v>
      </c>
      <c r="V94" s="361">
        <f>'G-4 COST OF SERVICE'!M26-SUM('Functionalization LARGE'!G94:J94)</f>
        <v>0</v>
      </c>
      <c r="W94" s="361">
        <f>'G-4 COST OF SERVICE'!N26-SUM('Functionalization LARGE'!K94:L94)</f>
        <v>0</v>
      </c>
      <c r="X94" s="361">
        <f>'G-4 COST OF SERVICE'!O26-SUM('Functionalization LARGE'!M94:R94)</f>
        <v>0</v>
      </c>
    </row>
    <row r="95" spans="1:24">
      <c r="A95" s="385">
        <v>894</v>
      </c>
      <c r="B95" s="379" t="s">
        <v>159</v>
      </c>
      <c r="C95" s="653">
        <f t="shared" si="14"/>
        <v>18460.907607073783</v>
      </c>
      <c r="D95" s="653">
        <f>'G-4 COST OF SERVICE'!M27</f>
        <v>18460.907607073783</v>
      </c>
      <c r="E95" s="653">
        <f>'G-4 COST OF SERVICE'!N27</f>
        <v>0</v>
      </c>
      <c r="F95" s="653">
        <f>'G-4 COST OF SERVICE'!O27</f>
        <v>0</v>
      </c>
      <c r="G95" s="654">
        <f>IF(SUM('Function Allocators'!$D148:$G148)=0,0,($D95*'Function Allocators'!D148/SUM('Function Allocators'!$D148:$G148)))</f>
        <v>0</v>
      </c>
      <c r="H95" s="654">
        <f>IF(SUM('Function Allocators'!$D148:$G148)=0,0,($D95*'Function Allocators'!E148/SUM('Function Allocators'!$D148:$G148)))</f>
        <v>0</v>
      </c>
      <c r="I95" s="654">
        <f>IF(SUM('Function Allocators'!$D148:$G148)=0,0,($D95*'Function Allocators'!F148/SUM('Function Allocators'!$D148:$G148)))</f>
        <v>0</v>
      </c>
      <c r="J95" s="654">
        <f>IF(SUM('Function Allocators'!$D148:$G148)=0,0,($D95*'Function Allocators'!G148/SUM('Function Allocators'!$D148:$G148)))</f>
        <v>18460.907607073783</v>
      </c>
      <c r="K95" s="654">
        <f>IF(SUM('Function Allocators'!$H148:$I148)=0,0,($E95*'Function Allocators'!H148/SUM('Function Allocators'!$H148:$I148)))</f>
        <v>0</v>
      </c>
      <c r="L95" s="654">
        <f>IF(SUM('Function Allocators'!$H148:$I148)=0,0,($E95*'Function Allocators'!I148/SUM('Function Allocators'!$H$134:$I$134)))</f>
        <v>0</v>
      </c>
      <c r="M95" s="654">
        <f>IF(SUM('Function Allocators'!$J148:$O148)=0,0,($F95*'Function Allocators'!J148/SUM('Function Allocators'!$J148:$O148)))</f>
        <v>0</v>
      </c>
      <c r="N95" s="654">
        <f>IF(SUM('Function Allocators'!$J148:$O148)=0,0,($F95*'Function Allocators'!K148/SUM('Function Allocators'!$J148:$O148)))</f>
        <v>0</v>
      </c>
      <c r="O95" s="654">
        <f>IF(SUM('Function Allocators'!$J148:$O148)=0,0,($F95*'Function Allocators'!L148/SUM('Function Allocators'!$J148:$O148)))</f>
        <v>0</v>
      </c>
      <c r="P95" s="654">
        <f>IF(SUM('Function Allocators'!$J148:$O148)=0,0,($F95*'Function Allocators'!M148/SUM('Function Allocators'!$J148:$O148)))</f>
        <v>0</v>
      </c>
      <c r="Q95" s="654">
        <f>IF(SUM('Function Allocators'!$J148:$O148)=0,0,($F95*'Function Allocators'!N148/SUM('Function Allocators'!$J148:$O148)))</f>
        <v>0</v>
      </c>
      <c r="R95" s="654">
        <f>IF(SUM('Function Allocators'!$J148:$O148)=0,0,($F95*'Function Allocators'!O148/SUM('Function Allocators'!$J148:$O148)))</f>
        <v>0</v>
      </c>
      <c r="T95" s="360" t="s">
        <v>428</v>
      </c>
      <c r="U95" s="52">
        <f t="shared" si="15"/>
        <v>0</v>
      </c>
      <c r="V95" s="361">
        <f>'G-4 COST OF SERVICE'!M27-SUM('Functionalization LARGE'!G95:J95)</f>
        <v>0</v>
      </c>
      <c r="W95" s="361">
        <f>'G-4 COST OF SERVICE'!N27-SUM('Functionalization LARGE'!K95:L95)</f>
        <v>0</v>
      </c>
      <c r="X95" s="361">
        <f>'G-4 COST OF SERVICE'!O27-SUM('Functionalization LARGE'!M95:R95)</f>
        <v>0</v>
      </c>
    </row>
    <row r="96" spans="1:24">
      <c r="A96" s="385"/>
      <c r="B96" s="377" t="s">
        <v>282</v>
      </c>
      <c r="C96" s="655">
        <f t="shared" ref="C96:R96" si="16">SUM(C81:C95)</f>
        <v>513126.41057542834</v>
      </c>
      <c r="D96" s="655">
        <f t="shared" si="16"/>
        <v>494676.49047964212</v>
      </c>
      <c r="E96" s="655">
        <f t="shared" si="16"/>
        <v>0</v>
      </c>
      <c r="F96" s="655">
        <f t="shared" si="16"/>
        <v>18449.920095786143</v>
      </c>
      <c r="G96" s="656">
        <f t="shared" si="16"/>
        <v>0</v>
      </c>
      <c r="H96" s="655">
        <f t="shared" si="16"/>
        <v>325293.59008565749</v>
      </c>
      <c r="I96" s="655">
        <f t="shared" si="16"/>
        <v>148180.04197654338</v>
      </c>
      <c r="J96" s="655">
        <f t="shared" si="16"/>
        <v>21202.858417441363</v>
      </c>
      <c r="K96" s="655">
        <f t="shared" si="16"/>
        <v>0</v>
      </c>
      <c r="L96" s="655">
        <f t="shared" si="16"/>
        <v>0</v>
      </c>
      <c r="M96" s="655">
        <f t="shared" si="16"/>
        <v>13957.643646022549</v>
      </c>
      <c r="N96" s="655">
        <f t="shared" si="16"/>
        <v>3773.6409821919242</v>
      </c>
      <c r="O96" s="655">
        <f t="shared" si="16"/>
        <v>718.63546757167182</v>
      </c>
      <c r="P96" s="655">
        <f t="shared" si="16"/>
        <v>0</v>
      </c>
      <c r="Q96" s="655">
        <f t="shared" si="16"/>
        <v>0</v>
      </c>
      <c r="R96" s="655">
        <f t="shared" si="16"/>
        <v>0</v>
      </c>
      <c r="U96" s="52">
        <f t="shared" si="15"/>
        <v>0</v>
      </c>
      <c r="V96" s="361">
        <f>'G-4 COST OF SERVICE'!M28-SUM('Functionalization LARGE'!G96:J96)</f>
        <v>0</v>
      </c>
      <c r="W96" s="361">
        <f>'G-4 COST OF SERVICE'!N28-SUM('Functionalization LARGE'!K96:L96)</f>
        <v>0</v>
      </c>
      <c r="X96" s="361">
        <f>'G-4 COST OF SERVICE'!O28-SUM('Functionalization LARGE'!M96:R96)</f>
        <v>0</v>
      </c>
    </row>
    <row r="97" spans="1:24" ht="11.25">
      <c r="A97" s="452"/>
      <c r="B97" s="451"/>
      <c r="C97" s="653"/>
      <c r="D97" s="653"/>
      <c r="E97" s="653"/>
      <c r="F97" s="653"/>
      <c r="G97" s="654"/>
      <c r="H97" s="653"/>
      <c r="I97" s="653"/>
      <c r="J97" s="653"/>
      <c r="K97" s="653"/>
      <c r="L97" s="653"/>
      <c r="M97" s="653"/>
      <c r="N97" s="653"/>
      <c r="O97" s="653"/>
      <c r="P97" s="653"/>
      <c r="Q97" s="653"/>
      <c r="R97" s="653"/>
      <c r="U97" s="360"/>
      <c r="V97" s="361"/>
      <c r="W97" s="361"/>
      <c r="X97" s="361"/>
    </row>
    <row r="98" spans="1:24" ht="11.25">
      <c r="A98" s="385"/>
      <c r="B98" s="377" t="s">
        <v>161</v>
      </c>
      <c r="C98" s="653"/>
      <c r="D98" s="653"/>
      <c r="E98" s="653"/>
      <c r="F98" s="653"/>
      <c r="G98" s="654"/>
      <c r="H98" s="653"/>
      <c r="I98" s="653"/>
      <c r="J98" s="653"/>
      <c r="K98" s="653"/>
      <c r="L98" s="653"/>
      <c r="M98" s="653"/>
      <c r="N98" s="653"/>
      <c r="O98" s="653"/>
      <c r="P98" s="653"/>
      <c r="Q98" s="653"/>
      <c r="R98" s="653"/>
      <c r="U98" s="360"/>
      <c r="V98" s="361"/>
      <c r="W98" s="361"/>
      <c r="X98" s="361"/>
    </row>
    <row r="99" spans="1:24">
      <c r="A99" s="385">
        <v>901</v>
      </c>
      <c r="B99" s="379" t="s">
        <v>162</v>
      </c>
      <c r="C99" s="654">
        <f t="shared" ref="C99:C107" si="17">SUM(G99:R99)</f>
        <v>41.259505642692886</v>
      </c>
      <c r="D99" s="654">
        <f>'G-4 COST OF SERVICE'!M31</f>
        <v>0</v>
      </c>
      <c r="E99" s="654">
        <f>'G-4 COST OF SERVICE'!N31</f>
        <v>0</v>
      </c>
      <c r="F99" s="654">
        <f>'G-4 COST OF SERVICE'!O31</f>
        <v>41.259505642692886</v>
      </c>
      <c r="G99" s="654">
        <f>IF(SUM('Function Allocators'!$D152:$G152)=0,0,($D99*'Function Allocators'!D152/SUM('Function Allocators'!$D152:$G152)))</f>
        <v>0</v>
      </c>
      <c r="H99" s="654">
        <f>IF(SUM('Function Allocators'!$D152:$G152)=0,0,($D99*'Function Allocators'!E152/SUM('Function Allocators'!$D152:$G152)))</f>
        <v>0</v>
      </c>
      <c r="I99" s="654">
        <f>IF(SUM('Function Allocators'!$D152:$G152)=0,0,($D99*'Function Allocators'!F152/SUM('Function Allocators'!$D152:$G152)))</f>
        <v>0</v>
      </c>
      <c r="J99" s="654">
        <f>IF(SUM('Function Allocators'!$D152:$G152)=0,0,($D99*'Function Allocators'!G152/SUM('Function Allocators'!$D152:$G152)))</f>
        <v>0</v>
      </c>
      <c r="K99" s="654">
        <f>IF(SUM('Function Allocators'!$H152:$I152)=0,0,($E99*'Function Allocators'!H152/SUM('Function Allocators'!$H152:$I152)))</f>
        <v>0</v>
      </c>
      <c r="L99" s="654">
        <f>IF(SUM('Function Allocators'!$H152:$I152)=0,0,($E99*'Function Allocators'!I152/SUM('Function Allocators'!$H152:$I152)))</f>
        <v>0</v>
      </c>
      <c r="M99" s="654">
        <f>IF(SUM('Function Allocators'!$J152:$O152)=0,0,($F99*'Function Allocators'!J152/SUM('Function Allocators'!$J152:$O152)))</f>
        <v>31.68311603304825</v>
      </c>
      <c r="N99" s="654">
        <f>IF(SUM('Function Allocators'!$J152:$O152)=0,0,($F99*'Function Allocators'!K152/SUM('Function Allocators'!$J152:$O152)))</f>
        <v>8.3140969043405821</v>
      </c>
      <c r="O99" s="654">
        <f>IF(SUM('Function Allocators'!$J152:$O152)=0,0,($F99*'Function Allocators'!L152/SUM('Function Allocators'!$J152:$O152)))</f>
        <v>1.2622927053040542</v>
      </c>
      <c r="P99" s="654">
        <f>IF(SUM('Function Allocators'!$J152:$O152)=0,0,($F99*'Function Allocators'!M152/SUM('Function Allocators'!$J152:$O152)))</f>
        <v>0</v>
      </c>
      <c r="Q99" s="654">
        <f>IF(SUM('Function Allocators'!$J152:$O152)=0,0,($F99*'Function Allocators'!N152/SUM('Function Allocators'!$J152:$O152)))</f>
        <v>0</v>
      </c>
      <c r="R99" s="654">
        <f>IF(SUM('Function Allocators'!$J152:$O152)=0,0,($F99*'Function Allocators'!O152/SUM('Function Allocators'!$J152:$O152)))</f>
        <v>0</v>
      </c>
      <c r="T99" s="360" t="s">
        <v>69</v>
      </c>
      <c r="U99" s="52">
        <f t="shared" ref="U99:U108" si="18">C99-SUM(D99:F99)</f>
        <v>0</v>
      </c>
      <c r="V99" s="361">
        <f>'G-4 COST OF SERVICE'!M31-SUM('Functionalization LARGE'!G99:J99)</f>
        <v>0</v>
      </c>
      <c r="W99" s="361">
        <f>'G-4 COST OF SERVICE'!N31-SUM('Functionalization LARGE'!K99:L99)</f>
        <v>0</v>
      </c>
      <c r="X99" s="361">
        <f>'G-4 COST OF SERVICE'!O31-SUM('Functionalization LARGE'!M99:R99)</f>
        <v>0</v>
      </c>
    </row>
    <row r="100" spans="1:24">
      <c r="A100" s="385">
        <v>902</v>
      </c>
      <c r="B100" s="379" t="s">
        <v>163</v>
      </c>
      <c r="C100" s="653">
        <f t="shared" si="17"/>
        <v>49.75654307453096</v>
      </c>
      <c r="D100" s="654">
        <f>'G-4 COST OF SERVICE'!M32</f>
        <v>0</v>
      </c>
      <c r="E100" s="654">
        <f>'G-4 COST OF SERVICE'!N32</f>
        <v>0</v>
      </c>
      <c r="F100" s="654">
        <f>'G-4 COST OF SERVICE'!O32</f>
        <v>49.75654307453096</v>
      </c>
      <c r="G100" s="654">
        <f>IF(SUM('Function Allocators'!$D153:$G153)=0,0,($D100*'Function Allocators'!D153/SUM('Function Allocators'!$D153:$G153)))</f>
        <v>0</v>
      </c>
      <c r="H100" s="654">
        <f>IF(SUM('Function Allocators'!$D153:$G153)=0,0,($D100*'Function Allocators'!E153/SUM('Function Allocators'!$D153:$G153)))</f>
        <v>0</v>
      </c>
      <c r="I100" s="654">
        <f>IF(SUM('Function Allocators'!$D153:$G153)=0,0,($D100*'Function Allocators'!F153/SUM('Function Allocators'!$D153:$G153)))</f>
        <v>0</v>
      </c>
      <c r="J100" s="654">
        <f>IF(SUM('Function Allocators'!$D153:$G153)=0,0,($D100*'Function Allocators'!G153/SUM('Function Allocators'!$D153:$G153)))</f>
        <v>0</v>
      </c>
      <c r="K100" s="654">
        <f>IF(SUM('Function Allocators'!$H153:$I153)=0,0,($E100*'Function Allocators'!H153/SUM('Function Allocators'!$H153:$I153)))</f>
        <v>0</v>
      </c>
      <c r="L100" s="654">
        <f>IF(SUM('Function Allocators'!$H153:$I153)=0,0,($E100*'Function Allocators'!I153/SUM('Function Allocators'!$H153:$I153)))</f>
        <v>0</v>
      </c>
      <c r="M100" s="654">
        <f>IF(SUM('Function Allocators'!$J153:$O153)=0,0,($F100*'Function Allocators'!J153/SUM('Function Allocators'!$J153:$O153)))</f>
        <v>0</v>
      </c>
      <c r="N100" s="654">
        <f>IF(SUM('Function Allocators'!$J153:$O153)=0,0,($F100*'Function Allocators'!K153/SUM('Function Allocators'!$J153:$O153)))</f>
        <v>0</v>
      </c>
      <c r="O100" s="654">
        <f>IF(SUM('Function Allocators'!$J153:$O153)=0,0,($F100*'Function Allocators'!L153/SUM('Function Allocators'!$J153:$O153)))</f>
        <v>0</v>
      </c>
      <c r="P100" s="654">
        <f>IF(SUM('Function Allocators'!$J153:$O153)=0,0,($F100*'Function Allocators'!M153/SUM('Function Allocators'!$J153:$O153)))</f>
        <v>49.75654307453096</v>
      </c>
      <c r="Q100" s="654">
        <f>IF(SUM('Function Allocators'!$J153:$O153)=0,0,($F100*'Function Allocators'!N153/SUM('Function Allocators'!$J153:$O153)))</f>
        <v>0</v>
      </c>
      <c r="R100" s="654">
        <f>IF(SUM('Function Allocators'!$J153:$O153)=0,0,($F100*'Function Allocators'!O153/SUM('Function Allocators'!$J153:$O153)))</f>
        <v>0</v>
      </c>
      <c r="T100" s="360" t="s">
        <v>443</v>
      </c>
      <c r="U100" s="52">
        <f t="shared" si="18"/>
        <v>0</v>
      </c>
      <c r="V100" s="361">
        <f>'G-4 COST OF SERVICE'!M32-SUM('Functionalization LARGE'!G100:J100)</f>
        <v>0</v>
      </c>
      <c r="W100" s="361">
        <f>'G-4 COST OF SERVICE'!N32-SUM('Functionalization LARGE'!K100:L100)</f>
        <v>0</v>
      </c>
      <c r="X100" s="361">
        <f>'G-4 COST OF SERVICE'!O32-SUM('Functionalization LARGE'!M100:R100)</f>
        <v>0</v>
      </c>
    </row>
    <row r="101" spans="1:24">
      <c r="A101" s="385">
        <v>903</v>
      </c>
      <c r="B101" s="379" t="s">
        <v>165</v>
      </c>
      <c r="C101" s="653">
        <f t="shared" si="17"/>
        <v>2637.5113466749058</v>
      </c>
      <c r="D101" s="654">
        <f>'G-4 COST OF SERVICE'!M33</f>
        <v>0</v>
      </c>
      <c r="E101" s="654">
        <f>'G-4 COST OF SERVICE'!N33</f>
        <v>0</v>
      </c>
      <c r="F101" s="654">
        <f>'G-4 COST OF SERVICE'!O33</f>
        <v>2637.5113466749058</v>
      </c>
      <c r="G101" s="654">
        <f>IF(SUM('Function Allocators'!$D154:$G154)=0,0,($D101*'Function Allocators'!D154/SUM('Function Allocators'!$D154:$G154)))</f>
        <v>0</v>
      </c>
      <c r="H101" s="654">
        <f>IF(SUM('Function Allocators'!$D154:$G154)=0,0,($D101*'Function Allocators'!E154/SUM('Function Allocators'!$D154:$G154)))</f>
        <v>0</v>
      </c>
      <c r="I101" s="654">
        <f>IF(SUM('Function Allocators'!$D154:$G154)=0,0,($D101*'Function Allocators'!F154/SUM('Function Allocators'!$D154:$G154)))</f>
        <v>0</v>
      </c>
      <c r="J101" s="654">
        <f>IF(SUM('Function Allocators'!$D154:$G154)=0,0,($D101*'Function Allocators'!G154/SUM('Function Allocators'!$D154:$G154)))</f>
        <v>0</v>
      </c>
      <c r="K101" s="654">
        <f>IF(SUM('Function Allocators'!$H154:$I154)=0,0,($E101*'Function Allocators'!H154/SUM('Function Allocators'!$H154:$I154)))</f>
        <v>0</v>
      </c>
      <c r="L101" s="654">
        <f>IF(SUM('Function Allocators'!$H154:$I154)=0,0,($E101*'Function Allocators'!I154/SUM('Function Allocators'!$H154:$I154)))</f>
        <v>0</v>
      </c>
      <c r="M101" s="654">
        <f>IF(SUM('Function Allocators'!$J154:$O154)=0,0,($F101*'Function Allocators'!J154/SUM('Function Allocators'!$J154:$O154)))</f>
        <v>0</v>
      </c>
      <c r="N101" s="654">
        <f>IF(SUM('Function Allocators'!$J154:$O154)=0,0,($F101*'Function Allocators'!K154/SUM('Function Allocators'!$J154:$O154)))</f>
        <v>0</v>
      </c>
      <c r="O101" s="654">
        <f>IF(SUM('Function Allocators'!$J154:$O154)=0,0,($F101*'Function Allocators'!L154/SUM('Function Allocators'!$J154:$O154)))</f>
        <v>0</v>
      </c>
      <c r="P101" s="654">
        <f>IF(SUM('Function Allocators'!$J154:$O154)=0,0,($F101*'Function Allocators'!M154/SUM('Function Allocators'!$J154:$O154)))</f>
        <v>0</v>
      </c>
      <c r="Q101" s="654">
        <f>IF(SUM('Function Allocators'!$J154:$O154)=0,0,($F101*'Function Allocators'!N154/SUM('Function Allocators'!$J154:$O154)))</f>
        <v>2637.5113466749058</v>
      </c>
      <c r="R101" s="654">
        <f>IF(SUM('Function Allocators'!$J154:$O154)=0,0,($F101*'Function Allocators'!O154/SUM('Function Allocators'!$J154:$O154)))</f>
        <v>0</v>
      </c>
      <c r="T101" s="360" t="s">
        <v>444</v>
      </c>
      <c r="U101" s="52">
        <f t="shared" si="18"/>
        <v>0</v>
      </c>
      <c r="V101" s="361">
        <f>'G-4 COST OF SERVICE'!M33-SUM('Functionalization LARGE'!G101:J101)</f>
        <v>0</v>
      </c>
      <c r="W101" s="361">
        <f>'G-4 COST OF SERVICE'!N33-SUM('Functionalization LARGE'!K101:L101)</f>
        <v>0</v>
      </c>
      <c r="X101" s="361">
        <f>'G-4 COST OF SERVICE'!O33-SUM('Functionalization LARGE'!M101:R101)</f>
        <v>0</v>
      </c>
    </row>
    <row r="102" spans="1:24">
      <c r="A102" s="385">
        <v>904</v>
      </c>
      <c r="B102" s="379" t="s">
        <v>167</v>
      </c>
      <c r="C102" s="653">
        <f t="shared" si="17"/>
        <v>23452.985259215431</v>
      </c>
      <c r="D102" s="654">
        <f>'G-4 COST OF SERVICE'!M34</f>
        <v>0</v>
      </c>
      <c r="E102" s="654">
        <f>'G-4 COST OF SERVICE'!N34</f>
        <v>0</v>
      </c>
      <c r="F102" s="654">
        <f>'G-4 COST OF SERVICE'!O34</f>
        <v>23452.985259215431</v>
      </c>
      <c r="G102" s="654">
        <f>IF(SUM('Function Allocators'!$D155:$G155)=0,0,($D102*'Function Allocators'!D155/SUM('Function Allocators'!$D155:$G155)))</f>
        <v>0</v>
      </c>
      <c r="H102" s="654">
        <f>IF(SUM('Function Allocators'!$D155:$G155)=0,0,($D102*'Function Allocators'!E155/SUM('Function Allocators'!$D155:$G155)))</f>
        <v>0</v>
      </c>
      <c r="I102" s="654">
        <f>IF(SUM('Function Allocators'!$D155:$G155)=0,0,($D102*'Function Allocators'!F155/SUM('Function Allocators'!$D155:$G155)))</f>
        <v>0</v>
      </c>
      <c r="J102" s="654">
        <f>IF(SUM('Function Allocators'!$D155:$G155)=0,0,($D102*'Function Allocators'!G155/SUM('Function Allocators'!$D155:$G155)))</f>
        <v>0</v>
      </c>
      <c r="K102" s="654">
        <f>IF(SUM('Function Allocators'!$H155:$I155)=0,0,($E102*'Function Allocators'!H155/SUM('Function Allocators'!$H155:$I155)))</f>
        <v>0</v>
      </c>
      <c r="L102" s="654">
        <f>IF(SUM('Function Allocators'!$H155:$I155)=0,0,($E102*'Function Allocators'!I155/SUM('Function Allocators'!$H155:$I155)))</f>
        <v>0</v>
      </c>
      <c r="M102" s="654">
        <f>IF(SUM('Function Allocators'!$J155:$O155)=0,0,($F102*'Function Allocators'!J155/SUM('Function Allocators'!$J155:$O155)))</f>
        <v>0</v>
      </c>
      <c r="N102" s="654">
        <f>IF(SUM('Function Allocators'!$J155:$O155)=0,0,($F102*'Function Allocators'!K155/SUM('Function Allocators'!$J155:$O155)))</f>
        <v>0</v>
      </c>
      <c r="O102" s="654">
        <f>IF(SUM('Function Allocators'!$J155:$O155)=0,0,($F102*'Function Allocators'!L155/SUM('Function Allocators'!$J155:$O155)))</f>
        <v>0</v>
      </c>
      <c r="P102" s="654">
        <f>IF(SUM('Function Allocators'!$J155:$O155)=0,0,($F102*'Function Allocators'!M155/SUM('Function Allocators'!$J155:$O155)))</f>
        <v>0</v>
      </c>
      <c r="Q102" s="654">
        <f>IF(SUM('Function Allocators'!$J155:$O155)=0,0,($F102*'Function Allocators'!N155/SUM('Function Allocators'!$J155:$O155)))</f>
        <v>0</v>
      </c>
      <c r="R102" s="654">
        <f>IF(SUM('Function Allocators'!$J155:$O155)=0,0,($F102*'Function Allocators'!O155/SUM('Function Allocators'!$J155:$O155)))</f>
        <v>23452.985259215431</v>
      </c>
      <c r="T102" s="360" t="s">
        <v>445</v>
      </c>
      <c r="U102" s="52">
        <f t="shared" si="18"/>
        <v>0</v>
      </c>
      <c r="V102" s="361">
        <f>'G-4 COST OF SERVICE'!M34-SUM('Functionalization LARGE'!G102:J102)</f>
        <v>0</v>
      </c>
      <c r="W102" s="361">
        <f>'G-4 COST OF SERVICE'!N34-SUM('Functionalization LARGE'!K102:L102)</f>
        <v>0</v>
      </c>
      <c r="X102" s="361">
        <f>'G-4 COST OF SERVICE'!O34-SUM('Functionalization LARGE'!M102:R102)</f>
        <v>0</v>
      </c>
    </row>
    <row r="103" spans="1:24">
      <c r="A103" s="385">
        <v>905</v>
      </c>
      <c r="B103" s="379" t="s">
        <v>169</v>
      </c>
      <c r="C103" s="653">
        <f t="shared" si="17"/>
        <v>0</v>
      </c>
      <c r="D103" s="654">
        <f>'G-4 COST OF SERVICE'!M35</f>
        <v>0</v>
      </c>
      <c r="E103" s="654">
        <f>'G-4 COST OF SERVICE'!N35</f>
        <v>0</v>
      </c>
      <c r="F103" s="654">
        <f>'G-4 COST OF SERVICE'!O35</f>
        <v>0</v>
      </c>
      <c r="G103" s="654">
        <f>IF(SUM('Function Allocators'!$D156:$G156)=0,0,($D103*'Function Allocators'!D156/SUM('Function Allocators'!$D156:$G156)))</f>
        <v>0</v>
      </c>
      <c r="H103" s="654">
        <f>IF(SUM('Function Allocators'!$D156:$G156)=0,0,($D103*'Function Allocators'!E156/SUM('Function Allocators'!$D156:$G156)))</f>
        <v>0</v>
      </c>
      <c r="I103" s="654">
        <f>IF(SUM('Function Allocators'!$D156:$G156)=0,0,($D103*'Function Allocators'!F156/SUM('Function Allocators'!$D156:$G156)))</f>
        <v>0</v>
      </c>
      <c r="J103" s="654">
        <f>IF(SUM('Function Allocators'!$D156:$G156)=0,0,($D103*'Function Allocators'!G156/SUM('Function Allocators'!$D156:$G156)))</f>
        <v>0</v>
      </c>
      <c r="K103" s="654">
        <f>IF(SUM('Function Allocators'!$H156:$I156)=0,0,($E103*'Function Allocators'!H156/SUM('Function Allocators'!$H156:$I156)))</f>
        <v>0</v>
      </c>
      <c r="L103" s="654">
        <f>IF(SUM('Function Allocators'!$H156:$I156)=0,0,($E103*'Function Allocators'!I156/SUM('Function Allocators'!$H156:$I156)))</f>
        <v>0</v>
      </c>
      <c r="M103" s="654">
        <f>IF(SUM('Function Allocators'!$J156:$O156)=0,0,($F103*'Function Allocators'!J156/SUM('Function Allocators'!$J156:$O156)))</f>
        <v>0</v>
      </c>
      <c r="N103" s="654">
        <f>IF(SUM('Function Allocators'!$J156:$O156)=0,0,($F103*'Function Allocators'!K156/SUM('Function Allocators'!$J156:$O156)))</f>
        <v>0</v>
      </c>
      <c r="O103" s="654">
        <f>IF(SUM('Function Allocators'!$J156:$O156)=0,0,($F103*'Function Allocators'!L156/SUM('Function Allocators'!$J156:$O156)))</f>
        <v>0</v>
      </c>
      <c r="P103" s="654">
        <f>IF(SUM('Function Allocators'!$J156:$O156)=0,0,($F103*'Function Allocators'!M156/SUM('Function Allocators'!$J156:$O156)))</f>
        <v>0</v>
      </c>
      <c r="Q103" s="654">
        <f>IF(SUM('Function Allocators'!$J156:$O156)=0,0,($F103*'Function Allocators'!N156/SUM('Function Allocators'!$J156:$O156)))</f>
        <v>0</v>
      </c>
      <c r="R103" s="654">
        <f>IF(SUM('Function Allocators'!$J156:$O156)=0,0,($F103*'Function Allocators'!O156/SUM('Function Allocators'!$J156:$O156)))</f>
        <v>0</v>
      </c>
      <c r="T103" s="360" t="s">
        <v>445</v>
      </c>
      <c r="U103" s="52">
        <f t="shared" si="18"/>
        <v>0</v>
      </c>
      <c r="V103" s="361">
        <f>'G-4 COST OF SERVICE'!M35-SUM('Functionalization LARGE'!G103:J103)</f>
        <v>0</v>
      </c>
      <c r="W103" s="361">
        <f>'G-4 COST OF SERVICE'!N35-SUM('Functionalization LARGE'!K103:L103)</f>
        <v>0</v>
      </c>
      <c r="X103" s="361">
        <f>'G-4 COST OF SERVICE'!O35-SUM('Functionalization LARGE'!M103:R103)</f>
        <v>0</v>
      </c>
    </row>
    <row r="104" spans="1:24">
      <c r="A104" s="385">
        <v>907</v>
      </c>
      <c r="B104" s="379" t="s">
        <v>171</v>
      </c>
      <c r="C104" s="654">
        <f t="shared" si="17"/>
        <v>24.662119132342273</v>
      </c>
      <c r="D104" s="654">
        <f>'G-4 COST OF SERVICE'!M36</f>
        <v>0</v>
      </c>
      <c r="E104" s="654">
        <f>'G-4 COST OF SERVICE'!N36</f>
        <v>0</v>
      </c>
      <c r="F104" s="654">
        <f>'G-4 COST OF SERVICE'!O36</f>
        <v>24.662119132342273</v>
      </c>
      <c r="G104" s="654">
        <f>IF(SUM('Function Allocators'!$D157:$G157)=0,0,($D104*'Function Allocators'!D157/SUM('Function Allocators'!$D157:$G157)))</f>
        <v>0</v>
      </c>
      <c r="H104" s="654">
        <f>IF(SUM('Function Allocators'!$D157:$G157)=0,0,($D104*'Function Allocators'!E157/SUM('Function Allocators'!$D157:$G157)))</f>
        <v>0</v>
      </c>
      <c r="I104" s="654">
        <f>IF(SUM('Function Allocators'!$D157:$G157)=0,0,($D104*'Function Allocators'!F157/SUM('Function Allocators'!$D157:$G157)))</f>
        <v>0</v>
      </c>
      <c r="J104" s="654">
        <f>IF(SUM('Function Allocators'!$D157:$G157)=0,0,($D104*'Function Allocators'!G157/SUM('Function Allocators'!$D157:$G157)))</f>
        <v>0</v>
      </c>
      <c r="K104" s="654">
        <f>IF(SUM('Function Allocators'!$H157:$I157)=0,0,($E104*'Function Allocators'!H157/SUM('Function Allocators'!$H157:$I157)))</f>
        <v>0</v>
      </c>
      <c r="L104" s="654">
        <f>IF(SUM('Function Allocators'!$H157:$I157)=0,0,($E104*'Function Allocators'!I157/SUM('Function Allocators'!$H157:$I157)))</f>
        <v>0</v>
      </c>
      <c r="M104" s="654">
        <f>IF(SUM('Function Allocators'!$J157:$O157)=0,0,($F104*'Function Allocators'!J157/SUM('Function Allocators'!$J157:$O157)))</f>
        <v>0</v>
      </c>
      <c r="N104" s="654">
        <f>IF(SUM('Function Allocators'!$J157:$O157)=0,0,($F104*'Function Allocators'!K157/SUM('Function Allocators'!$J157:$O157)))</f>
        <v>0</v>
      </c>
      <c r="O104" s="654">
        <f>IF(SUM('Function Allocators'!$J157:$O157)=0,0,($F104*'Function Allocators'!L157/SUM('Function Allocators'!$J157:$O157)))</f>
        <v>0</v>
      </c>
      <c r="P104" s="654">
        <f>IF(SUM('Function Allocators'!$J157:$O157)=0,0,($F104*'Function Allocators'!M157/SUM('Function Allocators'!$J157:$O157)))</f>
        <v>0</v>
      </c>
      <c r="Q104" s="654">
        <f>IF(SUM('Function Allocators'!$J157:$O157)=0,0,($F104*'Function Allocators'!N157/SUM('Function Allocators'!$J157:$O157)))</f>
        <v>0</v>
      </c>
      <c r="R104" s="654">
        <f>IF(SUM('Function Allocators'!$J157:$O157)=0,0,($F104*'Function Allocators'!O157/SUM('Function Allocators'!$J157:$O157)))</f>
        <v>24.662119132342273</v>
      </c>
      <c r="T104" s="360" t="s">
        <v>445</v>
      </c>
      <c r="U104" s="52">
        <f t="shared" si="18"/>
        <v>0</v>
      </c>
      <c r="V104" s="361">
        <f>'G-4 COST OF SERVICE'!M36-SUM('Functionalization LARGE'!G104:J104)</f>
        <v>0</v>
      </c>
      <c r="W104" s="361">
        <f>'G-4 COST OF SERVICE'!N36-SUM('Functionalization LARGE'!K104:L104)</f>
        <v>0</v>
      </c>
      <c r="X104" s="361">
        <f>'G-4 COST OF SERVICE'!O36-SUM('Functionalization LARGE'!M104:R104)</f>
        <v>0</v>
      </c>
    </row>
    <row r="105" spans="1:24">
      <c r="A105" s="385">
        <v>908</v>
      </c>
      <c r="B105" s="379" t="s">
        <v>172</v>
      </c>
      <c r="C105" s="653">
        <f t="shared" si="17"/>
        <v>52.112818293547114</v>
      </c>
      <c r="D105" s="654">
        <f>'G-4 COST OF SERVICE'!M37</f>
        <v>0</v>
      </c>
      <c r="E105" s="654">
        <f>'G-4 COST OF SERVICE'!N37</f>
        <v>0</v>
      </c>
      <c r="F105" s="654">
        <f>'G-4 COST OF SERVICE'!O37</f>
        <v>52.112818293547114</v>
      </c>
      <c r="G105" s="654">
        <f>IF(SUM('Function Allocators'!$D158:$G158)=0,0,($D105*'Function Allocators'!D158/SUM('Function Allocators'!$D158:$G158)))</f>
        <v>0</v>
      </c>
      <c r="H105" s="654">
        <f>IF(SUM('Function Allocators'!$D158:$G158)=0,0,($D105*'Function Allocators'!E158/SUM('Function Allocators'!$D158:$G158)))</f>
        <v>0</v>
      </c>
      <c r="I105" s="654">
        <f>IF(SUM('Function Allocators'!$D158:$G158)=0,0,($D105*'Function Allocators'!F158/SUM('Function Allocators'!$D158:$G158)))</f>
        <v>0</v>
      </c>
      <c r="J105" s="654">
        <f>IF(SUM('Function Allocators'!$D158:$G158)=0,0,($D105*'Function Allocators'!G158/SUM('Function Allocators'!$D158:$G158)))</f>
        <v>0</v>
      </c>
      <c r="K105" s="654">
        <f>IF(SUM('Function Allocators'!$H158:$I158)=0,0,($E105*'Function Allocators'!H158/SUM('Function Allocators'!$H158:$I158)))</f>
        <v>0</v>
      </c>
      <c r="L105" s="654">
        <f>IF(SUM('Function Allocators'!$H158:$I158)=0,0,($E105*'Function Allocators'!I158/SUM('Function Allocators'!$H158:$I158)))</f>
        <v>0</v>
      </c>
      <c r="M105" s="654">
        <f>IF(SUM('Function Allocators'!$J158:$O158)=0,0,($F105*'Function Allocators'!J158/SUM('Function Allocators'!$J158:$O158)))</f>
        <v>0</v>
      </c>
      <c r="N105" s="654">
        <f>IF(SUM('Function Allocators'!$J158:$O158)=0,0,($F105*'Function Allocators'!K158/SUM('Function Allocators'!$J158:$O158)))</f>
        <v>0</v>
      </c>
      <c r="O105" s="654">
        <f>IF(SUM('Function Allocators'!$J158:$O158)=0,0,($F105*'Function Allocators'!L158/SUM('Function Allocators'!$J158:$O158)))</f>
        <v>0</v>
      </c>
      <c r="P105" s="654">
        <f>IF(SUM('Function Allocators'!$J158:$O158)=0,0,($F105*'Function Allocators'!M158/SUM('Function Allocators'!$J158:$O158)))</f>
        <v>0</v>
      </c>
      <c r="Q105" s="654">
        <f>IF(SUM('Function Allocators'!$J158:$O158)=0,0,($F105*'Function Allocators'!N158/SUM('Function Allocators'!$J158:$O158)))</f>
        <v>0</v>
      </c>
      <c r="R105" s="654">
        <f>IF(SUM('Function Allocators'!$J158:$O158)=0,0,($F105*'Function Allocators'!O158/SUM('Function Allocators'!$J158:$O158)))</f>
        <v>52.112818293547114</v>
      </c>
      <c r="T105" s="360" t="s">
        <v>445</v>
      </c>
      <c r="U105" s="52">
        <f t="shared" si="18"/>
        <v>0</v>
      </c>
      <c r="V105" s="361">
        <f>'G-4 COST OF SERVICE'!M37-SUM('Functionalization LARGE'!G105:J105)</f>
        <v>0</v>
      </c>
      <c r="W105" s="361">
        <f>'G-4 COST OF SERVICE'!N37-SUM('Functionalization LARGE'!K105:L105)</f>
        <v>0</v>
      </c>
      <c r="X105" s="361">
        <f>'G-4 COST OF SERVICE'!O37-SUM('Functionalization LARGE'!M105:R105)</f>
        <v>0</v>
      </c>
    </row>
    <row r="106" spans="1:24">
      <c r="A106" s="385">
        <v>909</v>
      </c>
      <c r="B106" s="379" t="s">
        <v>173</v>
      </c>
      <c r="C106" s="653">
        <f t="shared" si="17"/>
        <v>169.85033909752241</v>
      </c>
      <c r="D106" s="654">
        <f>'G-4 COST OF SERVICE'!M38</f>
        <v>0</v>
      </c>
      <c r="E106" s="654">
        <f>'G-4 COST OF SERVICE'!N38</f>
        <v>0</v>
      </c>
      <c r="F106" s="654">
        <f>'G-4 COST OF SERVICE'!O38</f>
        <v>169.85033909752241</v>
      </c>
      <c r="G106" s="654">
        <f>IF(SUM('Function Allocators'!$D159:$G159)=0,0,($D106*'Function Allocators'!D159/SUM('Function Allocators'!$D159:$G159)))</f>
        <v>0</v>
      </c>
      <c r="H106" s="654">
        <f>IF(SUM('Function Allocators'!$D159:$G159)=0,0,($D106*'Function Allocators'!E159/SUM('Function Allocators'!$D159:$G159)))</f>
        <v>0</v>
      </c>
      <c r="I106" s="654">
        <f>IF(SUM('Function Allocators'!$D159:$G159)=0,0,($D106*'Function Allocators'!F159/SUM('Function Allocators'!$D159:$G159)))</f>
        <v>0</v>
      </c>
      <c r="J106" s="654">
        <f>IF(SUM('Function Allocators'!$D159:$G159)=0,0,($D106*'Function Allocators'!G159/SUM('Function Allocators'!$D159:$G159)))</f>
        <v>0</v>
      </c>
      <c r="K106" s="654">
        <f>IF(SUM('Function Allocators'!$H159:$I159)=0,0,($E106*'Function Allocators'!H159/SUM('Function Allocators'!$H159:$I159)))</f>
        <v>0</v>
      </c>
      <c r="L106" s="654">
        <f>IF(SUM('Function Allocators'!$H159:$I159)=0,0,($E106*'Function Allocators'!I159/SUM('Function Allocators'!$H159:$I159)))</f>
        <v>0</v>
      </c>
      <c r="M106" s="654">
        <f>IF(SUM('Function Allocators'!$J159:$O159)=0,0,($F106*'Function Allocators'!J159/SUM('Function Allocators'!$J159:$O159)))</f>
        <v>0</v>
      </c>
      <c r="N106" s="654">
        <f>IF(SUM('Function Allocators'!$J159:$O159)=0,0,($F106*'Function Allocators'!K159/SUM('Function Allocators'!$J159:$O159)))</f>
        <v>0</v>
      </c>
      <c r="O106" s="654">
        <f>IF(SUM('Function Allocators'!$J159:$O159)=0,0,($F106*'Function Allocators'!L159/SUM('Function Allocators'!$J159:$O159)))</f>
        <v>0</v>
      </c>
      <c r="P106" s="654">
        <f>IF(SUM('Function Allocators'!$J159:$O159)=0,0,($F106*'Function Allocators'!M159/SUM('Function Allocators'!$J159:$O159)))</f>
        <v>0</v>
      </c>
      <c r="Q106" s="654">
        <f>IF(SUM('Function Allocators'!$J159:$O159)=0,0,($F106*'Function Allocators'!N159/SUM('Function Allocators'!$J159:$O159)))</f>
        <v>0</v>
      </c>
      <c r="R106" s="654">
        <f>IF(SUM('Function Allocators'!$J159:$O159)=0,0,($F106*'Function Allocators'!O159/SUM('Function Allocators'!$J159:$O159)))</f>
        <v>169.85033909752241</v>
      </c>
      <c r="T106" s="360" t="s">
        <v>445</v>
      </c>
      <c r="U106" s="52">
        <f t="shared" si="18"/>
        <v>0</v>
      </c>
      <c r="V106" s="361">
        <f>'G-4 COST OF SERVICE'!M38-SUM('Functionalization LARGE'!G106:J106)</f>
        <v>0</v>
      </c>
      <c r="W106" s="361">
        <f>'G-4 COST OF SERVICE'!N38-SUM('Functionalization LARGE'!K106:L106)</f>
        <v>0</v>
      </c>
      <c r="X106" s="361">
        <f>'G-4 COST OF SERVICE'!O38-SUM('Functionalization LARGE'!M106:R106)</f>
        <v>0</v>
      </c>
    </row>
    <row r="107" spans="1:24">
      <c r="A107" s="385">
        <v>910</v>
      </c>
      <c r="B107" s="379" t="s">
        <v>174</v>
      </c>
      <c r="C107" s="653">
        <f t="shared" si="17"/>
        <v>1.1819548947129964E-2</v>
      </c>
      <c r="D107" s="654">
        <f>'G-4 COST OF SERVICE'!M39</f>
        <v>0</v>
      </c>
      <c r="E107" s="654">
        <f>'G-4 COST OF SERVICE'!N39</f>
        <v>0</v>
      </c>
      <c r="F107" s="654">
        <f>'G-4 COST OF SERVICE'!O39</f>
        <v>1.1819548947129964E-2</v>
      </c>
      <c r="G107" s="654">
        <f>IF(SUM('Function Allocators'!$D160:$G160)=0,0,($D107*'Function Allocators'!D160/SUM('Function Allocators'!$D160:$G160)))</f>
        <v>0</v>
      </c>
      <c r="H107" s="654">
        <f>IF(SUM('Function Allocators'!$D160:$G160)=0,0,($D107*'Function Allocators'!E160/SUM('Function Allocators'!$D160:$G160)))</f>
        <v>0</v>
      </c>
      <c r="I107" s="654">
        <f>IF(SUM('Function Allocators'!$D160:$G160)=0,0,($D107*'Function Allocators'!F160/SUM('Function Allocators'!$D160:$G160)))</f>
        <v>0</v>
      </c>
      <c r="J107" s="654">
        <f>IF(SUM('Function Allocators'!$D160:$G160)=0,0,($D107*'Function Allocators'!G160/SUM('Function Allocators'!$D160:$G160)))</f>
        <v>0</v>
      </c>
      <c r="K107" s="654">
        <f>IF(SUM('Function Allocators'!$H160:$I160)=0,0,($E107*'Function Allocators'!H160/SUM('Function Allocators'!$H160:$I160)))</f>
        <v>0</v>
      </c>
      <c r="L107" s="654">
        <f>IF(SUM('Function Allocators'!$H160:$I160)=0,0,($E107*'Function Allocators'!I160/SUM('Function Allocators'!$H160:$I160)))</f>
        <v>0</v>
      </c>
      <c r="M107" s="654">
        <f>IF(SUM('Function Allocators'!$J160:$O160)=0,0,($F107*'Function Allocators'!J160/SUM('Function Allocators'!$J160:$O160)))</f>
        <v>0</v>
      </c>
      <c r="N107" s="654">
        <f>IF(SUM('Function Allocators'!$J160:$O160)=0,0,($F107*'Function Allocators'!K160/SUM('Function Allocators'!$J160:$O160)))</f>
        <v>0</v>
      </c>
      <c r="O107" s="654">
        <f>IF(SUM('Function Allocators'!$J160:$O160)=0,0,($F107*'Function Allocators'!L160/SUM('Function Allocators'!$J160:$O160)))</f>
        <v>0</v>
      </c>
      <c r="P107" s="654">
        <f>IF(SUM('Function Allocators'!$J160:$O160)=0,0,($F107*'Function Allocators'!M160/SUM('Function Allocators'!$J160:$O160)))</f>
        <v>0</v>
      </c>
      <c r="Q107" s="654">
        <f>IF(SUM('Function Allocators'!$J160:$O160)=0,0,($F107*'Function Allocators'!N160/SUM('Function Allocators'!$J160:$O160)))</f>
        <v>0</v>
      </c>
      <c r="R107" s="654">
        <f>IF(SUM('Function Allocators'!$J160:$O160)=0,0,($F107*'Function Allocators'!O160/SUM('Function Allocators'!$J160:$O160)))</f>
        <v>1.1819548947129964E-2</v>
      </c>
      <c r="T107" s="360" t="s">
        <v>445</v>
      </c>
      <c r="U107" s="52">
        <f t="shared" si="18"/>
        <v>0</v>
      </c>
      <c r="V107" s="361">
        <f>'G-4 COST OF SERVICE'!M39-SUM('Functionalization LARGE'!G107:J107)</f>
        <v>0</v>
      </c>
      <c r="W107" s="361">
        <f>'G-4 COST OF SERVICE'!N39-SUM('Functionalization LARGE'!K107:L107)</f>
        <v>0</v>
      </c>
      <c r="X107" s="361">
        <f>'G-4 COST OF SERVICE'!O39-SUM('Functionalization LARGE'!M107:R107)</f>
        <v>0</v>
      </c>
    </row>
    <row r="108" spans="1:24">
      <c r="A108" s="385"/>
      <c r="B108" s="377" t="s">
        <v>175</v>
      </c>
      <c r="C108" s="656">
        <f t="shared" ref="C108:R108" si="19">SUM(C99:C107)</f>
        <v>26428.149750679924</v>
      </c>
      <c r="D108" s="656">
        <f t="shared" si="19"/>
        <v>0</v>
      </c>
      <c r="E108" s="656">
        <f t="shared" si="19"/>
        <v>0</v>
      </c>
      <c r="F108" s="656">
        <f t="shared" si="19"/>
        <v>26428.149750679924</v>
      </c>
      <c r="G108" s="656">
        <f t="shared" si="19"/>
        <v>0</v>
      </c>
      <c r="H108" s="656">
        <f t="shared" si="19"/>
        <v>0</v>
      </c>
      <c r="I108" s="656">
        <f t="shared" si="19"/>
        <v>0</v>
      </c>
      <c r="J108" s="656">
        <f t="shared" si="19"/>
        <v>0</v>
      </c>
      <c r="K108" s="656">
        <f t="shared" si="19"/>
        <v>0</v>
      </c>
      <c r="L108" s="656">
        <f t="shared" si="19"/>
        <v>0</v>
      </c>
      <c r="M108" s="656">
        <f t="shared" si="19"/>
        <v>31.68311603304825</v>
      </c>
      <c r="N108" s="656">
        <f t="shared" si="19"/>
        <v>8.3140969043405821</v>
      </c>
      <c r="O108" s="656">
        <f t="shared" si="19"/>
        <v>1.2622927053040542</v>
      </c>
      <c r="P108" s="656">
        <f t="shared" si="19"/>
        <v>49.75654307453096</v>
      </c>
      <c r="Q108" s="656">
        <f t="shared" si="19"/>
        <v>2637.5113466749058</v>
      </c>
      <c r="R108" s="656">
        <f t="shared" si="19"/>
        <v>23699.622355287793</v>
      </c>
      <c r="U108" s="52">
        <f t="shared" si="18"/>
        <v>0</v>
      </c>
      <c r="V108" s="361">
        <f>'G-4 COST OF SERVICE'!M40-SUM('Functionalization LARGE'!G108:J108)</f>
        <v>0</v>
      </c>
      <c r="W108" s="361">
        <f>'G-4 COST OF SERVICE'!N40-SUM('Functionalization LARGE'!K108:L108)</f>
        <v>0</v>
      </c>
      <c r="X108" s="361">
        <f>'G-4 COST OF SERVICE'!O40-SUM('Functionalization LARGE'!M108:R108)</f>
        <v>0</v>
      </c>
    </row>
    <row r="109" spans="1:24" ht="11.25">
      <c r="A109" s="385"/>
      <c r="B109" s="377"/>
      <c r="C109" s="653"/>
      <c r="D109" s="653"/>
      <c r="E109" s="653"/>
      <c r="F109" s="653"/>
      <c r="G109" s="654"/>
      <c r="H109" s="653"/>
      <c r="I109" s="653"/>
      <c r="J109" s="653"/>
      <c r="K109" s="653"/>
      <c r="L109" s="653"/>
      <c r="M109" s="653"/>
      <c r="N109" s="653"/>
      <c r="O109" s="653"/>
      <c r="P109" s="653"/>
      <c r="Q109" s="653"/>
      <c r="R109" s="653"/>
      <c r="U109" s="360"/>
      <c r="V109" s="361"/>
      <c r="W109" s="361"/>
      <c r="X109" s="361"/>
    </row>
    <row r="110" spans="1:24">
      <c r="A110" s="385" t="s">
        <v>472</v>
      </c>
      <c r="B110" s="377" t="s">
        <v>176</v>
      </c>
      <c r="C110" s="654">
        <f>SUM(G110:R110)</f>
        <v>620357.71316319343</v>
      </c>
      <c r="D110" s="654">
        <f>'G-4 COST OF SERVICE'!M55</f>
        <v>583812.54066112603</v>
      </c>
      <c r="E110" s="654">
        <f>'G-4 COST OF SERVICE'!N55</f>
        <v>6361.4705395099081</v>
      </c>
      <c r="F110" s="654">
        <f>'G-4 COST OF SERVICE'!O55</f>
        <v>30183.701962557549</v>
      </c>
      <c r="G110" s="654">
        <f>IF(SUM('Function Allocators'!$D164:$G164)=0,0,($D110*'Function Allocators'!D164/SUM('Function Allocators'!$D164:$G164)))</f>
        <v>0</v>
      </c>
      <c r="H110" s="654">
        <f>IF(SUM('Function Allocators'!$D164:$G164)=0,0,($D110*'Function Allocators'!E164/SUM('Function Allocators'!$D164:$G164)))</f>
        <v>410429.59187638795</v>
      </c>
      <c r="I110" s="654">
        <f>IF(SUM('Function Allocators'!$D164:$G164)=0,0,($D110*'Function Allocators'!F164/SUM('Function Allocators'!$D164:$G164)))</f>
        <v>168017.79827341883</v>
      </c>
      <c r="J110" s="654">
        <f>IF(SUM('Function Allocators'!$D164:$G164)=0,0,($D110*'Function Allocators'!G164/SUM('Function Allocators'!$D164:$G164)))</f>
        <v>5365.1505113192334</v>
      </c>
      <c r="K110" s="654">
        <f>IF(SUM('Function Allocators'!$H164:$I164)=0,0,($E110*'Function Allocators'!H164/SUM('Function Allocators'!$H$164:$I$164)))</f>
        <v>6361.4705395099081</v>
      </c>
      <c r="L110" s="654">
        <f>IF(SUM('Function Allocators'!$H164:$I164)=0,0,($E110*'Function Allocators'!I164/SUM('Function Allocators'!$H$164:$I$164)))</f>
        <v>0</v>
      </c>
      <c r="M110" s="654">
        <f>IF(SUM('Function Allocators'!$J164:$O164)=0,0,($F110*'Function Allocators'!J164/SUM('Function Allocators'!$J164:$O164)))</f>
        <v>12630.658415831596</v>
      </c>
      <c r="N110" s="654">
        <f>IF(SUM('Function Allocators'!$J164:$O164)=0,0,($F110*'Function Allocators'!K164/SUM('Function Allocators'!$J164:$O164)))</f>
        <v>15222.164675334836</v>
      </c>
      <c r="O110" s="654">
        <f>IF(SUM('Function Allocators'!$J164:$O164)=0,0,($F110*'Function Allocators'!L164/SUM('Function Allocators'!$J164:$O164)))</f>
        <v>2330.8788713911172</v>
      </c>
      <c r="P110" s="654">
        <f>IF(SUM('Function Allocators'!$J164:$O164)=0,0,($F110*'Function Allocators'!M164/SUM('Function Allocators'!$J164:$O164)))</f>
        <v>0</v>
      </c>
      <c r="Q110" s="654">
        <f>IF(SUM('Function Allocators'!$J164:$O164)=0,0,($F110*'Function Allocators'!N164/SUM('Function Allocators'!$J164:$O164)))</f>
        <v>0</v>
      </c>
      <c r="R110" s="654">
        <f>IF(SUM('Function Allocators'!$J164:$O164)=0,0,($F110*'Function Allocators'!O164/SUM('Function Allocators'!$J164:$O164)))</f>
        <v>0</v>
      </c>
      <c r="U110" s="52">
        <f>C110-SUM(D110:F110)</f>
        <v>0</v>
      </c>
      <c r="V110" s="361">
        <f>'G-4 COST OF SERVICE'!M55-SUM('Functionalization LARGE'!G110:J110)</f>
        <v>0</v>
      </c>
      <c r="W110" s="361">
        <f>'G-4 COST OF SERVICE'!N55-SUM('Functionalization LARGE'!K110:L110)</f>
        <v>0</v>
      </c>
      <c r="X110" s="361">
        <f>'G-4 COST OF SERVICE'!O55-SUM('Functionalization LARGE'!M110:R110)</f>
        <v>0</v>
      </c>
    </row>
    <row r="111" spans="1:24" ht="11.25">
      <c r="A111" s="385"/>
      <c r="B111" s="377"/>
      <c r="C111" s="653"/>
      <c r="D111" s="653"/>
      <c r="E111" s="653"/>
      <c r="F111" s="653"/>
      <c r="G111" s="654"/>
      <c r="H111" s="653"/>
      <c r="I111" s="653"/>
      <c r="J111" s="653"/>
      <c r="K111" s="653"/>
      <c r="L111" s="653"/>
      <c r="M111" s="653"/>
      <c r="N111" s="653"/>
      <c r="O111" s="653"/>
      <c r="P111" s="653"/>
      <c r="Q111" s="653"/>
      <c r="R111" s="653"/>
      <c r="U111" s="360"/>
      <c r="V111" s="361"/>
      <c r="W111" s="361"/>
      <c r="X111" s="361"/>
    </row>
    <row r="112" spans="1:24" ht="11.25">
      <c r="A112" s="385"/>
      <c r="B112" s="406" t="s">
        <v>190</v>
      </c>
      <c r="C112" s="653"/>
      <c r="D112" s="653"/>
      <c r="E112" s="653"/>
      <c r="F112" s="653"/>
      <c r="G112" s="654"/>
      <c r="H112" s="653"/>
      <c r="I112" s="653"/>
      <c r="J112" s="653"/>
      <c r="K112" s="653"/>
      <c r="L112" s="653"/>
      <c r="M112" s="653"/>
      <c r="N112" s="653"/>
      <c r="O112" s="653"/>
      <c r="P112" s="653"/>
      <c r="Q112" s="653"/>
      <c r="R112" s="653"/>
      <c r="U112" s="360"/>
      <c r="V112" s="361"/>
      <c r="W112" s="361"/>
      <c r="X112" s="361"/>
    </row>
    <row r="113" spans="1:24">
      <c r="A113" s="385"/>
      <c r="B113" s="377" t="s">
        <v>191</v>
      </c>
      <c r="C113" s="654">
        <f>SUM(G113:R113)</f>
        <v>228297.24296989091</v>
      </c>
      <c r="D113" s="654">
        <f>'G-4 COST OF SERVICE'!M64</f>
        <v>207008.11112988458</v>
      </c>
      <c r="E113" s="654">
        <f>'G-4 COST OF SERVICE'!N64</f>
        <v>0</v>
      </c>
      <c r="F113" s="654">
        <f>'G-4 COST OF SERVICE'!O64</f>
        <v>21289.131840006292</v>
      </c>
      <c r="G113" s="654">
        <f>IF(SUM('Function Allocators'!$D180:$G180)=0,0,($D113*'Function Allocators'!D180/SUM('Function Allocators'!$D180:$G180)))</f>
        <v>0</v>
      </c>
      <c r="H113" s="654">
        <f>IF(SUM('Function Allocators'!$D180:$G180)=0,0,($D113*'Function Allocators'!E180/SUM('Function Allocators'!$D180:$G180)))</f>
        <v>189825.41295325919</v>
      </c>
      <c r="I113" s="654">
        <f>IF(SUM('Function Allocators'!$D180:$G180)=0,0,($D113*'Function Allocators'!F180/SUM('Function Allocators'!$D180:$G180)))</f>
        <v>13457.584250384987</v>
      </c>
      <c r="J113" s="654">
        <f>IF(SUM('Function Allocators'!$D180:$G180)=0,0,($D113*'Function Allocators'!G180/SUM('Function Allocators'!$D180:$G180)))</f>
        <v>3725.1139262404054</v>
      </c>
      <c r="K113" s="654">
        <f>IF(SUM('Function Allocators'!$H180:$I180)=0,0,($E113*'Function Allocators'!H180/SUM('Function Allocators'!$H$180:$I$180)))</f>
        <v>0</v>
      </c>
      <c r="L113" s="654">
        <f>IF(SUM('Function Allocators'!$H180:$I180)=0,0,($E113*'Function Allocators'!I180/SUM('Function Allocators'!$H$180:$I$180)))</f>
        <v>0</v>
      </c>
      <c r="M113" s="654">
        <f>IF(SUM('Function Allocators'!$J180:$O180)=0,0,($F113*'Function Allocators'!J180/SUM('Function Allocators'!$J180:$O180)))</f>
        <v>17257.684006985306</v>
      </c>
      <c r="N113" s="654">
        <f>IF(SUM('Function Allocators'!$J180:$O180)=0,0,($F113*'Function Allocators'!K180/SUM('Function Allocators'!$J180:$O180)))</f>
        <v>3322.7920905576016</v>
      </c>
      <c r="O113" s="654">
        <f>IF(SUM('Function Allocators'!$J180:$O180)=0,0,($F113*'Function Allocators'!L180/SUM('Function Allocators'!$J180:$O180)))</f>
        <v>708.65574246338485</v>
      </c>
      <c r="P113" s="654">
        <f>IF(SUM('Function Allocators'!$J180:$O180)=0,0,($F113*'Function Allocators'!M180/SUM('Function Allocators'!$J180:$O180)))</f>
        <v>0</v>
      </c>
      <c r="Q113" s="654">
        <f>IF(SUM('Function Allocators'!$J180:$O180)=0,0,($F113*'Function Allocators'!N180/SUM('Function Allocators'!$J180:$O180)))</f>
        <v>0</v>
      </c>
      <c r="R113" s="654">
        <f>IF(SUM('Function Allocators'!$J180:$O180)=0,0,($F113*'Function Allocators'!O180/SUM('Function Allocators'!$J180:$O180)))</f>
        <v>0</v>
      </c>
      <c r="U113" s="52">
        <f>C113-SUM(D113:F113)</f>
        <v>0</v>
      </c>
      <c r="V113" s="361">
        <f>'G-4 COST OF SERVICE'!M64-SUM('Functionalization LARGE'!G113:J113)</f>
        <v>0</v>
      </c>
      <c r="W113" s="361">
        <f>'G-4 COST OF SERVICE'!N64-SUM('Functionalization LARGE'!K113:L113)</f>
        <v>0</v>
      </c>
      <c r="X113" s="361">
        <f>'G-4 COST OF SERVICE'!O64-SUM('Functionalization LARGE'!M113:R113)</f>
        <v>0</v>
      </c>
    </row>
    <row r="114" spans="1:24">
      <c r="A114" s="385"/>
      <c r="B114" s="377" t="s">
        <v>286</v>
      </c>
      <c r="C114" s="654">
        <f>SUM(G114:R114)</f>
        <v>50325.52291737865</v>
      </c>
      <c r="D114" s="654">
        <f>'G-4 COST OF SERVICE'!M66</f>
        <v>50325.52291737865</v>
      </c>
      <c r="E114" s="654">
        <f>'G-4 COST OF SERVICE'!N66</f>
        <v>0</v>
      </c>
      <c r="F114" s="654">
        <f>'G-4 COST OF SERVICE'!O66</f>
        <v>0</v>
      </c>
      <c r="G114" s="654">
        <f>IF(SUM('Function Allocators'!$D186:$G186)=0,0,($D114*'Function Allocators'!D186/SUM('Function Allocators'!$D186:$G186)))</f>
        <v>0</v>
      </c>
      <c r="H114" s="654">
        <f>IF(SUM('Function Allocators'!$D186:$G186)=0,0,($D114*'Function Allocators'!E186/SUM('Function Allocators'!$D186:$G186)))</f>
        <v>50325.52291737865</v>
      </c>
      <c r="I114" s="654">
        <f>IF(SUM('Function Allocators'!$D186:$G186)=0,0,($D114*'Function Allocators'!F186/SUM('Function Allocators'!$D186:$G186)))</f>
        <v>0</v>
      </c>
      <c r="J114" s="654">
        <f>IF(SUM('Function Allocators'!$D186:$G186)=0,0,($D114*'Function Allocators'!G186/SUM('Function Allocators'!$D186:$G186)))</f>
        <v>0</v>
      </c>
      <c r="K114" s="654">
        <f>IF(SUM('Function Allocators'!$H186:$I186)=0,0,($E114*'Function Allocators'!H186/SUM('Function Allocators'!$H$186:$I$186)))</f>
        <v>0</v>
      </c>
      <c r="L114" s="654">
        <f>IF(SUM('Function Allocators'!$H186:$I186)=0,0,($E114*'Function Allocators'!I186/SUM('Function Allocators'!$H$186:$I$186)))</f>
        <v>0</v>
      </c>
      <c r="M114" s="654">
        <f>IF(SUM('Function Allocators'!$J186:$O186)=0,0,($F114*'Function Allocators'!J186/SUM('Function Allocators'!$J186:$O186)))</f>
        <v>0</v>
      </c>
      <c r="N114" s="654">
        <f>IF(SUM('Function Allocators'!$J186:$O186)=0,0,($F114*'Function Allocators'!K186/SUM('Function Allocators'!$J186:$O186)))</f>
        <v>0</v>
      </c>
      <c r="O114" s="654">
        <f>IF(SUM('Function Allocators'!$J186:$O186)=0,0,($F114*'Function Allocators'!L186/SUM('Function Allocators'!$J186:$O186)))</f>
        <v>0</v>
      </c>
      <c r="P114" s="654">
        <f>IF(SUM('Function Allocators'!$J186:$O186)=0,0,($F114*'Function Allocators'!M186/SUM('Function Allocators'!$J186:$O186)))</f>
        <v>0</v>
      </c>
      <c r="Q114" s="654">
        <f>IF(SUM('Function Allocators'!$J186:$O186)=0,0,($F114*'Function Allocators'!N186/SUM('Function Allocators'!$J186:$O186)))</f>
        <v>0</v>
      </c>
      <c r="R114" s="654">
        <f>IF(SUM('Function Allocators'!$J186:$O186)=0,0,($F114*'Function Allocators'!O186/SUM('Function Allocators'!$J186:$O186)))</f>
        <v>0</v>
      </c>
      <c r="U114" s="52">
        <f>C114-SUM(D114:F114)</f>
        <v>0</v>
      </c>
      <c r="V114" s="361">
        <f>'G-4 COST OF SERVICE'!M66-SUM('Functionalization LARGE'!G114:J114)</f>
        <v>0</v>
      </c>
      <c r="W114" s="361">
        <f>'G-4 COST OF SERVICE'!N66-SUM('Functionalization LARGE'!K114:L114)</f>
        <v>0</v>
      </c>
      <c r="X114" s="361">
        <f>'G-4 COST OF SERVICE'!O66-SUM('Functionalization LARGE'!M114:R114)</f>
        <v>0</v>
      </c>
    </row>
    <row r="115" spans="1:24" ht="11.25">
      <c r="A115" s="385"/>
      <c r="B115" s="377"/>
      <c r="C115" s="653"/>
      <c r="D115" s="653"/>
      <c r="E115" s="653"/>
      <c r="F115" s="653"/>
      <c r="G115" s="654"/>
      <c r="H115" s="653"/>
      <c r="I115" s="653"/>
      <c r="J115" s="653"/>
      <c r="K115" s="653"/>
      <c r="L115" s="653"/>
      <c r="M115" s="653"/>
      <c r="N115" s="653"/>
      <c r="O115" s="653"/>
      <c r="P115" s="653"/>
      <c r="Q115" s="653"/>
      <c r="R115" s="653"/>
      <c r="U115" s="360"/>
      <c r="V115" s="361"/>
      <c r="W115" s="361"/>
      <c r="X115" s="361"/>
    </row>
    <row r="116" spans="1:24" ht="11.25">
      <c r="A116" s="385"/>
      <c r="B116" s="377" t="s">
        <v>197</v>
      </c>
      <c r="C116" s="653"/>
      <c r="D116" s="653"/>
      <c r="E116" s="653"/>
      <c r="F116" s="653"/>
      <c r="G116" s="654"/>
      <c r="H116" s="653"/>
      <c r="I116" s="653"/>
      <c r="J116" s="653"/>
      <c r="K116" s="653"/>
      <c r="L116" s="653"/>
      <c r="M116" s="653"/>
      <c r="N116" s="653"/>
      <c r="O116" s="653"/>
      <c r="P116" s="653"/>
      <c r="Q116" s="653"/>
      <c r="R116" s="653"/>
      <c r="U116" s="360"/>
      <c r="V116" s="361"/>
      <c r="W116" s="361"/>
      <c r="X116" s="361"/>
    </row>
    <row r="117" spans="1:24">
      <c r="A117" s="385">
        <v>374</v>
      </c>
      <c r="B117" s="379" t="s">
        <v>81</v>
      </c>
      <c r="C117" s="653">
        <f t="shared" ref="C117:C128" si="20">SUM(G117:R117)</f>
        <v>1381.2326342758806</v>
      </c>
      <c r="D117" s="653">
        <f>'G-4 COST OF SERVICE'!M69</f>
        <v>1381.2326342758806</v>
      </c>
      <c r="E117" s="653">
        <f>'G-4 COST OF SERVICE'!N69</f>
        <v>0</v>
      </c>
      <c r="F117" s="653">
        <f>'G-4 COST OF SERVICE'!O69</f>
        <v>0</v>
      </c>
      <c r="G117" s="654">
        <f>IF(SUM('Function Allocators'!$D194:$G194)=0,0,($D117*'Function Allocators'!D194/SUM('Function Allocators'!$D194:$G194)))</f>
        <v>0</v>
      </c>
      <c r="H117" s="654">
        <f>IF(SUM('Function Allocators'!$D194:$G194)=0,0,($D117*'Function Allocators'!E194/SUM('Function Allocators'!$D194:$G194)))</f>
        <v>0</v>
      </c>
      <c r="I117" s="654">
        <f>IF(SUM('Function Allocators'!$D194:$G194)=0,0,($D117*'Function Allocators'!F194/SUM('Function Allocators'!$D194:$G194)))</f>
        <v>0</v>
      </c>
      <c r="J117" s="654">
        <f>IF(SUM('Function Allocators'!$D194:$G194)=0,0,($D117*'Function Allocators'!G194/SUM('Function Allocators'!$D194:$G194)))</f>
        <v>1381.2326342758806</v>
      </c>
      <c r="K117" s="654">
        <f>IF(SUM('Function Allocators'!$H194:$I194)=0,0,($E117*'Function Allocators'!H194/SUM('Function Allocators'!$H194:$I194)))</f>
        <v>0</v>
      </c>
      <c r="L117" s="654">
        <f>IF(SUM('Function Allocators'!$H194:$I194)=0,0,($E117*'Function Allocators'!I194/SUM('Function Allocators'!$H194:$I194)))</f>
        <v>0</v>
      </c>
      <c r="M117" s="654">
        <f>IF(SUM('Function Allocators'!$J194:$O194)=0,0,($F117*'Function Allocators'!J194/SUM('Function Allocators'!$J194:$O194)))</f>
        <v>0</v>
      </c>
      <c r="N117" s="654">
        <f>IF(SUM('Function Allocators'!$J194:$O194)=0,0,($F117*'Function Allocators'!K194/SUM('Function Allocators'!$J194:$O194)))</f>
        <v>0</v>
      </c>
      <c r="O117" s="654">
        <f>IF(SUM('Function Allocators'!$J194:$O194)=0,0,($F117*'Function Allocators'!L194/SUM('Function Allocators'!$J194:$O194)))</f>
        <v>0</v>
      </c>
      <c r="P117" s="654">
        <f>IF(SUM('Function Allocators'!$J194:$O194)=0,0,($F117*'Function Allocators'!M194/SUM('Function Allocators'!$J194:$O194)))</f>
        <v>0</v>
      </c>
      <c r="Q117" s="654">
        <f>IF(SUM('Function Allocators'!$J194:$O194)=0,0,($F117*'Function Allocators'!N194/SUM('Function Allocators'!$J194:$O194)))</f>
        <v>0</v>
      </c>
      <c r="R117" s="654">
        <f>IF(SUM('Function Allocators'!$J194:$O194)=0,0,($F117*'Function Allocators'!O194/SUM('Function Allocators'!$J194:$O194)))</f>
        <v>0</v>
      </c>
      <c r="T117" s="360" t="s">
        <v>428</v>
      </c>
      <c r="U117" s="52">
        <f t="shared" ref="U117:U129" si="21">C117-SUM(D117:F117)</f>
        <v>0</v>
      </c>
      <c r="V117" s="361">
        <f>'G-4 COST OF SERVICE'!M69-SUM('Functionalization LARGE'!G117:J117)</f>
        <v>0</v>
      </c>
      <c r="W117" s="361">
        <f>'G-4 COST OF SERVICE'!N69-SUM('Functionalization LARGE'!K117:L117)</f>
        <v>0</v>
      </c>
      <c r="X117" s="361">
        <f>'G-4 COST OF SERVICE'!O69-SUM('Functionalization LARGE'!M117:R117)</f>
        <v>0</v>
      </c>
    </row>
    <row r="118" spans="1:24">
      <c r="A118" s="390">
        <v>375</v>
      </c>
      <c r="B118" s="379" t="s">
        <v>82</v>
      </c>
      <c r="C118" s="653">
        <f t="shared" si="20"/>
        <v>933.80182657819444</v>
      </c>
      <c r="D118" s="653">
        <f>'G-4 COST OF SERVICE'!M70</f>
        <v>933.80182657819444</v>
      </c>
      <c r="E118" s="653">
        <f>'G-4 COST OF SERVICE'!N70</f>
        <v>0</v>
      </c>
      <c r="F118" s="653">
        <f>'G-4 COST OF SERVICE'!O70</f>
        <v>0</v>
      </c>
      <c r="G118" s="654">
        <f>IF(SUM('Function Allocators'!$D195:$G195)=0,0,($D118*'Function Allocators'!D195/SUM('Function Allocators'!$D195:$G195)))</f>
        <v>0</v>
      </c>
      <c r="H118" s="654">
        <f>IF(SUM('Function Allocators'!$D195:$G195)=0,0,($D118*'Function Allocators'!E195/SUM('Function Allocators'!$D195:$G195)))</f>
        <v>0</v>
      </c>
      <c r="I118" s="654">
        <f>IF(SUM('Function Allocators'!$D195:$G195)=0,0,($D118*'Function Allocators'!F195/SUM('Function Allocators'!$D195:$G195)))</f>
        <v>0</v>
      </c>
      <c r="J118" s="654">
        <f>IF(SUM('Function Allocators'!$D195:$G195)=0,0,($D118*'Function Allocators'!G195/SUM('Function Allocators'!$D195:$G195)))</f>
        <v>933.80182657819444</v>
      </c>
      <c r="K118" s="654">
        <f>IF(SUM('Function Allocators'!$H195:$I195)=0,0,($E118*'Function Allocators'!H195/SUM('Function Allocators'!$H195:$I195)))</f>
        <v>0</v>
      </c>
      <c r="L118" s="654">
        <f>IF(SUM('Function Allocators'!$H195:$I195)=0,0,($E118*'Function Allocators'!I195/SUM('Function Allocators'!$H195:$I195)))</f>
        <v>0</v>
      </c>
      <c r="M118" s="654">
        <f>IF(SUM('Function Allocators'!$J195:$O195)=0,0,($F118*'Function Allocators'!J195/SUM('Function Allocators'!$J195:$O195)))</f>
        <v>0</v>
      </c>
      <c r="N118" s="654">
        <f>IF(SUM('Function Allocators'!$J195:$O195)=0,0,($F118*'Function Allocators'!K195/SUM('Function Allocators'!$J195:$O195)))</f>
        <v>0</v>
      </c>
      <c r="O118" s="654">
        <f>IF(SUM('Function Allocators'!$J195:$O195)=0,0,($F118*'Function Allocators'!L195/SUM('Function Allocators'!$J195:$O195)))</f>
        <v>0</v>
      </c>
      <c r="P118" s="654">
        <f>IF(SUM('Function Allocators'!$J195:$O195)=0,0,($F118*'Function Allocators'!M195/SUM('Function Allocators'!$J195:$O195)))</f>
        <v>0</v>
      </c>
      <c r="Q118" s="654">
        <f>IF(SUM('Function Allocators'!$J195:$O195)=0,0,($F118*'Function Allocators'!N195/SUM('Function Allocators'!$J195:$O195)))</f>
        <v>0</v>
      </c>
      <c r="R118" s="654">
        <f>IF(SUM('Function Allocators'!$J195:$O195)=0,0,($F118*'Function Allocators'!O195/SUM('Function Allocators'!$J195:$O195)))</f>
        <v>0</v>
      </c>
      <c r="T118" s="360" t="s">
        <v>428</v>
      </c>
      <c r="U118" s="52">
        <f t="shared" si="21"/>
        <v>0</v>
      </c>
      <c r="V118" s="361">
        <f>'G-4 COST OF SERVICE'!M70-SUM('Functionalization LARGE'!G118:J118)</f>
        <v>0</v>
      </c>
      <c r="W118" s="361">
        <f>'G-4 COST OF SERVICE'!N70-SUM('Functionalization LARGE'!K118:L118)</f>
        <v>0</v>
      </c>
      <c r="X118" s="361">
        <f>'G-4 COST OF SERVICE'!O70-SUM('Functionalization LARGE'!M118:R118)</f>
        <v>0</v>
      </c>
    </row>
    <row r="119" spans="1:24">
      <c r="A119" s="385">
        <v>376</v>
      </c>
      <c r="B119" s="379" t="s">
        <v>83</v>
      </c>
      <c r="C119" s="653">
        <f t="shared" si="20"/>
        <v>535638.81197413174</v>
      </c>
      <c r="D119" s="653">
        <f>'G-4 COST OF SERVICE'!M71</f>
        <v>534440.95783191011</v>
      </c>
      <c r="E119" s="653">
        <f>'G-4 COST OF SERVICE'!N71</f>
        <v>0</v>
      </c>
      <c r="F119" s="653">
        <f>'G-4 COST OF SERVICE'!O71</f>
        <v>1197.8541422215828</v>
      </c>
      <c r="G119" s="654">
        <f>IF(SUM('Function Allocators'!$D196:$G196)=0,0,($D119*'Function Allocators'!D196/SUM('Function Allocators'!$D196:$G196)))</f>
        <v>0</v>
      </c>
      <c r="H119" s="654">
        <f>IF(SUM('Function Allocators'!$D196:$G196)=0,0,($D119*'Function Allocators'!E196/SUM('Function Allocators'!$D196:$G196)))</f>
        <v>534440.95783191011</v>
      </c>
      <c r="I119" s="654">
        <f>IF(SUM('Function Allocators'!$D196:$G196)=0,0,($D119*'Function Allocators'!F196/SUM('Function Allocators'!$D196:$G196)))</f>
        <v>0</v>
      </c>
      <c r="J119" s="654">
        <f>IF(SUM('Function Allocators'!$D196:$G196)=0,0,($D119*'Function Allocators'!G196/SUM('Function Allocators'!$D196:$G196)))</f>
        <v>0</v>
      </c>
      <c r="K119" s="654">
        <f>IF(SUM('Function Allocators'!$H196:$I196)=0,0,($E119*'Function Allocators'!H196/SUM('Function Allocators'!$H196:$I196)))</f>
        <v>0</v>
      </c>
      <c r="L119" s="654">
        <f>IF(SUM('Function Allocators'!$H196:$I196)=0,0,($E119*'Function Allocators'!I196/SUM('Function Allocators'!$H196:$I196)))</f>
        <v>0</v>
      </c>
      <c r="M119" s="654">
        <f>IF(SUM('Function Allocators'!$J196:$O196)=0,0,($F119*'Function Allocators'!J196/SUM('Function Allocators'!$J196:$O196)))</f>
        <v>1197.8541422215828</v>
      </c>
      <c r="N119" s="654">
        <f>IF(SUM('Function Allocators'!$J196:$O196)=0,0,($F119*'Function Allocators'!K196/SUM('Function Allocators'!$J196:$O196)))</f>
        <v>0</v>
      </c>
      <c r="O119" s="654">
        <f>IF(SUM('Function Allocators'!$J196:$O196)=0,0,($F119*'Function Allocators'!L196/SUM('Function Allocators'!$J196:$O196)))</f>
        <v>0</v>
      </c>
      <c r="P119" s="654">
        <f>IF(SUM('Function Allocators'!$J196:$O196)=0,0,($F119*'Function Allocators'!M196/SUM('Function Allocators'!$J196:$O196)))</f>
        <v>0</v>
      </c>
      <c r="Q119" s="654">
        <f>IF(SUM('Function Allocators'!$J196:$O196)=0,0,($F119*'Function Allocators'!N196/SUM('Function Allocators'!$J196:$O196)))</f>
        <v>0</v>
      </c>
      <c r="R119" s="654">
        <f>IF(SUM('Function Allocators'!$J196:$O196)=0,0,($F119*'Function Allocators'!O196/SUM('Function Allocators'!$J196:$O196)))</f>
        <v>0</v>
      </c>
      <c r="T119" s="360" t="s">
        <v>442</v>
      </c>
      <c r="U119" s="52">
        <f t="shared" si="21"/>
        <v>0</v>
      </c>
      <c r="V119" s="361">
        <f>'G-4 COST OF SERVICE'!M71-SUM('Functionalization LARGE'!G119:J119)</f>
        <v>0</v>
      </c>
      <c r="W119" s="361">
        <f>'G-4 COST OF SERVICE'!N71-SUM('Functionalization LARGE'!K119:L119)</f>
        <v>0</v>
      </c>
      <c r="X119" s="361">
        <f>'G-4 COST OF SERVICE'!O71-SUM('Functionalization LARGE'!M119:R119)</f>
        <v>0</v>
      </c>
    </row>
    <row r="120" spans="1:24">
      <c r="A120" s="385">
        <v>378</v>
      </c>
      <c r="B120" s="379" t="s">
        <v>198</v>
      </c>
      <c r="C120" s="653">
        <f t="shared" si="20"/>
        <v>27795.536926003319</v>
      </c>
      <c r="D120" s="653">
        <f>'G-4 COST OF SERVICE'!M72</f>
        <v>27795.536926003319</v>
      </c>
      <c r="E120" s="653">
        <f>'G-4 COST OF SERVICE'!N72</f>
        <v>0</v>
      </c>
      <c r="F120" s="653">
        <f>'G-4 COST OF SERVICE'!O72</f>
        <v>0</v>
      </c>
      <c r="G120" s="654">
        <f>IF(SUM('Function Allocators'!$D197:$G197)=0,0,($D120*'Function Allocators'!D197/SUM('Function Allocators'!$D197:$G197)))</f>
        <v>0</v>
      </c>
      <c r="H120" s="654">
        <f>IF(SUM('Function Allocators'!$D197:$G197)=0,0,($D120*'Function Allocators'!E197/SUM('Function Allocators'!$D197:$G197)))</f>
        <v>0</v>
      </c>
      <c r="I120" s="654">
        <f>IF(SUM('Function Allocators'!$D197:$G197)=0,0,($D120*'Function Allocators'!F197/SUM('Function Allocators'!$D197:$G197)))</f>
        <v>27795.536926003319</v>
      </c>
      <c r="J120" s="654">
        <f>IF(SUM('Function Allocators'!$D197:$G197)=0,0,($D120*'Function Allocators'!G197/SUM('Function Allocators'!$D197:$G197)))</f>
        <v>0</v>
      </c>
      <c r="K120" s="654">
        <f>IF(SUM('Function Allocators'!$H197:$I197)=0,0,($E120*'Function Allocators'!H197/SUM('Function Allocators'!$H197:$I197)))</f>
        <v>0</v>
      </c>
      <c r="L120" s="654">
        <f>IF(SUM('Function Allocators'!$H197:$I197)=0,0,($E120*'Function Allocators'!I197/SUM('Function Allocators'!$H197:$I197)))</f>
        <v>0</v>
      </c>
      <c r="M120" s="654">
        <f>IF(SUM('Function Allocators'!$J197:$O197)=0,0,($F120*'Function Allocators'!J197/SUM('Function Allocators'!$J197:$O197)))</f>
        <v>0</v>
      </c>
      <c r="N120" s="654">
        <f>IF(SUM('Function Allocators'!$J197:$O197)=0,0,($F120*'Function Allocators'!K197/SUM('Function Allocators'!$J197:$O197)))</f>
        <v>0</v>
      </c>
      <c r="O120" s="654">
        <f>IF(SUM('Function Allocators'!$J197:$O197)=0,0,($F120*'Function Allocators'!L197/SUM('Function Allocators'!$J197:$O197)))</f>
        <v>0</v>
      </c>
      <c r="P120" s="654">
        <f>IF(SUM('Function Allocators'!$J197:$O197)=0,0,($F120*'Function Allocators'!M197/SUM('Function Allocators'!$J197:$O197)))</f>
        <v>0</v>
      </c>
      <c r="Q120" s="654">
        <f>IF(SUM('Function Allocators'!$J197:$O197)=0,0,($F120*'Function Allocators'!N197/SUM('Function Allocators'!$J197:$O197)))</f>
        <v>0</v>
      </c>
      <c r="R120" s="654">
        <f>IF(SUM('Function Allocators'!$J197:$O197)=0,0,($F120*'Function Allocators'!O197/SUM('Function Allocators'!$J197:$O197)))</f>
        <v>0</v>
      </c>
      <c r="T120" s="360" t="s">
        <v>448</v>
      </c>
      <c r="U120" s="52">
        <f t="shared" si="21"/>
        <v>0</v>
      </c>
      <c r="V120" s="361">
        <f>'G-4 COST OF SERVICE'!M72-SUM('Functionalization LARGE'!G120:J120)</f>
        <v>0</v>
      </c>
      <c r="W120" s="361">
        <f>'G-4 COST OF SERVICE'!N72-SUM('Functionalization LARGE'!K120:L120)</f>
        <v>0</v>
      </c>
      <c r="X120" s="361">
        <f>'G-4 COST OF SERVICE'!O72-SUM('Functionalization LARGE'!M120:R120)</f>
        <v>0</v>
      </c>
    </row>
    <row r="121" spans="1:24">
      <c r="A121" s="385">
        <v>379</v>
      </c>
      <c r="B121" s="379" t="s">
        <v>199</v>
      </c>
      <c r="C121" s="653">
        <f t="shared" si="20"/>
        <v>20359.316128196304</v>
      </c>
      <c r="D121" s="653">
        <f>'G-4 COST OF SERVICE'!M73</f>
        <v>20359.316128196304</v>
      </c>
      <c r="E121" s="653">
        <f>'G-4 COST OF SERVICE'!N73</f>
        <v>0</v>
      </c>
      <c r="F121" s="653">
        <f>'G-4 COST OF SERVICE'!O73</f>
        <v>0</v>
      </c>
      <c r="G121" s="654">
        <f>IF(SUM('Function Allocators'!$D198:$G198)=0,0,($D121*'Function Allocators'!D198/SUM('Function Allocators'!$D198:$G198)))</f>
        <v>0</v>
      </c>
      <c r="H121" s="654">
        <f>IF(SUM('Function Allocators'!$D198:$G198)=0,0,($D121*'Function Allocators'!E198/SUM('Function Allocators'!$D198:$G198)))</f>
        <v>0</v>
      </c>
      <c r="I121" s="654">
        <f>IF(SUM('Function Allocators'!$D198:$G198)=0,0,($D121*'Function Allocators'!F198/SUM('Function Allocators'!$D198:$G198)))</f>
        <v>20359.316128196304</v>
      </c>
      <c r="J121" s="654">
        <f>IF(SUM('Function Allocators'!$D198:$G198)=0,0,($D121*'Function Allocators'!G198/SUM('Function Allocators'!$D198:$G198)))</f>
        <v>0</v>
      </c>
      <c r="K121" s="654">
        <f>IF(SUM('Function Allocators'!$H198:$I198)=0,0,($E121*'Function Allocators'!H198/SUM('Function Allocators'!$H198:$I198)))</f>
        <v>0</v>
      </c>
      <c r="L121" s="654">
        <f>IF(SUM('Function Allocators'!$H198:$I198)=0,0,($E121*'Function Allocators'!I198/SUM('Function Allocators'!$H198:$I198)))</f>
        <v>0</v>
      </c>
      <c r="M121" s="654">
        <f>IF(SUM('Function Allocators'!$J198:$O198)=0,0,($F121*'Function Allocators'!J198/SUM('Function Allocators'!$J198:$O198)))</f>
        <v>0</v>
      </c>
      <c r="N121" s="654">
        <f>IF(SUM('Function Allocators'!$J198:$O198)=0,0,($F121*'Function Allocators'!K198/SUM('Function Allocators'!$J198:$O198)))</f>
        <v>0</v>
      </c>
      <c r="O121" s="654">
        <f>IF(SUM('Function Allocators'!$J198:$O198)=0,0,($F121*'Function Allocators'!L198/SUM('Function Allocators'!$J198:$O198)))</f>
        <v>0</v>
      </c>
      <c r="P121" s="654">
        <f>IF(SUM('Function Allocators'!$J198:$O198)=0,0,($F121*'Function Allocators'!M198/SUM('Function Allocators'!$J198:$O198)))</f>
        <v>0</v>
      </c>
      <c r="Q121" s="654">
        <f>IF(SUM('Function Allocators'!$J198:$O198)=0,0,($F121*'Function Allocators'!N198/SUM('Function Allocators'!$J198:$O198)))</f>
        <v>0</v>
      </c>
      <c r="R121" s="654">
        <f>IF(SUM('Function Allocators'!$J198:$O198)=0,0,($F121*'Function Allocators'!O198/SUM('Function Allocators'!$J198:$O198)))</f>
        <v>0</v>
      </c>
      <c r="T121" s="360" t="s">
        <v>448</v>
      </c>
      <c r="U121" s="52">
        <f t="shared" si="21"/>
        <v>0</v>
      </c>
      <c r="V121" s="361">
        <f>'G-4 COST OF SERVICE'!M73-SUM('Functionalization LARGE'!G121:J121)</f>
        <v>0</v>
      </c>
      <c r="W121" s="361">
        <f>'G-4 COST OF SERVICE'!N73-SUM('Functionalization LARGE'!K121:L121)</f>
        <v>0</v>
      </c>
      <c r="X121" s="361">
        <f>'G-4 COST OF SERVICE'!O73-SUM('Functionalization LARGE'!M121:R121)</f>
        <v>0</v>
      </c>
    </row>
    <row r="122" spans="1:24">
      <c r="A122" s="385">
        <v>380</v>
      </c>
      <c r="B122" s="379" t="s">
        <v>86</v>
      </c>
      <c r="C122" s="653">
        <f t="shared" si="20"/>
        <v>3667.1715414241785</v>
      </c>
      <c r="D122" s="653">
        <f>'G-4 COST OF SERVICE'!M74</f>
        <v>0</v>
      </c>
      <c r="E122" s="653">
        <f>'G-4 COST OF SERVICE'!N74</f>
        <v>0</v>
      </c>
      <c r="F122" s="653">
        <f>'G-4 COST OF SERVICE'!O74</f>
        <v>3667.1715414241785</v>
      </c>
      <c r="G122" s="654">
        <f>IF(SUM('Function Allocators'!$D199:$G199)=0,0,($D122*'Function Allocators'!D199/SUM('Function Allocators'!$D199:$G199)))</f>
        <v>0</v>
      </c>
      <c r="H122" s="654">
        <f>IF(SUM('Function Allocators'!$D199:$G199)=0,0,($D122*'Function Allocators'!E199/SUM('Function Allocators'!$D199:$G199)))</f>
        <v>0</v>
      </c>
      <c r="I122" s="654">
        <f>IF(SUM('Function Allocators'!$D199:$G199)=0,0,($D122*'Function Allocators'!F199/SUM('Function Allocators'!$D199:$G199)))</f>
        <v>0</v>
      </c>
      <c r="J122" s="654">
        <f>IF(SUM('Function Allocators'!$D199:$G199)=0,0,($D122*'Function Allocators'!G199/SUM('Function Allocators'!$D199:$G199)))</f>
        <v>0</v>
      </c>
      <c r="K122" s="654">
        <f>IF(SUM('Function Allocators'!$H199:$I199)=0,0,($E122*'Function Allocators'!H199/SUM('Function Allocators'!$H199:$I199)))</f>
        <v>0</v>
      </c>
      <c r="L122" s="654">
        <f>IF(SUM('Function Allocators'!$H199:$I199)=0,0,($E122*'Function Allocators'!I199/SUM('Function Allocators'!$H199:$I199)))</f>
        <v>0</v>
      </c>
      <c r="M122" s="654">
        <f>IF(SUM('Function Allocators'!$J199:$O199)=0,0,($F122*'Function Allocators'!J199/SUM('Function Allocators'!$J199:$O199)))</f>
        <v>3667.1715414241785</v>
      </c>
      <c r="N122" s="654">
        <f>IF(SUM('Function Allocators'!$J199:$O199)=0,0,($F122*'Function Allocators'!K199/SUM('Function Allocators'!$J199:$O199)))</f>
        <v>0</v>
      </c>
      <c r="O122" s="654">
        <f>IF(SUM('Function Allocators'!$J199:$O199)=0,0,($F122*'Function Allocators'!L199/SUM('Function Allocators'!$J199:$O199)))</f>
        <v>0</v>
      </c>
      <c r="P122" s="654">
        <f>IF(SUM('Function Allocators'!$J199:$O199)=0,0,($F122*'Function Allocators'!M199/SUM('Function Allocators'!$J199:$O199)))</f>
        <v>0</v>
      </c>
      <c r="Q122" s="654">
        <f>IF(SUM('Function Allocators'!$J199:$O199)=0,0,($F122*'Function Allocators'!N199/SUM('Function Allocators'!$J199:$O199)))</f>
        <v>0</v>
      </c>
      <c r="R122" s="654">
        <f>IF(SUM('Function Allocators'!$J199:$O199)=0,0,($F122*'Function Allocators'!O199/SUM('Function Allocators'!$J199:$O199)))</f>
        <v>0</v>
      </c>
      <c r="T122" s="360" t="s">
        <v>449</v>
      </c>
      <c r="U122" s="52">
        <f t="shared" si="21"/>
        <v>0</v>
      </c>
      <c r="V122" s="361">
        <f>'G-4 COST OF SERVICE'!M74-SUM('Functionalization LARGE'!G122:J122)</f>
        <v>0</v>
      </c>
      <c r="W122" s="361">
        <f>'G-4 COST OF SERVICE'!N74-SUM('Functionalization LARGE'!K122:L122)</f>
        <v>0</v>
      </c>
      <c r="X122" s="361">
        <f>'G-4 COST OF SERVICE'!O74-SUM('Functionalization LARGE'!M122:R122)</f>
        <v>0</v>
      </c>
    </row>
    <row r="123" spans="1:24">
      <c r="A123" s="385">
        <v>381</v>
      </c>
      <c r="B123" s="379" t="s">
        <v>88</v>
      </c>
      <c r="C123" s="653">
        <f t="shared" si="20"/>
        <v>10940.607072822255</v>
      </c>
      <c r="D123" s="653">
        <f>'G-4 COST OF SERVICE'!M75</f>
        <v>0</v>
      </c>
      <c r="E123" s="653">
        <f>'G-4 COST OF SERVICE'!N75</f>
        <v>0</v>
      </c>
      <c r="F123" s="653">
        <f>'G-4 COST OF SERVICE'!O75</f>
        <v>10940.607072822255</v>
      </c>
      <c r="G123" s="654">
        <f>IF(SUM('Function Allocators'!$D200:$G200)=0,0,($D123*'Function Allocators'!D200/SUM('Function Allocators'!$D200:$G200)))</f>
        <v>0</v>
      </c>
      <c r="H123" s="654">
        <f>IF(SUM('Function Allocators'!$D200:$G200)=0,0,($D123*'Function Allocators'!E200/SUM('Function Allocators'!$D200:$G200)))</f>
        <v>0</v>
      </c>
      <c r="I123" s="654">
        <f>IF(SUM('Function Allocators'!$D200:$G200)=0,0,($D123*'Function Allocators'!F200/SUM('Function Allocators'!$D200:$G200)))</f>
        <v>0</v>
      </c>
      <c r="J123" s="654">
        <f>IF(SUM('Function Allocators'!$D200:$G200)=0,0,($D123*'Function Allocators'!G200/SUM('Function Allocators'!$D200:$G200)))</f>
        <v>0</v>
      </c>
      <c r="K123" s="654">
        <f>IF(SUM('Function Allocators'!$H200:$I200)=0,0,($E123*'Function Allocators'!H200/SUM('Function Allocators'!$H200:$I200)))</f>
        <v>0</v>
      </c>
      <c r="L123" s="654">
        <f>IF(SUM('Function Allocators'!$H200:$I200)=0,0,($E123*'Function Allocators'!I200/SUM('Function Allocators'!$H200:$I200)))</f>
        <v>0</v>
      </c>
      <c r="M123" s="654">
        <f>IF(SUM('Function Allocators'!$J200:$O200)=0,0,($F123*'Function Allocators'!J200/SUM('Function Allocators'!$J200:$O200)))</f>
        <v>0</v>
      </c>
      <c r="N123" s="654">
        <f>IF(SUM('Function Allocators'!$J200:$O200)=0,0,($F123*'Function Allocators'!K200/SUM('Function Allocators'!$J200:$O200)))</f>
        <v>10940.607072822255</v>
      </c>
      <c r="O123" s="654">
        <f>IF(SUM('Function Allocators'!$J200:$O200)=0,0,($F123*'Function Allocators'!L200/SUM('Function Allocators'!$J200:$O200)))</f>
        <v>0</v>
      </c>
      <c r="P123" s="654">
        <f>IF(SUM('Function Allocators'!$J200:$O200)=0,0,($F123*'Function Allocators'!M200/SUM('Function Allocators'!$J200:$O200)))</f>
        <v>0</v>
      </c>
      <c r="Q123" s="654">
        <f>IF(SUM('Function Allocators'!$J200:$O200)=0,0,($F123*'Function Allocators'!N200/SUM('Function Allocators'!$J200:$O200)))</f>
        <v>0</v>
      </c>
      <c r="R123" s="654">
        <f>IF(SUM('Function Allocators'!$J200:$O200)=0,0,($F123*'Function Allocators'!O200/SUM('Function Allocators'!$J200:$O200)))</f>
        <v>0</v>
      </c>
      <c r="T123" s="360" t="s">
        <v>450</v>
      </c>
      <c r="U123" s="52">
        <f t="shared" si="21"/>
        <v>0</v>
      </c>
      <c r="V123" s="361">
        <f>'G-4 COST OF SERVICE'!M75-SUM('Functionalization LARGE'!G123:J123)</f>
        <v>0</v>
      </c>
      <c r="W123" s="361">
        <f>'G-4 COST OF SERVICE'!N75-SUM('Functionalization LARGE'!K123:L123)</f>
        <v>0</v>
      </c>
      <c r="X123" s="361">
        <f>'G-4 COST OF SERVICE'!O75-SUM('Functionalization LARGE'!M123:R123)</f>
        <v>0</v>
      </c>
    </row>
    <row r="124" spans="1:24">
      <c r="A124" s="385">
        <v>382</v>
      </c>
      <c r="B124" s="379" t="s">
        <v>90</v>
      </c>
      <c r="C124" s="653">
        <f t="shared" si="20"/>
        <v>250.34712827896192</v>
      </c>
      <c r="D124" s="653">
        <f>'G-4 COST OF SERVICE'!M76</f>
        <v>0</v>
      </c>
      <c r="E124" s="653">
        <f>'G-4 COST OF SERVICE'!N76</f>
        <v>0</v>
      </c>
      <c r="F124" s="653">
        <f>'G-4 COST OF SERVICE'!O76</f>
        <v>250.34712827896192</v>
      </c>
      <c r="G124" s="654">
        <f>IF(SUM('Function Allocators'!$D201:$G201)=0,0,($D124*'Function Allocators'!D201/SUM('Function Allocators'!$D201:$G201)))</f>
        <v>0</v>
      </c>
      <c r="H124" s="654">
        <f>IF(SUM('Function Allocators'!$D201:$G201)=0,0,($D124*'Function Allocators'!E201/SUM('Function Allocators'!$D201:$G201)))</f>
        <v>0</v>
      </c>
      <c r="I124" s="654">
        <f>IF(SUM('Function Allocators'!$D201:$G201)=0,0,($D124*'Function Allocators'!F201/SUM('Function Allocators'!$D201:$G201)))</f>
        <v>0</v>
      </c>
      <c r="J124" s="654">
        <f>IF(SUM('Function Allocators'!$D201:$G201)=0,0,($D124*'Function Allocators'!G201/SUM('Function Allocators'!$D201:$G201)))</f>
        <v>0</v>
      </c>
      <c r="K124" s="654">
        <f>IF(SUM('Function Allocators'!$H201:$I201)=0,0,($E124*'Function Allocators'!H201/SUM('Function Allocators'!$H201:$I201)))</f>
        <v>0</v>
      </c>
      <c r="L124" s="654">
        <f>IF(SUM('Function Allocators'!$H201:$I201)=0,0,($E124*'Function Allocators'!I201/SUM('Function Allocators'!$H201:$I201)))</f>
        <v>0</v>
      </c>
      <c r="M124" s="654">
        <f>IF(SUM('Function Allocators'!$J201:$O201)=0,0,($F124*'Function Allocators'!J201/SUM('Function Allocators'!$J201:$O201)))</f>
        <v>0</v>
      </c>
      <c r="N124" s="654">
        <f>IF(SUM('Function Allocators'!$J201:$O201)=0,0,($F124*'Function Allocators'!K201/SUM('Function Allocators'!$J201:$O201)))</f>
        <v>250.34712827896192</v>
      </c>
      <c r="O124" s="654">
        <f>IF(SUM('Function Allocators'!$J201:$O201)=0,0,($F124*'Function Allocators'!L201/SUM('Function Allocators'!$J201:$O201)))</f>
        <v>0</v>
      </c>
      <c r="P124" s="654">
        <f>IF(SUM('Function Allocators'!$J201:$O201)=0,0,($F124*'Function Allocators'!M201/SUM('Function Allocators'!$J201:$O201)))</f>
        <v>0</v>
      </c>
      <c r="Q124" s="654">
        <f>IF(SUM('Function Allocators'!$J201:$O201)=0,0,($F124*'Function Allocators'!N201/SUM('Function Allocators'!$J201:$O201)))</f>
        <v>0</v>
      </c>
      <c r="R124" s="654">
        <f>IF(SUM('Function Allocators'!$J201:$O201)=0,0,($F124*'Function Allocators'!O201/SUM('Function Allocators'!$J201:$O201)))</f>
        <v>0</v>
      </c>
      <c r="T124" s="360" t="s">
        <v>450</v>
      </c>
      <c r="U124" s="52">
        <f t="shared" si="21"/>
        <v>0</v>
      </c>
      <c r="V124" s="361">
        <f>'G-4 COST OF SERVICE'!M76-SUM('Functionalization LARGE'!G124:J124)</f>
        <v>0</v>
      </c>
      <c r="W124" s="361">
        <f>'G-4 COST OF SERVICE'!N76-SUM('Functionalization LARGE'!K124:L124)</f>
        <v>0</v>
      </c>
      <c r="X124" s="361">
        <f>'G-4 COST OF SERVICE'!O76-SUM('Functionalization LARGE'!M124:R124)</f>
        <v>0</v>
      </c>
    </row>
    <row r="125" spans="1:24">
      <c r="A125" s="385">
        <v>383</v>
      </c>
      <c r="B125" s="379" t="s">
        <v>92</v>
      </c>
      <c r="C125" s="653">
        <f t="shared" si="20"/>
        <v>739.8450228930526</v>
      </c>
      <c r="D125" s="653">
        <f>'G-4 COST OF SERVICE'!M77</f>
        <v>0</v>
      </c>
      <c r="E125" s="653">
        <f>'G-4 COST OF SERVICE'!N77</f>
        <v>0</v>
      </c>
      <c r="F125" s="653">
        <f>'G-4 COST OF SERVICE'!O77</f>
        <v>739.8450228930526</v>
      </c>
      <c r="G125" s="654">
        <f>IF(SUM('Function Allocators'!$D202:$G202)=0,0,($D125*'Function Allocators'!D202/SUM('Function Allocators'!$D202:$G202)))</f>
        <v>0</v>
      </c>
      <c r="H125" s="654">
        <f>IF(SUM('Function Allocators'!$D202:$G202)=0,0,($D125*'Function Allocators'!E202/SUM('Function Allocators'!$D202:$G202)))</f>
        <v>0</v>
      </c>
      <c r="I125" s="654">
        <f>IF(SUM('Function Allocators'!$D202:$G202)=0,0,($D125*'Function Allocators'!F202/SUM('Function Allocators'!$D202:$G202)))</f>
        <v>0</v>
      </c>
      <c r="J125" s="654">
        <f>IF(SUM('Function Allocators'!$D202:$G202)=0,0,($D125*'Function Allocators'!G202/SUM('Function Allocators'!$D202:$G202)))</f>
        <v>0</v>
      </c>
      <c r="K125" s="654">
        <f>IF(SUM('Function Allocators'!$H202:$I202)=0,0,($E125*'Function Allocators'!H202/SUM('Function Allocators'!$H202:$I202)))</f>
        <v>0</v>
      </c>
      <c r="L125" s="654">
        <f>IF(SUM('Function Allocators'!$H202:$I202)=0,0,($E125*'Function Allocators'!I202/SUM('Function Allocators'!$H202:$I202)))</f>
        <v>0</v>
      </c>
      <c r="M125" s="654">
        <f>IF(SUM('Function Allocators'!$J202:$O202)=0,0,($F125*'Function Allocators'!J202/SUM('Function Allocators'!$J202:$O202)))</f>
        <v>0</v>
      </c>
      <c r="N125" s="654">
        <f>IF(SUM('Function Allocators'!$J202:$O202)=0,0,($F125*'Function Allocators'!K202/SUM('Function Allocators'!$J202:$O202)))</f>
        <v>0</v>
      </c>
      <c r="O125" s="654">
        <f>IF(SUM('Function Allocators'!$J202:$O202)=0,0,($F125*'Function Allocators'!L202/SUM('Function Allocators'!$J202:$O202)))</f>
        <v>739.8450228930526</v>
      </c>
      <c r="P125" s="654">
        <f>IF(SUM('Function Allocators'!$J202:$O202)=0,0,($F125*'Function Allocators'!M202/SUM('Function Allocators'!$J202:$O202)))</f>
        <v>0</v>
      </c>
      <c r="Q125" s="654">
        <f>IF(SUM('Function Allocators'!$J202:$O202)=0,0,($F125*'Function Allocators'!N202/SUM('Function Allocators'!$J202:$O202)))</f>
        <v>0</v>
      </c>
      <c r="R125" s="654">
        <f>IF(SUM('Function Allocators'!$J202:$O202)=0,0,($F125*'Function Allocators'!O202/SUM('Function Allocators'!$J202:$O202)))</f>
        <v>0</v>
      </c>
      <c r="T125" s="360" t="s">
        <v>451</v>
      </c>
      <c r="U125" s="52">
        <f t="shared" si="21"/>
        <v>0</v>
      </c>
      <c r="V125" s="361">
        <f>'G-4 COST OF SERVICE'!M77-SUM('Functionalization LARGE'!G125:J125)</f>
        <v>0</v>
      </c>
      <c r="W125" s="361">
        <f>'G-4 COST OF SERVICE'!N77-SUM('Functionalization LARGE'!K125:L125)</f>
        <v>0</v>
      </c>
      <c r="X125" s="361">
        <f>'G-4 COST OF SERVICE'!O77-SUM('Functionalization LARGE'!M125:R125)</f>
        <v>0</v>
      </c>
    </row>
    <row r="126" spans="1:24">
      <c r="A126" s="385">
        <v>384</v>
      </c>
      <c r="B126" s="379" t="s">
        <v>94</v>
      </c>
      <c r="C126" s="653">
        <f t="shared" si="20"/>
        <v>52.066268578059429</v>
      </c>
      <c r="D126" s="653">
        <f>'G-4 COST OF SERVICE'!M78</f>
        <v>0</v>
      </c>
      <c r="E126" s="653">
        <f>'G-4 COST OF SERVICE'!N78</f>
        <v>0</v>
      </c>
      <c r="F126" s="653">
        <f>'G-4 COST OF SERVICE'!O78</f>
        <v>52.066268578059429</v>
      </c>
      <c r="G126" s="654">
        <f>IF(SUM('Function Allocators'!$D203:$G203)=0,0,($D126*'Function Allocators'!D203/SUM('Function Allocators'!$D203:$G203)))</f>
        <v>0</v>
      </c>
      <c r="H126" s="654">
        <f>IF(SUM('Function Allocators'!$D203:$G203)=0,0,($D126*'Function Allocators'!E203/SUM('Function Allocators'!$D203:$G203)))</f>
        <v>0</v>
      </c>
      <c r="I126" s="654">
        <f>IF(SUM('Function Allocators'!$D203:$G203)=0,0,($D126*'Function Allocators'!F203/SUM('Function Allocators'!$D203:$G203)))</f>
        <v>0</v>
      </c>
      <c r="J126" s="654">
        <f>IF(SUM('Function Allocators'!$D203:$G203)=0,0,($D126*'Function Allocators'!G203/SUM('Function Allocators'!$D203:$G203)))</f>
        <v>0</v>
      </c>
      <c r="K126" s="654">
        <f>IF(SUM('Function Allocators'!$H203:$I203)=0,0,($E126*'Function Allocators'!H203/SUM('Function Allocators'!$H203:$I203)))</f>
        <v>0</v>
      </c>
      <c r="L126" s="654">
        <f>IF(SUM('Function Allocators'!$H203:$I203)=0,0,($E126*'Function Allocators'!I203/SUM('Function Allocators'!$H203:$I203)))</f>
        <v>0</v>
      </c>
      <c r="M126" s="654">
        <f>IF(SUM('Function Allocators'!$J203:$O203)=0,0,($F126*'Function Allocators'!J203/SUM('Function Allocators'!$J203:$O203)))</f>
        <v>0</v>
      </c>
      <c r="N126" s="654">
        <f>IF(SUM('Function Allocators'!$J203:$O203)=0,0,($F126*'Function Allocators'!K203/SUM('Function Allocators'!$J203:$O203)))</f>
        <v>0</v>
      </c>
      <c r="O126" s="654">
        <f>IF(SUM('Function Allocators'!$J203:$O203)=0,0,($F126*'Function Allocators'!L203/SUM('Function Allocators'!$J203:$O203)))</f>
        <v>52.066268578059429</v>
      </c>
      <c r="P126" s="654">
        <f>IF(SUM('Function Allocators'!$J203:$O203)=0,0,($F126*'Function Allocators'!M203/SUM('Function Allocators'!$J203:$O203)))</f>
        <v>0</v>
      </c>
      <c r="Q126" s="654">
        <f>IF(SUM('Function Allocators'!$J203:$O203)=0,0,($F126*'Function Allocators'!N203/SUM('Function Allocators'!$J203:$O203)))</f>
        <v>0</v>
      </c>
      <c r="R126" s="654">
        <f>IF(SUM('Function Allocators'!$J203:$O203)=0,0,($F126*'Function Allocators'!O203/SUM('Function Allocators'!$J203:$O203)))</f>
        <v>0</v>
      </c>
      <c r="T126" s="360" t="s">
        <v>451</v>
      </c>
      <c r="U126" s="52">
        <f t="shared" si="21"/>
        <v>0</v>
      </c>
      <c r="V126" s="361">
        <f>'G-4 COST OF SERVICE'!M78-SUM('Functionalization LARGE'!G126:J126)</f>
        <v>0</v>
      </c>
      <c r="W126" s="361">
        <f>'G-4 COST OF SERVICE'!N78-SUM('Functionalization LARGE'!K126:L126)</f>
        <v>0</v>
      </c>
      <c r="X126" s="361">
        <f>'G-4 COST OF SERVICE'!O78-SUM('Functionalization LARGE'!M126:R126)</f>
        <v>0</v>
      </c>
    </row>
    <row r="127" spans="1:24">
      <c r="A127" s="385">
        <v>385</v>
      </c>
      <c r="B127" s="379" t="s">
        <v>200</v>
      </c>
      <c r="C127" s="653">
        <f t="shared" si="20"/>
        <v>56889.460166000004</v>
      </c>
      <c r="D127" s="653">
        <f>'G-4 COST OF SERVICE'!M79</f>
        <v>0</v>
      </c>
      <c r="E127" s="653">
        <f>'G-4 COST OF SERVICE'!N79</f>
        <v>0</v>
      </c>
      <c r="F127" s="653">
        <f>'G-4 COST OF SERVICE'!O79</f>
        <v>56889.460166000004</v>
      </c>
      <c r="G127" s="654">
        <f>IF(SUM('Function Allocators'!$D204:$G204)=0,0,($D127*'Function Allocators'!D204/SUM('Function Allocators'!$D204:$G204)))</f>
        <v>0</v>
      </c>
      <c r="H127" s="654">
        <f>IF(SUM('Function Allocators'!$D204:$G204)=0,0,($D127*'Function Allocators'!E204/SUM('Function Allocators'!$D204:$G204)))</f>
        <v>0</v>
      </c>
      <c r="I127" s="654">
        <f>IF(SUM('Function Allocators'!$D204:$G204)=0,0,($D127*'Function Allocators'!F204/SUM('Function Allocators'!$D204:$G204)))</f>
        <v>0</v>
      </c>
      <c r="J127" s="654">
        <f>IF(SUM('Function Allocators'!$D204:$G204)=0,0,($D127*'Function Allocators'!G204/SUM('Function Allocators'!$D204:$G204)))</f>
        <v>0</v>
      </c>
      <c r="K127" s="654">
        <f>IF(SUM('Function Allocators'!$H204:$I204)=0,0,($E127*'Function Allocators'!H204/SUM('Function Allocators'!$H204:$I204)))</f>
        <v>0</v>
      </c>
      <c r="L127" s="654">
        <f>IF(SUM('Function Allocators'!$H204:$I204)=0,0,($E127*'Function Allocators'!I204/SUM('Function Allocators'!$H204:$I204)))</f>
        <v>0</v>
      </c>
      <c r="M127" s="654">
        <f>IF(SUM('Function Allocators'!$J204:$O204)=0,0,($F127*'Function Allocators'!J204/SUM('Function Allocators'!$J204:$O204)))</f>
        <v>0</v>
      </c>
      <c r="N127" s="654">
        <f>IF(SUM('Function Allocators'!$J204:$O204)=0,0,($F127*'Function Allocators'!K204/SUM('Function Allocators'!$J204:$O204)))</f>
        <v>0</v>
      </c>
      <c r="O127" s="654">
        <f>IF(SUM('Function Allocators'!$J204:$O204)=0,0,($F127*'Function Allocators'!L204/SUM('Function Allocators'!$J204:$O204)))</f>
        <v>56889.460166000004</v>
      </c>
      <c r="P127" s="654">
        <f>IF(SUM('Function Allocators'!$J204:$O204)=0,0,($F127*'Function Allocators'!M204/SUM('Function Allocators'!$J204:$O204)))</f>
        <v>0</v>
      </c>
      <c r="Q127" s="654">
        <f>IF(SUM('Function Allocators'!$J204:$O204)=0,0,($F127*'Function Allocators'!N204/SUM('Function Allocators'!$J204:$O204)))</f>
        <v>0</v>
      </c>
      <c r="R127" s="654">
        <f>IF(SUM('Function Allocators'!$J204:$O204)=0,0,($F127*'Function Allocators'!O204/SUM('Function Allocators'!$J204:$O204)))</f>
        <v>0</v>
      </c>
      <c r="T127" s="360" t="s">
        <v>451</v>
      </c>
      <c r="U127" s="52">
        <f t="shared" si="21"/>
        <v>0</v>
      </c>
      <c r="V127" s="361">
        <f>'G-4 COST OF SERVICE'!M79-SUM('Functionalization LARGE'!G127:J127)</f>
        <v>0</v>
      </c>
      <c r="W127" s="361">
        <f>'G-4 COST OF SERVICE'!N79-SUM('Functionalization LARGE'!K127:L127)</f>
        <v>0</v>
      </c>
      <c r="X127" s="361">
        <f>'G-4 COST OF SERVICE'!O79-SUM('Functionalization LARGE'!M127:R127)</f>
        <v>0</v>
      </c>
    </row>
    <row r="128" spans="1:24">
      <c r="A128" s="385">
        <v>387</v>
      </c>
      <c r="B128" s="379" t="s">
        <v>98</v>
      </c>
      <c r="C128" s="653">
        <f t="shared" si="20"/>
        <v>8554.1462981535151</v>
      </c>
      <c r="D128" s="653">
        <f>'G-4 COST OF SERVICE'!M80</f>
        <v>8554.1462981535151</v>
      </c>
      <c r="E128" s="653">
        <f>'G-4 COST OF SERVICE'!N80</f>
        <v>0</v>
      </c>
      <c r="F128" s="653">
        <f>'G-4 COST OF SERVICE'!O80</f>
        <v>0</v>
      </c>
      <c r="G128" s="654">
        <f>IF(SUM('Function Allocators'!$D205:$G205)=0,0,($D128*'Function Allocators'!D205/SUM('Function Allocators'!$D205:$G205)))</f>
        <v>0</v>
      </c>
      <c r="H128" s="654">
        <f>IF(SUM('Function Allocators'!$D205:$G205)=0,0,($D128*'Function Allocators'!E205/SUM('Function Allocators'!$D205:$G205)))</f>
        <v>0</v>
      </c>
      <c r="I128" s="654">
        <f>IF(SUM('Function Allocators'!$D205:$G205)=0,0,($D128*'Function Allocators'!F205/SUM('Function Allocators'!$D205:$G205)))</f>
        <v>0</v>
      </c>
      <c r="J128" s="654">
        <f>IF(SUM('Function Allocators'!$D205:$G205)=0,0,($D128*'Function Allocators'!G205/SUM('Function Allocators'!$D205:$G205)))</f>
        <v>8554.1462981535151</v>
      </c>
      <c r="K128" s="654">
        <f>IF(SUM('Function Allocators'!$H205:$I205)=0,0,($E128*'Function Allocators'!H205/SUM('Function Allocators'!$H205:$I205)))</f>
        <v>0</v>
      </c>
      <c r="L128" s="654">
        <f>IF(SUM('Function Allocators'!$H205:$I205)=0,0,($E128*'Function Allocators'!I205/SUM('Function Allocators'!$H205:$I205)))</f>
        <v>0</v>
      </c>
      <c r="M128" s="654">
        <f>IF(SUM('Function Allocators'!$J205:$O205)=0,0,($F128*'Function Allocators'!J205/SUM('Function Allocators'!$J205:$O205)))</f>
        <v>0</v>
      </c>
      <c r="N128" s="654">
        <f>IF(SUM('Function Allocators'!$J205:$O205)=0,0,($F128*'Function Allocators'!K205/SUM('Function Allocators'!$J205:$O205)))</f>
        <v>0</v>
      </c>
      <c r="O128" s="654">
        <f>IF(SUM('Function Allocators'!$J205:$O205)=0,0,($F128*'Function Allocators'!L205/SUM('Function Allocators'!$J205:$O205)))</f>
        <v>0</v>
      </c>
      <c r="P128" s="654">
        <f>IF(SUM('Function Allocators'!$J205:$O205)=0,0,($F128*'Function Allocators'!M205/SUM('Function Allocators'!$J205:$O205)))</f>
        <v>0</v>
      </c>
      <c r="Q128" s="654">
        <f>IF(SUM('Function Allocators'!$J205:$O205)=0,0,($F128*'Function Allocators'!N205/SUM('Function Allocators'!$J205:$O205)))</f>
        <v>0</v>
      </c>
      <c r="R128" s="654">
        <f>IF(SUM('Function Allocators'!$J205:$O205)=0,0,($F128*'Function Allocators'!O205/SUM('Function Allocators'!$J205:$O205)))</f>
        <v>0</v>
      </c>
      <c r="T128" s="360" t="s">
        <v>428</v>
      </c>
      <c r="U128" s="52">
        <f t="shared" si="21"/>
        <v>0</v>
      </c>
      <c r="V128" s="361">
        <f>'G-4 COST OF SERVICE'!M80-SUM('Functionalization LARGE'!G128:J128)</f>
        <v>0</v>
      </c>
      <c r="W128" s="361">
        <f>'G-4 COST OF SERVICE'!N80-SUM('Functionalization LARGE'!K128:L128)</f>
        <v>0</v>
      </c>
      <c r="X128" s="361">
        <f>'G-4 COST OF SERVICE'!O80-SUM('Functionalization LARGE'!M128:R128)</f>
        <v>0</v>
      </c>
    </row>
    <row r="129" spans="1:24">
      <c r="A129" s="385"/>
      <c r="B129" s="377" t="s">
        <v>201</v>
      </c>
      <c r="C129" s="655">
        <f t="shared" ref="C129:R129" si="22">SUM(C117:C128)</f>
        <v>667202.34298733552</v>
      </c>
      <c r="D129" s="655">
        <f t="shared" si="22"/>
        <v>593464.99164511729</v>
      </c>
      <c r="E129" s="655">
        <f t="shared" si="22"/>
        <v>0</v>
      </c>
      <c r="F129" s="655">
        <f t="shared" si="22"/>
        <v>73737.351342218099</v>
      </c>
      <c r="G129" s="656">
        <f t="shared" si="22"/>
        <v>0</v>
      </c>
      <c r="H129" s="655">
        <f t="shared" si="22"/>
        <v>534440.95783191011</v>
      </c>
      <c r="I129" s="655">
        <f t="shared" si="22"/>
        <v>48154.853054199622</v>
      </c>
      <c r="J129" s="655">
        <f t="shared" si="22"/>
        <v>10869.18075900759</v>
      </c>
      <c r="K129" s="655">
        <f t="shared" si="22"/>
        <v>0</v>
      </c>
      <c r="L129" s="655">
        <f t="shared" si="22"/>
        <v>0</v>
      </c>
      <c r="M129" s="655">
        <f t="shared" si="22"/>
        <v>4865.0256836457611</v>
      </c>
      <c r="N129" s="655">
        <f t="shared" si="22"/>
        <v>11190.954201101216</v>
      </c>
      <c r="O129" s="655">
        <f t="shared" si="22"/>
        <v>57681.371457471119</v>
      </c>
      <c r="P129" s="655">
        <f t="shared" si="22"/>
        <v>0</v>
      </c>
      <c r="Q129" s="655">
        <f t="shared" si="22"/>
        <v>0</v>
      </c>
      <c r="R129" s="655">
        <f t="shared" si="22"/>
        <v>0</v>
      </c>
      <c r="U129" s="52">
        <f t="shared" si="21"/>
        <v>0</v>
      </c>
      <c r="V129" s="361">
        <f>'G-4 COST OF SERVICE'!M81-SUM('Functionalization LARGE'!G129:J129)</f>
        <v>0</v>
      </c>
      <c r="W129" s="361">
        <f>'G-4 COST OF SERVICE'!N81-SUM('Functionalization LARGE'!K129:L129)</f>
        <v>0</v>
      </c>
      <c r="X129" s="361">
        <f>'G-4 COST OF SERVICE'!O81-SUM('Functionalization LARGE'!M129:R129)</f>
        <v>0</v>
      </c>
    </row>
    <row r="130" spans="1:24" ht="11.25">
      <c r="A130" s="385"/>
      <c r="B130" s="377"/>
      <c r="C130" s="653"/>
      <c r="D130" s="653"/>
      <c r="E130" s="653"/>
      <c r="F130" s="653"/>
      <c r="G130" s="654"/>
      <c r="H130" s="653"/>
      <c r="I130" s="653"/>
      <c r="J130" s="653"/>
      <c r="K130" s="653"/>
      <c r="L130" s="653"/>
      <c r="M130" s="653"/>
      <c r="N130" s="653"/>
      <c r="O130" s="653"/>
      <c r="P130" s="653"/>
      <c r="Q130" s="653"/>
      <c r="R130" s="653"/>
      <c r="U130" s="360"/>
      <c r="V130" s="361"/>
      <c r="W130" s="361"/>
      <c r="X130" s="361"/>
    </row>
    <row r="131" spans="1:24" ht="11.25">
      <c r="A131" s="385"/>
      <c r="B131" s="377"/>
      <c r="C131" s="653"/>
      <c r="D131" s="653"/>
      <c r="E131" s="653"/>
      <c r="F131" s="653"/>
      <c r="G131" s="654"/>
      <c r="H131" s="653"/>
      <c r="I131" s="653"/>
      <c r="J131" s="653"/>
      <c r="K131" s="653"/>
      <c r="L131" s="653"/>
      <c r="M131" s="653"/>
      <c r="N131" s="653"/>
      <c r="O131" s="653"/>
      <c r="P131" s="653"/>
      <c r="Q131" s="653"/>
      <c r="R131" s="653"/>
      <c r="U131" s="360"/>
      <c r="V131" s="361"/>
      <c r="W131" s="361"/>
      <c r="X131" s="361"/>
    </row>
    <row r="132" spans="1:24">
      <c r="A132" s="385" t="s">
        <v>101</v>
      </c>
      <c r="B132" s="377" t="s">
        <v>289</v>
      </c>
      <c r="C132" s="654">
        <f>SUM(G132:R132)</f>
        <v>137815.34443775404</v>
      </c>
      <c r="D132" s="654">
        <f>'G-4 COST OF SERVICE'!M83</f>
        <v>124963.81369150596</v>
      </c>
      <c r="E132" s="654">
        <f>'G-4 COST OF SERVICE'!N83</f>
        <v>0</v>
      </c>
      <c r="F132" s="654">
        <f>'G-4 COST OF SERVICE'!O83</f>
        <v>12851.530746248092</v>
      </c>
      <c r="G132" s="654">
        <f>IF(SUM('Function Allocators'!$D210:$G210)=0,0,($D132*'Function Allocators'!D210/SUM('Function Allocators'!$D210:$G210)))</f>
        <v>0</v>
      </c>
      <c r="H132" s="654">
        <f>IF(SUM('Function Allocators'!$D210:$G210)=0,0,($D132*'Function Allocators'!E210/SUM('Function Allocators'!$D210:$G210)))</f>
        <v>114591.19842565314</v>
      </c>
      <c r="I132" s="654">
        <f>IF(SUM('Function Allocators'!$D210:$G210)=0,0,($D132*'Function Allocators'!F210/SUM('Function Allocators'!$D210:$G210)))</f>
        <v>8123.8896477234475</v>
      </c>
      <c r="J132" s="654">
        <f>IF(SUM('Function Allocators'!$D210:$G210)=0,0,($D132*'Function Allocators'!G210/SUM('Function Allocators'!$D210:$G210)))</f>
        <v>2248.7256181293569</v>
      </c>
      <c r="K132" s="654">
        <f>IF(SUM('Function Allocators'!$H210:$I210)=0,0,($E132*'Function Allocators'!H210/SUM('Function Allocators'!$H$210:$I$210)))</f>
        <v>0</v>
      </c>
      <c r="L132" s="654">
        <f>IF(SUM('Function Allocators'!$H210:$I210)=0,0,($E132*'Function Allocators'!I210/SUM('Function Allocators'!$H$210:$I$210)))</f>
        <v>0</v>
      </c>
      <c r="M132" s="654">
        <f>IF(SUM('Function Allocators'!$J210:$O210)=0,0,($F132*'Function Allocators'!J210/SUM('Function Allocators'!$J210:$O210)))</f>
        <v>10417.881682146608</v>
      </c>
      <c r="N132" s="654">
        <f>IF(SUM('Function Allocators'!$J210:$O210)=0,0,($F132*'Function Allocators'!K210/SUM('Function Allocators'!$J210:$O210)))</f>
        <v>2005.8574974365122</v>
      </c>
      <c r="O132" s="654">
        <f>IF(SUM('Function Allocators'!$J210:$O210)=0,0,($F132*'Function Allocators'!L210/SUM('Function Allocators'!$J210:$O210)))</f>
        <v>427.79156666497346</v>
      </c>
      <c r="P132" s="654">
        <f>IF(SUM('Function Allocators'!$J210:$O210)=0,0,($F132*'Function Allocators'!M210/SUM('Function Allocators'!$J210:$O210)))</f>
        <v>0</v>
      </c>
      <c r="Q132" s="654">
        <f>IF(SUM('Function Allocators'!$J210:$O210)=0,0,($F132*'Function Allocators'!N210/SUM('Function Allocators'!$J210:$O210)))</f>
        <v>0</v>
      </c>
      <c r="R132" s="654">
        <f>IF(SUM('Function Allocators'!$J210:$O210)=0,0,($F132*'Function Allocators'!O210/SUM('Function Allocators'!$J210:$O210)))</f>
        <v>0</v>
      </c>
      <c r="U132" s="52">
        <f>C132-SUM(D132:F132)</f>
        <v>0</v>
      </c>
      <c r="V132" s="361">
        <f>'G-4 COST OF SERVICE'!M83-SUM('Functionalization LARGE'!G132:J132)</f>
        <v>0</v>
      </c>
      <c r="W132" s="361">
        <f>'G-4 COST OF SERVICE'!N83-SUM('Functionalization LARGE'!K132:L132)</f>
        <v>0</v>
      </c>
      <c r="X132" s="361">
        <f>'G-4 COST OF SERVICE'!O83-SUM('Functionalization LARGE'!M132:R132)</f>
        <v>0</v>
      </c>
    </row>
    <row r="133" spans="1:24" ht="11.25">
      <c r="A133" s="385"/>
      <c r="B133" s="377"/>
      <c r="C133" s="653"/>
      <c r="D133" s="653"/>
      <c r="E133" s="653"/>
      <c r="F133" s="653"/>
      <c r="G133" s="654"/>
      <c r="H133" s="653"/>
      <c r="I133" s="653"/>
      <c r="J133" s="653"/>
      <c r="K133" s="653"/>
      <c r="L133" s="653"/>
      <c r="M133" s="653"/>
      <c r="N133" s="653"/>
      <c r="O133" s="653"/>
      <c r="P133" s="653"/>
      <c r="Q133" s="653"/>
      <c r="R133" s="653"/>
      <c r="U133" s="360"/>
      <c r="V133" s="361"/>
      <c r="W133" s="361"/>
      <c r="X133" s="361"/>
    </row>
    <row r="134" spans="1:24">
      <c r="A134" s="390">
        <v>431</v>
      </c>
      <c r="B134" s="379" t="s">
        <v>452</v>
      </c>
      <c r="C134" s="653">
        <f>SUM(G134:R134)</f>
        <v>0</v>
      </c>
      <c r="D134" s="653">
        <f>'G-4 COST OF SERVICE'!M92</f>
        <v>0</v>
      </c>
      <c r="E134" s="653">
        <f>'G-4 COST OF SERVICE'!N92</f>
        <v>0</v>
      </c>
      <c r="F134" s="653">
        <f>'G-4 COST OF SERVICE'!O92</f>
        <v>0</v>
      </c>
      <c r="G134" s="654">
        <f>IF(SUM('Function Allocators'!$D222:$G222)=0,0,($D134*'Function Allocators'!D222/SUM('Function Allocators'!$D222:$G222)))</f>
        <v>0</v>
      </c>
      <c r="H134" s="654">
        <f>IF(SUM('Function Allocators'!$D222:$G222)=0,0,($D134*'Function Allocators'!E222/SUM('Function Allocators'!$D222:$G222)))</f>
        <v>0</v>
      </c>
      <c r="I134" s="654">
        <f>IF(SUM('Function Allocators'!$D222:$G222)=0,0,($D134*'Function Allocators'!F222/SUM('Function Allocators'!$D222:$G222)))</f>
        <v>0</v>
      </c>
      <c r="J134" s="654">
        <f>IF(SUM('Function Allocators'!$D222:$G222)=0,0,($D134*'Function Allocators'!G222/SUM('Function Allocators'!$D222:$G222)))</f>
        <v>0</v>
      </c>
      <c r="K134" s="654">
        <f>IF(SUM('Function Allocators'!$H222:$I222)=0,0,($E134*'Function Allocators'!H222/SUM('Function Allocators'!$H$22:$I$222)))</f>
        <v>0</v>
      </c>
      <c r="L134" s="654">
        <f>IF(SUM('Function Allocators'!$H222:$I222)=0,0,($E134*'Function Allocators'!I222/SUM('Function Allocators'!$H$22:$I$222)))</f>
        <v>0</v>
      </c>
      <c r="M134" s="654">
        <f>IF(SUM('Function Allocators'!$J222:$O222)=0,0,($F134*'Function Allocators'!J222/SUM('Function Allocators'!$J222:$O222)))</f>
        <v>0</v>
      </c>
      <c r="N134" s="654">
        <f>IF(SUM('Function Allocators'!$J222:$O222)=0,0,($F134*'Function Allocators'!K222/SUM('Function Allocators'!$J222:$O222)))</f>
        <v>0</v>
      </c>
      <c r="O134" s="654">
        <f>IF(SUM('Function Allocators'!$J222:$O222)=0,0,($F134*'Function Allocators'!L222/SUM('Function Allocators'!$J222:$O222)))</f>
        <v>0</v>
      </c>
      <c r="P134" s="654">
        <f>IF(SUM('Function Allocators'!$J222:$O222)=0,0,($F134*'Function Allocators'!M222/SUM('Function Allocators'!$J222:$O222)))</f>
        <v>0</v>
      </c>
      <c r="Q134" s="654">
        <f>IF(SUM('Function Allocators'!$J222:$O222)=0,0,($F134*'Function Allocators'!N222/SUM('Function Allocators'!$J222:$O222)))</f>
        <v>0</v>
      </c>
      <c r="R134" s="654">
        <f>IF(SUM('Function Allocators'!$J222:$O222)=0,0,($F134*'Function Allocators'!O222/SUM('Function Allocators'!$J222:$O222)))</f>
        <v>0</v>
      </c>
      <c r="T134" s="360" t="s">
        <v>445</v>
      </c>
      <c r="U134" s="52">
        <f>C134-SUM(D134:F134)</f>
        <v>0</v>
      </c>
      <c r="V134" s="361">
        <f>'G-4 COST OF SERVICE'!M92-SUM('Functionalization LARGE'!G134:J134)</f>
        <v>0</v>
      </c>
      <c r="W134" s="361">
        <f>'G-4 COST OF SERVICE'!N92-SUM('Functionalization LARGE'!K134:L134)</f>
        <v>0</v>
      </c>
      <c r="X134" s="361">
        <f>'G-4 COST OF SERVICE'!O92-SUM('Functionalization LARGE'!M134:R134)</f>
        <v>0</v>
      </c>
    </row>
    <row r="135" spans="1:24" ht="11.25">
      <c r="A135" s="385"/>
      <c r="B135" s="387"/>
      <c r="C135" s="653"/>
      <c r="D135" s="653"/>
      <c r="E135" s="653"/>
      <c r="F135" s="653"/>
      <c r="G135" s="654"/>
      <c r="H135" s="653"/>
      <c r="I135" s="653"/>
      <c r="J135" s="653"/>
      <c r="K135" s="653"/>
      <c r="L135" s="653"/>
      <c r="M135" s="653"/>
      <c r="N135" s="653"/>
      <c r="O135" s="653"/>
      <c r="P135" s="653"/>
      <c r="Q135" s="653"/>
      <c r="R135" s="653"/>
      <c r="U135" s="360"/>
      <c r="V135" s="361"/>
      <c r="W135" s="361"/>
      <c r="X135" s="361"/>
    </row>
    <row r="136" spans="1:24" ht="11.25">
      <c r="A136" s="385"/>
      <c r="B136" s="377" t="s">
        <v>212</v>
      </c>
      <c r="C136" s="653"/>
      <c r="D136" s="653"/>
      <c r="E136" s="653"/>
      <c r="F136" s="653"/>
      <c r="G136" s="654"/>
      <c r="H136" s="653"/>
      <c r="I136" s="653"/>
      <c r="J136" s="653"/>
      <c r="K136" s="653"/>
      <c r="L136" s="653"/>
      <c r="M136" s="653"/>
      <c r="N136" s="653"/>
      <c r="O136" s="653"/>
      <c r="P136" s="653"/>
      <c r="Q136" s="653"/>
      <c r="R136" s="653"/>
      <c r="U136" s="360"/>
      <c r="V136" s="361"/>
      <c r="W136" s="361"/>
      <c r="X136" s="361"/>
    </row>
    <row r="137" spans="1:24">
      <c r="A137" s="385">
        <v>408</v>
      </c>
      <c r="B137" s="379" t="s">
        <v>213</v>
      </c>
      <c r="C137" s="653">
        <f>SUM(G137:R137)</f>
        <v>336496.41312868305</v>
      </c>
      <c r="D137" s="653">
        <f>'G-4 COST OF SERVICE'!M95</f>
        <v>305117.51249197865</v>
      </c>
      <c r="E137" s="653">
        <f>'G-4 COST OF SERVICE'!N95</f>
        <v>0</v>
      </c>
      <c r="F137" s="653">
        <f>'G-4 COST OF SERVICE'!O95</f>
        <v>31378.900636704348</v>
      </c>
      <c r="G137" s="654">
        <f>IF(SUM('Function Allocators'!$D226:$G226)=0,0,($D137*'Function Allocators'!D226/SUM('Function Allocators'!$D226:$G226)))</f>
        <v>0</v>
      </c>
      <c r="H137" s="654">
        <f>IF(SUM('Function Allocators'!$D226:$G226)=0,0,($D137*'Function Allocators'!E226/SUM('Function Allocators'!$D226:$G226)))</f>
        <v>279791.24823626113</v>
      </c>
      <c r="I137" s="654">
        <f>IF(SUM('Function Allocators'!$D226:$G226)=0,0,($D137*'Function Allocators'!F226/SUM('Function Allocators'!$D226:$G226)))</f>
        <v>19835.670246043395</v>
      </c>
      <c r="J137" s="654">
        <f>IF(SUM('Function Allocators'!$D226:$G226)=0,0,($D137*'Function Allocators'!G226/SUM('Function Allocators'!$D226:$G226)))</f>
        <v>5490.5940096741278</v>
      </c>
      <c r="K137" s="654">
        <f>IF(SUM('Function Allocators'!$H226:$I226)=0,0,($E137*'Function Allocators'!H226/SUM('Function Allocators'!$H$226:$I$226)))</f>
        <v>0</v>
      </c>
      <c r="L137" s="654">
        <f>IF(SUM('Function Allocators'!$H226:$I226)=0,0,($E137*'Function Allocators'!I226/SUM('Function Allocators'!$H$226:$I$226)))</f>
        <v>0</v>
      </c>
      <c r="M137" s="654">
        <f>IF(SUM('Function Allocators'!$J226:$O226)=0,0,($F137*'Function Allocators'!J226/SUM('Function Allocators'!$J226:$O226)))</f>
        <v>25436.788862249523</v>
      </c>
      <c r="N137" s="654">
        <f>IF(SUM('Function Allocators'!$J226:$O226)=0,0,($F137*'Function Allocators'!K226/SUM('Function Allocators'!$J226:$O226)))</f>
        <v>4897.595807551882</v>
      </c>
      <c r="O137" s="654">
        <f>IF(SUM('Function Allocators'!$J226:$O226)=0,0,($F137*'Function Allocators'!L226/SUM('Function Allocators'!$J226:$O226)))</f>
        <v>1044.5159669029474</v>
      </c>
      <c r="P137" s="654">
        <f>IF(SUM('Function Allocators'!$J226:$O226)=0,0,($F137*'Function Allocators'!M226/SUM('Function Allocators'!$J226:$O226)))</f>
        <v>0</v>
      </c>
      <c r="Q137" s="654">
        <f>IF(SUM('Function Allocators'!$J226:$O226)=0,0,($F137*'Function Allocators'!N226/SUM('Function Allocators'!$J226:$O226)))</f>
        <v>0</v>
      </c>
      <c r="R137" s="654">
        <f>IF(SUM('Function Allocators'!$J226:$O226)=0,0,($F137*'Function Allocators'!O226/SUM('Function Allocators'!$J226:$O226)))</f>
        <v>0</v>
      </c>
      <c r="T137" s="360" t="s">
        <v>127</v>
      </c>
      <c r="U137" s="52">
        <f>C137-SUM(D137:F137)</f>
        <v>0</v>
      </c>
      <c r="V137" s="361">
        <f>'G-4 COST OF SERVICE'!M95-SUM('Functionalization LARGE'!G137:J137)</f>
        <v>0</v>
      </c>
      <c r="W137" s="361">
        <f>'G-4 COST OF SERVICE'!N95-SUM('Functionalization LARGE'!K137:L137)</f>
        <v>0</v>
      </c>
      <c r="X137" s="361">
        <f>'G-4 COST OF SERVICE'!O95-SUM('Functionalization LARGE'!M137:R137)</f>
        <v>0</v>
      </c>
    </row>
    <row r="138" spans="1:24">
      <c r="A138" s="385">
        <v>408</v>
      </c>
      <c r="B138" s="381" t="s">
        <v>214</v>
      </c>
      <c r="C138" s="653">
        <f>SUM(G138:R138)</f>
        <v>59672.60740967009</v>
      </c>
      <c r="D138" s="653">
        <f>'G-4 COST OF SERVICE'!M96</f>
        <v>54108.028574397227</v>
      </c>
      <c r="E138" s="653">
        <f>'G-4 COST OF SERVICE'!N96</f>
        <v>0</v>
      </c>
      <c r="F138" s="653">
        <f>'G-4 COST OF SERVICE'!O96</f>
        <v>5564.5788352728714</v>
      </c>
      <c r="G138" s="654">
        <f>IF(SUM('Function Allocators'!$D227:$G227)=0,0,($D138*'Function Allocators'!D227/SUM('Function Allocators'!$D227:$G227)))</f>
        <v>0</v>
      </c>
      <c r="H138" s="654">
        <f>IF(SUM('Function Allocators'!$D227:$G227)=0,0,($D138*'Function Allocators'!E227/SUM('Function Allocators'!$D227:$G227)))</f>
        <v>49616.794299317306</v>
      </c>
      <c r="I138" s="654">
        <f>IF(SUM('Function Allocators'!$D227:$G227)=0,0,($D138*'Function Allocators'!F227/SUM('Function Allocators'!$D227:$G227)))</f>
        <v>3517.5595255072508</v>
      </c>
      <c r="J138" s="654">
        <f>IF(SUM('Function Allocators'!$D227:$G227)=0,0,($D138*'Function Allocators'!G227/SUM('Function Allocators'!$D227:$G227)))</f>
        <v>973.67474957266575</v>
      </c>
      <c r="K138" s="654">
        <f>IF(SUM('Function Allocators'!$H227:$I227)=0,0,($E138*'Function Allocators'!H227/SUM('Function Allocators'!$H$226:$I$226)))</f>
        <v>0</v>
      </c>
      <c r="L138" s="654">
        <f>IF(SUM('Function Allocators'!$H227:$I227)=0,0,($E138*'Function Allocators'!I227/SUM('Function Allocators'!$H$226:$I$226)))</f>
        <v>0</v>
      </c>
      <c r="M138" s="654">
        <f>IF(SUM('Function Allocators'!$J227:$O227)=0,0,($F138*'Function Allocators'!J227/SUM('Function Allocators'!$J227:$O227)))</f>
        <v>4510.8341614304727</v>
      </c>
      <c r="N138" s="654">
        <f>IF(SUM('Function Allocators'!$J227:$O227)=0,0,($F138*'Function Allocators'!K227/SUM('Function Allocators'!$J227:$O227)))</f>
        <v>868.51538522500243</v>
      </c>
      <c r="O138" s="654">
        <f>IF(SUM('Function Allocators'!$J227:$O227)=0,0,($F138*'Function Allocators'!L227/SUM('Function Allocators'!$J227:$O227)))</f>
        <v>185.22928861739663</v>
      </c>
      <c r="P138" s="654">
        <f>IF(SUM('Function Allocators'!$J227:$O227)=0,0,($F138*'Function Allocators'!M227/SUM('Function Allocators'!$J227:$O227)))</f>
        <v>0</v>
      </c>
      <c r="Q138" s="654">
        <f>IF(SUM('Function Allocators'!$J227:$O227)=0,0,($F138*'Function Allocators'!N227/SUM('Function Allocators'!$J227:$O227)))</f>
        <v>0</v>
      </c>
      <c r="R138" s="654">
        <f>IF(SUM('Function Allocators'!$J227:$O227)=0,0,($F138*'Function Allocators'!O227/SUM('Function Allocators'!$J227:$O227)))</f>
        <v>0</v>
      </c>
      <c r="T138" s="360" t="s">
        <v>127</v>
      </c>
      <c r="U138" s="52">
        <f>C138-SUM(D138:F138)</f>
        <v>0</v>
      </c>
      <c r="V138" s="361">
        <f>'G-4 COST OF SERVICE'!M96-SUM('Functionalization LARGE'!G138:J138)</f>
        <v>0</v>
      </c>
      <c r="W138" s="361">
        <f>'G-4 COST OF SERVICE'!N96-SUM('Functionalization LARGE'!K138:L138)</f>
        <v>0</v>
      </c>
      <c r="X138" s="361">
        <f>'G-4 COST OF SERVICE'!O96-SUM('Functionalization LARGE'!M138:R138)</f>
        <v>0</v>
      </c>
    </row>
    <row r="139" spans="1:24">
      <c r="A139" s="385"/>
      <c r="B139" s="377" t="s">
        <v>215</v>
      </c>
      <c r="C139" s="655">
        <f t="shared" ref="C139:R139" si="23">SUM(C137:C138)</f>
        <v>396169.02053835313</v>
      </c>
      <c r="D139" s="655">
        <f t="shared" si="23"/>
        <v>359225.54106637585</v>
      </c>
      <c r="E139" s="655">
        <f t="shared" si="23"/>
        <v>0</v>
      </c>
      <c r="F139" s="655">
        <f t="shared" si="23"/>
        <v>36943.479471977218</v>
      </c>
      <c r="G139" s="656">
        <f t="shared" si="23"/>
        <v>0</v>
      </c>
      <c r="H139" s="655">
        <f t="shared" si="23"/>
        <v>329408.04253557842</v>
      </c>
      <c r="I139" s="655">
        <f t="shared" si="23"/>
        <v>23353.229771550647</v>
      </c>
      <c r="J139" s="655">
        <f t="shared" si="23"/>
        <v>6464.2687592467937</v>
      </c>
      <c r="K139" s="655">
        <f t="shared" si="23"/>
        <v>0</v>
      </c>
      <c r="L139" s="655">
        <f t="shared" si="23"/>
        <v>0</v>
      </c>
      <c r="M139" s="655">
        <f t="shared" si="23"/>
        <v>29947.623023679997</v>
      </c>
      <c r="N139" s="655">
        <f t="shared" si="23"/>
        <v>5766.1111927768843</v>
      </c>
      <c r="O139" s="655">
        <f t="shared" si="23"/>
        <v>1229.745255520344</v>
      </c>
      <c r="P139" s="655">
        <f t="shared" si="23"/>
        <v>0</v>
      </c>
      <c r="Q139" s="655">
        <f t="shared" si="23"/>
        <v>0</v>
      </c>
      <c r="R139" s="655">
        <f t="shared" si="23"/>
        <v>0</v>
      </c>
      <c r="U139" s="52">
        <f>C139-SUM(D139:F139)</f>
        <v>0</v>
      </c>
      <c r="V139" s="361">
        <f>'G-4 COST OF SERVICE'!M97-SUM('Functionalization LARGE'!G139:J139)</f>
        <v>0</v>
      </c>
      <c r="W139" s="361">
        <f>'G-4 COST OF SERVICE'!N97-SUM('Functionalization LARGE'!K139:L139)</f>
        <v>0</v>
      </c>
      <c r="X139" s="361">
        <f>'G-4 COST OF SERVICE'!O97-SUM('Functionalization LARGE'!M139:R139)</f>
        <v>0</v>
      </c>
    </row>
    <row r="140" spans="1:24" ht="11.25">
      <c r="A140" s="385"/>
      <c r="B140" s="387"/>
      <c r="C140" s="653"/>
      <c r="D140" s="653"/>
      <c r="E140" s="653"/>
      <c r="F140" s="653"/>
      <c r="G140" s="654"/>
      <c r="H140" s="653"/>
      <c r="I140" s="653"/>
      <c r="J140" s="653"/>
      <c r="K140" s="653"/>
      <c r="L140" s="653"/>
      <c r="M140" s="653"/>
      <c r="N140" s="653"/>
      <c r="O140" s="653"/>
      <c r="P140" s="653"/>
      <c r="Q140" s="653"/>
      <c r="R140" s="653"/>
      <c r="U140" s="360"/>
      <c r="V140" s="361"/>
      <c r="W140" s="361"/>
      <c r="X140" s="361"/>
    </row>
    <row r="141" spans="1:24">
      <c r="A141" s="385" t="s">
        <v>473</v>
      </c>
      <c r="B141" s="387" t="s">
        <v>216</v>
      </c>
      <c r="C141" s="654">
        <f>SUM(G141:R141)</f>
        <v>118642.81642533437</v>
      </c>
      <c r="D141" s="654">
        <f>'G-4 COST OF SERVICE'!M103</f>
        <v>107579.15867857076</v>
      </c>
      <c r="E141" s="654">
        <f>'G-4 COST OF SERVICE'!N103</f>
        <v>0</v>
      </c>
      <c r="F141" s="654">
        <f>'G-4 COST OF SERVICE'!O103</f>
        <v>11063.657746763607</v>
      </c>
      <c r="G141" s="654">
        <f>IF(SUM('Function Allocators'!$D231:$G231)=0,0,($D141*'Function Allocators'!D231/SUM('Function Allocators'!$D231:$G231)))</f>
        <v>0</v>
      </c>
      <c r="H141" s="654">
        <f>IF(SUM('Function Allocators'!$D231:$G231)=0,0,($D141*'Function Allocators'!E231/SUM('Function Allocators'!$D231:$G231)))</f>
        <v>98649.555854895152</v>
      </c>
      <c r="I141" s="654">
        <f>IF(SUM('Function Allocators'!$D231:$G231)=0,0,($D141*'Function Allocators'!F231/SUM('Function Allocators'!$D231:$G231)))</f>
        <v>6993.7143216288068</v>
      </c>
      <c r="J141" s="654">
        <f>IF(SUM('Function Allocators'!$D231:$G231)=0,0,($D141*'Function Allocators'!G231/SUM('Function Allocators'!$D231:$G231)))</f>
        <v>1935.8885020468028</v>
      </c>
      <c r="K141" s="654">
        <f>IF(SUM('Function Allocators'!$H231:$I231)=0,0,($E141*'Function Allocators'!H231/SUM('Function Allocators'!$H$231:$I$231)))</f>
        <v>0</v>
      </c>
      <c r="L141" s="654">
        <f>IF(SUM('Function Allocators'!$H231:$I231)=0,0,($E141*'Function Allocators'!I231/SUM('Function Allocators'!$H$231:$I$231)))</f>
        <v>0</v>
      </c>
      <c r="M141" s="654">
        <f>IF(SUM('Function Allocators'!$J231:$O231)=0,0,($F141*'Function Allocators'!J231/SUM('Function Allocators'!$J231:$O231)))</f>
        <v>8968.5718886987252</v>
      </c>
      <c r="N141" s="654">
        <f>IF(SUM('Function Allocators'!$J231:$O231)=0,0,($F141*'Function Allocators'!K231/SUM('Function Allocators'!$J231:$O231)))</f>
        <v>1726.8075903639849</v>
      </c>
      <c r="O141" s="654">
        <f>IF(SUM('Function Allocators'!$J231:$O231)=0,0,($F141*'Function Allocators'!L231/SUM('Function Allocators'!$J231:$O231)))</f>
        <v>368.27826770089774</v>
      </c>
      <c r="P141" s="654">
        <f>IF(SUM('Function Allocators'!$J231:$O231)=0,0,($F141*'Function Allocators'!M231/SUM('Function Allocators'!$J231:$O231)))</f>
        <v>0</v>
      </c>
      <c r="Q141" s="654">
        <f>IF(SUM('Function Allocators'!$J231:$O231)=0,0,($F141*'Function Allocators'!N231/SUM('Function Allocators'!$J231:$O231)))</f>
        <v>0</v>
      </c>
      <c r="R141" s="654">
        <f>IF(SUM('Function Allocators'!$J231:$O231)=0,0,($F141*'Function Allocators'!O231/SUM('Function Allocators'!$J231:$O231)))</f>
        <v>0</v>
      </c>
      <c r="T141" s="360" t="s">
        <v>127</v>
      </c>
      <c r="U141" s="52">
        <f>C141-SUM(D141:F141)</f>
        <v>0</v>
      </c>
      <c r="V141" s="361">
        <f>'G-4 COST OF SERVICE'!M103-SUM('Functionalization LARGE'!G141:J141)</f>
        <v>0</v>
      </c>
      <c r="W141" s="361">
        <f>'G-4 COST OF SERVICE'!N103-SUM('Functionalization LARGE'!K141:L141)</f>
        <v>0</v>
      </c>
      <c r="X141" s="361">
        <f>'G-4 COST OF SERVICE'!O103-SUM('Functionalization LARGE'!M141:R141)</f>
        <v>0</v>
      </c>
    </row>
    <row r="142" spans="1:24">
      <c r="C142" s="653"/>
      <c r="D142" s="653"/>
      <c r="E142" s="653"/>
      <c r="F142" s="653"/>
      <c r="G142" s="654"/>
      <c r="H142" s="653"/>
      <c r="I142" s="653"/>
      <c r="J142" s="653"/>
      <c r="K142" s="653"/>
      <c r="L142" s="653"/>
      <c r="M142" s="653"/>
      <c r="N142" s="653"/>
      <c r="O142" s="653"/>
      <c r="P142" s="653"/>
      <c r="Q142" s="653"/>
      <c r="R142" s="653"/>
      <c r="S142" s="467"/>
      <c r="T142" s="467"/>
      <c r="V142" s="361"/>
      <c r="W142" s="361"/>
      <c r="X142" s="361"/>
    </row>
    <row r="143" spans="1:24">
      <c r="A143" s="364" t="s">
        <v>474</v>
      </c>
      <c r="C143" s="653"/>
      <c r="D143" s="653"/>
      <c r="E143" s="653"/>
      <c r="F143" s="653"/>
      <c r="G143" s="654"/>
      <c r="H143" s="653"/>
      <c r="I143" s="653"/>
      <c r="J143" s="653"/>
      <c r="K143" s="653"/>
      <c r="L143" s="653"/>
      <c r="M143" s="653"/>
      <c r="N143" s="653"/>
      <c r="O143" s="653"/>
      <c r="P143" s="653"/>
      <c r="Q143" s="653"/>
      <c r="R143" s="653"/>
      <c r="S143" s="467"/>
      <c r="T143" s="467"/>
      <c r="V143" s="361"/>
      <c r="W143" s="361"/>
      <c r="X143" s="361"/>
    </row>
    <row r="144" spans="1:24">
      <c r="B144" s="360" t="s">
        <v>475</v>
      </c>
      <c r="C144" s="653">
        <f>SUM(G144:R144)</f>
        <v>2746260.9034437905</v>
      </c>
      <c r="D144" s="653">
        <f>'G-4 COST OF SERVICE'!M105</f>
        <v>2459272.4367839876</v>
      </c>
      <c r="E144" s="653">
        <f>'G-4 COST OF SERVICE'!N105</f>
        <v>67105.185740407818</v>
      </c>
      <c r="F144" s="653">
        <f>'G-4 COST OF SERVICE'!O105</f>
        <v>219883.26520947332</v>
      </c>
      <c r="G144" s="654">
        <f t="shared" ref="G144:R144" si="24">+SUM(G77:G78,G96,G108,G110:G114,G129:G134,G139)</f>
        <v>0</v>
      </c>
      <c r="H144" s="653">
        <f t="shared" si="24"/>
        <v>2000109.7418187822</v>
      </c>
      <c r="I144" s="653">
        <f t="shared" si="24"/>
        <v>409287.39697382087</v>
      </c>
      <c r="J144" s="653">
        <f t="shared" si="24"/>
        <v>49875.297991384738</v>
      </c>
      <c r="K144" s="653">
        <f t="shared" si="24"/>
        <v>67105.201450328925</v>
      </c>
      <c r="L144" s="653">
        <f t="shared" si="24"/>
        <v>0</v>
      </c>
      <c r="M144" s="653">
        <f t="shared" si="24"/>
        <v>89108.199574344879</v>
      </c>
      <c r="N144" s="653">
        <f t="shared" si="24"/>
        <v>41289.834736303317</v>
      </c>
      <c r="O144" s="653">
        <f t="shared" si="24"/>
        <v>63098.340653787913</v>
      </c>
      <c r="P144" s="653">
        <f t="shared" si="24"/>
        <v>49.75654307453096</v>
      </c>
      <c r="Q144" s="653">
        <f t="shared" si="24"/>
        <v>2637.5113466749058</v>
      </c>
      <c r="R144" s="653">
        <f t="shared" si="24"/>
        <v>23699.622355287793</v>
      </c>
      <c r="S144" s="467"/>
      <c r="T144" s="467"/>
      <c r="U144" s="52">
        <f>C144-SUM(D144:F144)</f>
        <v>1.5709921717643738E-2</v>
      </c>
      <c r="V144" s="361">
        <f>'G-4 COST OF SERVICE'!M105-SUM('Functionalization LARGE'!G144:J144)</f>
        <v>0</v>
      </c>
      <c r="W144" s="361">
        <f>'G-4 COST OF SERVICE'!N105-SUM('Functionalization LARGE'!K144:L144)</f>
        <v>-1.5709921106463298E-2</v>
      </c>
      <c r="X144" s="361">
        <f>'G-4 COST OF SERVICE'!O105-SUM('Functionalization LARGE'!M144:R144)</f>
        <v>0</v>
      </c>
    </row>
    <row r="145" spans="2:24">
      <c r="B145" s="360" t="s">
        <v>476</v>
      </c>
      <c r="C145" s="653">
        <f>SUM(G145:R145)</f>
        <v>2864903.7198691247</v>
      </c>
      <c r="D145" s="653">
        <f>'G-4 COST OF SERVICE'!M107</f>
        <v>2566851.5954625583</v>
      </c>
      <c r="E145" s="653">
        <f>'G-4 COST OF SERVICE'!N107</f>
        <v>67105.185740407818</v>
      </c>
      <c r="F145" s="653">
        <f>'G-4 COST OF SERVICE'!O107</f>
        <v>230946.92295623693</v>
      </c>
      <c r="G145" s="654">
        <f t="shared" ref="G145:R145" si="25">+G144+G141</f>
        <v>0</v>
      </c>
      <c r="H145" s="653">
        <f t="shared" si="25"/>
        <v>2098759.2976736771</v>
      </c>
      <c r="I145" s="653">
        <f t="shared" si="25"/>
        <v>416281.11129544966</v>
      </c>
      <c r="J145" s="653">
        <f t="shared" si="25"/>
        <v>51811.186493431538</v>
      </c>
      <c r="K145" s="653">
        <f t="shared" si="25"/>
        <v>67105.201450328925</v>
      </c>
      <c r="L145" s="653">
        <f t="shared" si="25"/>
        <v>0</v>
      </c>
      <c r="M145" s="653">
        <f t="shared" si="25"/>
        <v>98076.771463043609</v>
      </c>
      <c r="N145" s="653">
        <f t="shared" si="25"/>
        <v>43016.642326667301</v>
      </c>
      <c r="O145" s="653">
        <f t="shared" si="25"/>
        <v>63466.618921488807</v>
      </c>
      <c r="P145" s="653">
        <f t="shared" si="25"/>
        <v>49.75654307453096</v>
      </c>
      <c r="Q145" s="653">
        <f t="shared" si="25"/>
        <v>2637.5113466749058</v>
      </c>
      <c r="R145" s="653">
        <f t="shared" si="25"/>
        <v>23699.622355287793</v>
      </c>
      <c r="S145" s="467"/>
      <c r="T145" s="467"/>
      <c r="U145" s="52">
        <f>C145-SUM(D145:F145)</f>
        <v>1.570992125198245E-2</v>
      </c>
      <c r="V145" s="361">
        <f>'G-4 COST OF SERVICE'!M107-SUM('Functionalization LARGE'!G145:J145)</f>
        <v>0</v>
      </c>
      <c r="W145" s="361">
        <f>'G-4 COST OF SERVICE'!N107-SUM('Functionalization LARGE'!K145:L145)</f>
        <v>-1.5709921106463298E-2</v>
      </c>
      <c r="X145" s="361">
        <f>'G-4 COST OF SERVICE'!O107-SUM('Functionalization LARGE'!M145:R145)</f>
        <v>0</v>
      </c>
    </row>
    <row r="146" spans="2:24">
      <c r="C146" s="653"/>
      <c r="D146" s="653"/>
      <c r="E146" s="653"/>
      <c r="F146" s="653"/>
      <c r="G146" s="654"/>
      <c r="H146" s="653"/>
      <c r="I146" s="653"/>
      <c r="J146" s="653"/>
      <c r="K146" s="653"/>
      <c r="L146" s="653"/>
      <c r="M146" s="653"/>
      <c r="N146" s="653"/>
      <c r="O146" s="653"/>
      <c r="P146" s="653"/>
      <c r="Q146" s="653"/>
      <c r="R146" s="653"/>
      <c r="S146" s="467"/>
      <c r="T146" s="467"/>
      <c r="V146" s="361"/>
      <c r="W146" s="361"/>
      <c r="X146" s="361"/>
    </row>
    <row r="147" spans="2:24">
      <c r="C147" s="653"/>
      <c r="D147" s="653"/>
      <c r="E147" s="653"/>
      <c r="F147" s="653"/>
      <c r="G147" s="654"/>
      <c r="H147" s="653"/>
      <c r="I147" s="653"/>
      <c r="J147" s="653"/>
      <c r="K147" s="653"/>
      <c r="L147" s="653"/>
      <c r="M147" s="653"/>
      <c r="N147" s="653"/>
      <c r="O147" s="653"/>
      <c r="P147" s="653"/>
      <c r="Q147" s="653"/>
      <c r="R147" s="653"/>
      <c r="S147" s="467"/>
      <c r="T147" s="467"/>
      <c r="V147" s="361"/>
      <c r="W147" s="361"/>
      <c r="X147" s="361"/>
    </row>
    <row r="148" spans="2:24">
      <c r="C148" s="653"/>
      <c r="D148" s="653"/>
      <c r="E148" s="653"/>
      <c r="F148" s="653"/>
      <c r="G148" s="654"/>
      <c r="H148" s="653"/>
      <c r="I148" s="653"/>
      <c r="J148" s="653"/>
      <c r="K148" s="653"/>
      <c r="L148" s="653"/>
      <c r="M148" s="653"/>
      <c r="N148" s="653"/>
      <c r="O148" s="653"/>
      <c r="P148" s="653"/>
      <c r="Q148" s="653"/>
      <c r="R148" s="653"/>
      <c r="S148" s="467"/>
      <c r="T148" s="467"/>
      <c r="V148" s="361"/>
      <c r="W148" s="361"/>
      <c r="X148" s="361"/>
    </row>
    <row r="149" spans="2:24">
      <c r="B149" s="652" t="s">
        <v>477</v>
      </c>
      <c r="C149" s="651">
        <f>'Schedule G-2 Proposed Rates'!D20</f>
        <v>7.6265300000000008E-2</v>
      </c>
      <c r="D149" s="651">
        <f t="shared" ref="D149:R149" si="26">C149</f>
        <v>7.6265300000000008E-2</v>
      </c>
      <c r="E149" s="651">
        <f t="shared" si="26"/>
        <v>7.6265300000000008E-2</v>
      </c>
      <c r="F149" s="651">
        <f t="shared" si="26"/>
        <v>7.6265300000000008E-2</v>
      </c>
      <c r="G149" s="651">
        <f t="shared" si="26"/>
        <v>7.6265300000000008E-2</v>
      </c>
      <c r="H149" s="651">
        <f t="shared" si="26"/>
        <v>7.6265300000000008E-2</v>
      </c>
      <c r="I149" s="651">
        <f t="shared" si="26"/>
        <v>7.6265300000000008E-2</v>
      </c>
      <c r="J149" s="651">
        <f t="shared" si="26"/>
        <v>7.6265300000000008E-2</v>
      </c>
      <c r="K149" s="651">
        <f t="shared" si="26"/>
        <v>7.6265300000000008E-2</v>
      </c>
      <c r="L149" s="651">
        <f t="shared" si="26"/>
        <v>7.6265300000000008E-2</v>
      </c>
      <c r="M149" s="651">
        <f t="shared" si="26"/>
        <v>7.6265300000000008E-2</v>
      </c>
      <c r="N149" s="651">
        <f t="shared" si="26"/>
        <v>7.6265300000000008E-2</v>
      </c>
      <c r="O149" s="651">
        <f t="shared" si="26"/>
        <v>7.6265300000000008E-2</v>
      </c>
      <c r="P149" s="651">
        <f t="shared" si="26"/>
        <v>7.6265300000000008E-2</v>
      </c>
      <c r="Q149" s="651">
        <f t="shared" si="26"/>
        <v>7.6265300000000008E-2</v>
      </c>
      <c r="R149" s="651">
        <f t="shared" si="26"/>
        <v>7.6265300000000008E-2</v>
      </c>
      <c r="V149" s="361"/>
      <c r="W149" s="361"/>
      <c r="X149" s="361"/>
    </row>
    <row r="150" spans="2:24">
      <c r="B150" s="650" t="s">
        <v>478</v>
      </c>
      <c r="C150" s="468">
        <f>C73</f>
        <v>18983739.715933848</v>
      </c>
      <c r="D150" s="468">
        <f>D73</f>
        <v>17060171.724804867</v>
      </c>
      <c r="E150" s="468">
        <f>E73</f>
        <v>889.07541676251367</v>
      </c>
      <c r="F150" s="468">
        <f>F73</f>
        <v>1922679.4186788094</v>
      </c>
      <c r="G150" s="468">
        <f t="shared" ref="G150:R150" si="27">G149*G73</f>
        <v>0</v>
      </c>
      <c r="H150" s="468">
        <f t="shared" si="27"/>
        <v>1189568.2582395703</v>
      </c>
      <c r="I150" s="468">
        <f t="shared" si="27"/>
        <v>91752.952050849752</v>
      </c>
      <c r="J150" s="468">
        <f t="shared" si="27"/>
        <v>19777.893214826243</v>
      </c>
      <c r="K150" s="468">
        <f t="shared" si="27"/>
        <v>67.805603382018134</v>
      </c>
      <c r="L150" s="468">
        <f t="shared" si="27"/>
        <v>0</v>
      </c>
      <c r="M150" s="468">
        <f t="shared" si="27"/>
        <v>1198.7626364291305</v>
      </c>
      <c r="N150" s="468">
        <f t="shared" si="27"/>
        <v>18558.902769426171</v>
      </c>
      <c r="O150" s="468">
        <f t="shared" si="27"/>
        <v>126876.03004312639</v>
      </c>
      <c r="P150" s="468">
        <f t="shared" si="27"/>
        <v>0</v>
      </c>
      <c r="Q150" s="468">
        <f t="shared" si="27"/>
        <v>0</v>
      </c>
      <c r="R150" s="468">
        <f t="shared" si="27"/>
        <v>0</v>
      </c>
      <c r="V150" s="361"/>
      <c r="W150" s="361"/>
      <c r="X150" s="361"/>
    </row>
    <row r="151" spans="2:24">
      <c r="B151" s="650" t="s">
        <v>479</v>
      </c>
      <c r="C151" s="456">
        <f>'Schedule G-2 Proposed Rates'!G39-'Schedule G-1 Present Rates'!G39</f>
        <v>556357.18357466557</v>
      </c>
      <c r="D151" s="649">
        <f>SUM(G151:K151)</f>
        <v>500009.15501304716</v>
      </c>
      <c r="E151" s="649">
        <f>+SUM(L151:M151)</f>
        <v>460.65749805515674</v>
      </c>
      <c r="F151" s="649">
        <f>+SUM(N151:Q151)</f>
        <v>55887.371063563332</v>
      </c>
      <c r="G151" s="468">
        <f t="shared" ref="G151:R151" si="28">+G73/$C$73*$C$151</f>
        <v>0</v>
      </c>
      <c r="H151" s="468">
        <f t="shared" si="28"/>
        <v>457124.3054745202</v>
      </c>
      <c r="I151" s="468">
        <f t="shared" si="28"/>
        <v>35258.594192444179</v>
      </c>
      <c r="J151" s="468">
        <f t="shared" si="28"/>
        <v>7600.1991789494168</v>
      </c>
      <c r="K151" s="468">
        <f t="shared" si="28"/>
        <v>26.05616713340676</v>
      </c>
      <c r="L151" s="468">
        <f t="shared" si="28"/>
        <v>0</v>
      </c>
      <c r="M151" s="468">
        <f t="shared" si="28"/>
        <v>460.65749805515674</v>
      </c>
      <c r="N151" s="468">
        <f t="shared" si="28"/>
        <v>7131.7685892174559</v>
      </c>
      <c r="O151" s="468">
        <f t="shared" si="28"/>
        <v>48755.602474345877</v>
      </c>
      <c r="P151" s="468">
        <f t="shared" si="28"/>
        <v>0</v>
      </c>
      <c r="Q151" s="468">
        <f t="shared" si="28"/>
        <v>0</v>
      </c>
      <c r="R151" s="468">
        <f t="shared" si="28"/>
        <v>0</v>
      </c>
      <c r="V151" s="361"/>
      <c r="W151" s="361"/>
      <c r="X151" s="361"/>
    </row>
    <row r="152" spans="2:24">
      <c r="B152" s="648" t="s">
        <v>480</v>
      </c>
      <c r="C152" s="646">
        <f>SUM(D152:F152)</f>
        <v>4869061.5080014002</v>
      </c>
      <c r="D152" s="647">
        <f>SUM(G152:J152)</f>
        <v>4367933.7978137182</v>
      </c>
      <c r="E152" s="647">
        <f>+SUM(K152:L152)</f>
        <v>67199.063220844342</v>
      </c>
      <c r="F152" s="647">
        <f>+SUM(M152:R152)</f>
        <v>433928.64696683717</v>
      </c>
      <c r="G152" s="646">
        <f t="shared" ref="G152:R152" si="29">+G145+G150+G151</f>
        <v>0</v>
      </c>
      <c r="H152" s="646">
        <f t="shared" si="29"/>
        <v>3745451.8613877674</v>
      </c>
      <c r="I152" s="646">
        <f t="shared" si="29"/>
        <v>543292.65753874357</v>
      </c>
      <c r="J152" s="646">
        <f t="shared" si="29"/>
        <v>79189.278887207198</v>
      </c>
      <c r="K152" s="646">
        <f t="shared" si="29"/>
        <v>67199.063220844342</v>
      </c>
      <c r="L152" s="646">
        <f t="shared" si="29"/>
        <v>0</v>
      </c>
      <c r="M152" s="646">
        <f t="shared" si="29"/>
        <v>99736.191597527897</v>
      </c>
      <c r="N152" s="646">
        <f t="shared" si="29"/>
        <v>68707.313685310917</v>
      </c>
      <c r="O152" s="646">
        <f t="shared" si="29"/>
        <v>239098.25143896107</v>
      </c>
      <c r="P152" s="646">
        <f t="shared" si="29"/>
        <v>49.75654307453096</v>
      </c>
      <c r="Q152" s="646">
        <f t="shared" si="29"/>
        <v>2637.5113466749058</v>
      </c>
      <c r="R152" s="646">
        <f t="shared" si="29"/>
        <v>23699.622355287793</v>
      </c>
      <c r="U152" s="52">
        <f>C152-SUM(D152:F152)</f>
        <v>0</v>
      </c>
      <c r="V152" s="361">
        <f>D152-SUM(G152:J152)</f>
        <v>0</v>
      </c>
      <c r="W152" s="361">
        <f>E152-SUM(K152:L152)</f>
        <v>0</v>
      </c>
      <c r="X152" s="361">
        <f>F152-SUM(M152:R152)</f>
        <v>0</v>
      </c>
    </row>
    <row r="153" spans="2:24" s="364" customFormat="1" ht="11.25">
      <c r="C153" s="668"/>
      <c r="D153" s="668"/>
      <c r="E153" s="668"/>
      <c r="F153" s="668"/>
      <c r="G153" s="668"/>
      <c r="H153" s="668"/>
      <c r="I153" s="668"/>
      <c r="J153" s="668"/>
      <c r="K153" s="668"/>
      <c r="L153" s="668"/>
      <c r="M153" s="668"/>
      <c r="N153" s="668"/>
      <c r="O153" s="668"/>
      <c r="P153" s="668"/>
      <c r="Q153" s="668"/>
      <c r="R153" s="668"/>
      <c r="V153" s="361"/>
      <c r="W153" s="361"/>
      <c r="X153" s="361"/>
    </row>
    <row r="154" spans="2:24">
      <c r="B154" s="456"/>
      <c r="C154" s="667"/>
      <c r="D154" s="667"/>
      <c r="E154" s="667"/>
      <c r="F154" s="667"/>
    </row>
  </sheetData>
  <mergeCells count="9">
    <mergeCell ref="H6:J6"/>
    <mergeCell ref="K6:L6"/>
    <mergeCell ref="B32:C32"/>
    <mergeCell ref="A1:S1"/>
    <mergeCell ref="A2:S2"/>
    <mergeCell ref="A3:S3"/>
    <mergeCell ref="G5:J5"/>
    <mergeCell ref="K5:L5"/>
    <mergeCell ref="M5:R5"/>
  </mergeCells>
  <printOptions horizontalCentered="1"/>
  <pageMargins left="0.25" right="0.2" top="0.79" bottom="0.75" header="0.8" footer="0.8"/>
  <pageSetup scale="50" pageOrder="overThenDown" orientation="landscape" horizontalDpi="200" verticalDpi="200" r:id="rId1"/>
  <headerFooter>
    <oddHeader>&amp;R&amp;"Arial,Bold"PAGE &amp;P OF &amp;N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tabColor rgb="FF92D050"/>
    <pageSetUpPr fitToPage="1"/>
  </sheetPr>
  <dimension ref="A3:BD153"/>
  <sheetViews>
    <sheetView zoomScale="80" zoomScaleNormal="80" workbookViewId="0">
      <selection sqref="A1:G5"/>
    </sheetView>
  </sheetViews>
  <sheetFormatPr defaultColWidth="9.140625" defaultRowHeight="12.75"/>
  <cols>
    <col min="1" max="1" width="7.42578125" style="4" bestFit="1" customWidth="1"/>
    <col min="2" max="2" width="30.140625" style="4" customWidth="1"/>
    <col min="3" max="9" width="17" style="30" customWidth="1"/>
    <col min="10" max="10" width="5" style="4" customWidth="1"/>
    <col min="11" max="11" width="8.140625" style="4" hidden="1" customWidth="1"/>
    <col min="12" max="12" width="0" style="4" hidden="1" customWidth="1"/>
    <col min="13" max="13" width="5.42578125" style="4" hidden="1" customWidth="1"/>
    <col min="14" max="14" width="6.5703125" style="4" hidden="1" customWidth="1"/>
    <col min="15" max="15" width="3.5703125" style="4" hidden="1" customWidth="1"/>
    <col min="16" max="17" width="13.5703125" style="4" bestFit="1" customWidth="1"/>
    <col min="18" max="18" width="13.42578125" style="4" bestFit="1" customWidth="1"/>
    <col min="19" max="19" width="9.5703125" style="4" bestFit="1" customWidth="1"/>
    <col min="20" max="16384" width="9.140625" style="4"/>
  </cols>
  <sheetData>
    <row r="3" spans="1:56" ht="30.6" customHeight="1">
      <c r="A3" s="794" t="s">
        <v>554</v>
      </c>
      <c r="B3" s="793" t="s">
        <v>555</v>
      </c>
      <c r="C3" s="793" t="s">
        <v>556</v>
      </c>
      <c r="D3" s="793" t="s">
        <v>557</v>
      </c>
      <c r="E3" s="793" t="s">
        <v>558</v>
      </c>
      <c r="F3" s="793" t="s">
        <v>559</v>
      </c>
      <c r="G3" s="793" t="s">
        <v>560</v>
      </c>
      <c r="H3" s="793" t="s">
        <v>561</v>
      </c>
      <c r="I3" s="793" t="s">
        <v>562</v>
      </c>
    </row>
    <row r="4" spans="1:56" ht="30.6" customHeight="1">
      <c r="A4" s="794"/>
      <c r="B4" s="793"/>
      <c r="C4" s="793"/>
      <c r="D4" s="793"/>
      <c r="E4" s="793"/>
      <c r="F4" s="793"/>
      <c r="G4" s="793"/>
      <c r="H4" s="793"/>
      <c r="I4" s="793"/>
    </row>
    <row r="5" spans="1:56" ht="30.6" customHeight="1">
      <c r="A5" s="794"/>
      <c r="B5" s="793"/>
      <c r="C5" s="793"/>
      <c r="D5" s="793"/>
      <c r="E5" s="793"/>
      <c r="F5" s="793"/>
      <c r="G5" s="793"/>
      <c r="H5" s="793"/>
      <c r="I5" s="793"/>
    </row>
    <row r="7" spans="1:56" ht="17.45" customHeight="1">
      <c r="A7" s="24">
        <v>1</v>
      </c>
      <c r="B7" s="15" t="s">
        <v>563</v>
      </c>
      <c r="C7" s="24" t="s">
        <v>513</v>
      </c>
      <c r="D7" s="24" t="s">
        <v>513</v>
      </c>
      <c r="E7" s="24" t="s">
        <v>514</v>
      </c>
      <c r="F7" s="24" t="s">
        <v>513</v>
      </c>
      <c r="G7" s="24" t="s">
        <v>513</v>
      </c>
      <c r="H7" s="24" t="s">
        <v>514</v>
      </c>
      <c r="I7" s="24" t="s">
        <v>513</v>
      </c>
      <c r="K7" s="4" t="s">
        <v>564</v>
      </c>
    </row>
    <row r="8" spans="1:56" ht="17.45" customHeight="1">
      <c r="A8" s="24">
        <f>+A7+1</f>
        <v>2</v>
      </c>
      <c r="B8" s="4" t="str">
        <f>Summary!B8</f>
        <v>Residential</v>
      </c>
      <c r="C8" s="22">
        <f>Summary!F8</f>
        <v>47259623.975999996</v>
      </c>
      <c r="D8" s="22">
        <f>+I8-C8</f>
        <v>7103138.6151305363</v>
      </c>
      <c r="E8" s="25">
        <f>IFERROR(D8/C8,0)</f>
        <v>0.15030036249839282</v>
      </c>
      <c r="F8" s="22">
        <f>'Schedule H2-2'!G9</f>
        <v>47630968.966079876</v>
      </c>
      <c r="G8" s="22">
        <f>I8-F8</f>
        <v>6731793.6250506565</v>
      </c>
      <c r="H8" s="25">
        <f>IFERROR(G8/F8,0)</f>
        <v>0.1413322838308132</v>
      </c>
      <c r="I8" s="22">
        <f>Summary!P8</f>
        <v>54362762.591130532</v>
      </c>
      <c r="K8" s="27" t="e">
        <f>+G8/$G$18</f>
        <v>#DIV/0!</v>
      </c>
      <c r="L8" s="28">
        <v>0.67</v>
      </c>
      <c r="M8" s="28" t="e">
        <f>+L8-K8</f>
        <v>#DIV/0!</v>
      </c>
      <c r="N8" s="12">
        <f>+O8-G8</f>
        <v>47769206.374949344</v>
      </c>
      <c r="O8" s="4">
        <v>54501000</v>
      </c>
    </row>
    <row r="9" spans="1:56" ht="17.45" customHeight="1">
      <c r="A9" s="24">
        <f t="shared" ref="A9:A11" si="0">+A8+1</f>
        <v>3</v>
      </c>
      <c r="B9" s="4" t="str">
        <f>Summary!B9</f>
        <v>Small Volume General Service</v>
      </c>
      <c r="C9" s="22">
        <f>Summary!F9</f>
        <v>14422189.7973</v>
      </c>
      <c r="D9" s="22">
        <f t="shared" ref="D9:D10" si="1">+I9-C9</f>
        <v>1438258.6494298428</v>
      </c>
      <c r="E9" s="25">
        <f t="shared" ref="E9:E10" si="2">IFERROR(D9/C9,0)</f>
        <v>9.9725400209273452E-2</v>
      </c>
      <c r="F9" s="22">
        <f>'Schedule H2-2'!G10</f>
        <v>14389762.907030964</v>
      </c>
      <c r="G9" s="22">
        <f t="shared" ref="G9:G10" si="3">I9-F9</f>
        <v>1470685.5396988783</v>
      </c>
      <c r="H9" s="25">
        <f t="shared" ref="H9:H11" si="4">IFERROR(G9/F9,0)</f>
        <v>0.10220359773824268</v>
      </c>
      <c r="I9" s="22">
        <f>Summary!P9</f>
        <v>15860448.446729843</v>
      </c>
      <c r="K9" s="27" t="e">
        <f>+G9/$G$18</f>
        <v>#DIV/0!</v>
      </c>
      <c r="L9" s="28">
        <v>-0.04</v>
      </c>
      <c r="M9" s="28" t="e">
        <f t="shared" ref="M9:M10" si="5">+L9-K9</f>
        <v>#DIV/0!</v>
      </c>
    </row>
    <row r="10" spans="1:56" ht="17.45" customHeight="1">
      <c r="A10" s="24">
        <f t="shared" si="0"/>
        <v>4</v>
      </c>
      <c r="B10" s="4" t="str">
        <f>Summary!B10</f>
        <v>Large Volume General Service</v>
      </c>
      <c r="C10" s="22">
        <f>Summary!F10</f>
        <v>5651914.9693999998</v>
      </c>
      <c r="D10" s="22">
        <f t="shared" si="1"/>
        <v>1518988.7958302815</v>
      </c>
      <c r="E10" s="25">
        <f t="shared" si="2"/>
        <v>0.2687564841393103</v>
      </c>
      <c r="F10" s="22">
        <f>'Schedule H2-2'!G11</f>
        <v>5645219.6361080408</v>
      </c>
      <c r="G10" s="22">
        <f t="shared" si="3"/>
        <v>1525684.1291222405</v>
      </c>
      <c r="H10" s="25">
        <f t="shared" si="4"/>
        <v>0.27026125243447324</v>
      </c>
      <c r="I10" s="22">
        <f>Summary!P10</f>
        <v>7170903.7652302813</v>
      </c>
      <c r="J10" s="13"/>
      <c r="K10" s="27" t="e">
        <f>+G10/$G$18</f>
        <v>#DIV/0!</v>
      </c>
      <c r="L10" s="28">
        <v>0.31</v>
      </c>
      <c r="M10" s="28" t="e">
        <f t="shared" si="5"/>
        <v>#DIV/0!</v>
      </c>
    </row>
    <row r="11" spans="1:56" ht="17.45" customHeight="1">
      <c r="A11" s="24">
        <f t="shared" si="0"/>
        <v>5</v>
      </c>
      <c r="B11" s="30" t="s">
        <v>565</v>
      </c>
      <c r="C11" s="22">
        <f>SUM(C8:C10)</f>
        <v>67333728.742699996</v>
      </c>
      <c r="D11" s="22">
        <f>+SUM(D8:D10)</f>
        <v>10060386.060390661</v>
      </c>
      <c r="E11" s="25">
        <f>IFERROR(D11/C11,0)</f>
        <v>0.14941079676181396</v>
      </c>
      <c r="F11" s="22">
        <f>+SUM(F8:F10)</f>
        <v>67665951.509218872</v>
      </c>
      <c r="G11" s="22">
        <f>+SUM(G8:G10)</f>
        <v>9728163.2938717753</v>
      </c>
      <c r="H11" s="25">
        <f t="shared" si="4"/>
        <v>0.14376747946190341</v>
      </c>
      <c r="I11" s="22">
        <f>Summary!P11</f>
        <v>77394114.803090662</v>
      </c>
      <c r="K11" s="31"/>
    </row>
    <row r="12" spans="1:56" ht="17.45" customHeight="1">
      <c r="A12" s="24"/>
      <c r="C12" s="32"/>
      <c r="D12" s="33"/>
      <c r="E12" s="33"/>
      <c r="F12" s="32"/>
      <c r="G12" s="33"/>
      <c r="H12" s="26"/>
      <c r="I12" s="32"/>
    </row>
    <row r="13" spans="1:56" ht="17.45" customHeight="1">
      <c r="A13" s="24">
        <f>+A11+1</f>
        <v>6</v>
      </c>
      <c r="B13" s="15" t="s">
        <v>393</v>
      </c>
      <c r="C13" s="85">
        <f>[6]Cover!$G$14</f>
        <v>1316611.2100000002</v>
      </c>
      <c r="D13" s="34">
        <v>0</v>
      </c>
      <c r="E13" s="35" t="s">
        <v>115</v>
      </c>
      <c r="F13" s="75">
        <f>+C13</f>
        <v>1316611.2100000002</v>
      </c>
      <c r="G13" s="35" t="s">
        <v>115</v>
      </c>
      <c r="H13" s="35" t="s">
        <v>115</v>
      </c>
      <c r="I13" s="75">
        <f>+F13</f>
        <v>1316611.2100000002</v>
      </c>
    </row>
    <row r="14" spans="1:56" ht="17.45" customHeight="1">
      <c r="A14" s="24"/>
      <c r="B14" s="36"/>
      <c r="C14" s="37"/>
      <c r="D14" s="37"/>
      <c r="E14" s="1"/>
      <c r="F14" s="37"/>
      <c r="G14" s="38"/>
      <c r="H14" s="1"/>
      <c r="I14" s="37"/>
    </row>
    <row r="15" spans="1:56" ht="17.45" customHeight="1" thickBot="1">
      <c r="A15" s="24">
        <f>+A13+1</f>
        <v>7</v>
      </c>
      <c r="B15" s="39" t="s">
        <v>61</v>
      </c>
      <c r="C15" s="40">
        <f>+SUM(C11:C13)</f>
        <v>68650339.952699989</v>
      </c>
      <c r="D15" s="40">
        <f>+SUM(D11:D13)</f>
        <v>10060386.060390661</v>
      </c>
      <c r="E15" s="41">
        <f>IFERROR(D15/C15,0)</f>
        <v>0.14654532034833703</v>
      </c>
      <c r="F15" s="40">
        <f t="shared" ref="F15:I15" si="6">+SUM(F11:F13)</f>
        <v>68982562.719218865</v>
      </c>
      <c r="G15" s="40">
        <f t="shared" si="6"/>
        <v>9728163.2938717753</v>
      </c>
      <c r="H15" s="41">
        <f>IFERROR(G15/F15,0)</f>
        <v>0.14102351247036904</v>
      </c>
      <c r="I15" s="40">
        <f t="shared" si="6"/>
        <v>78710726.013090655</v>
      </c>
      <c r="K15" s="1"/>
      <c r="L15" s="18"/>
      <c r="AQ15" s="13"/>
      <c r="AR15" s="18"/>
      <c r="AS15" s="1"/>
      <c r="AT15" s="1"/>
      <c r="AU15" s="13"/>
      <c r="AV15" s="18"/>
      <c r="AW15" s="1"/>
      <c r="AX15" s="1"/>
      <c r="AY15" s="13"/>
      <c r="AZ15" s="18"/>
      <c r="BA15" s="1"/>
      <c r="BB15" s="1"/>
      <c r="BC15" s="13"/>
      <c r="BD15" s="18"/>
    </row>
    <row r="16" spans="1:56" ht="13.5" thickTop="1">
      <c r="A16" s="36"/>
      <c r="B16" s="36"/>
      <c r="C16" s="37"/>
      <c r="D16" s="37"/>
      <c r="E16" s="1"/>
      <c r="F16" s="37"/>
      <c r="G16" s="38"/>
      <c r="H16" s="1"/>
      <c r="I16" s="37"/>
      <c r="K16" s="1"/>
      <c r="L16" s="18"/>
      <c r="AQ16" s="13"/>
      <c r="AR16" s="18"/>
      <c r="AS16" s="1"/>
      <c r="AT16" s="1"/>
      <c r="AU16" s="13"/>
      <c r="AV16" s="18"/>
      <c r="AW16" s="1"/>
      <c r="AX16" s="1"/>
      <c r="AY16" s="13"/>
      <c r="AZ16" s="18"/>
      <c r="BA16" s="1"/>
      <c r="BB16" s="1"/>
      <c r="BC16" s="13"/>
      <c r="BD16" s="18"/>
    </row>
    <row r="17" spans="1:56">
      <c r="A17" s="36"/>
      <c r="B17" s="36"/>
      <c r="C17" s="37"/>
      <c r="D17" s="37"/>
      <c r="E17" s="1"/>
      <c r="F17" s="37"/>
      <c r="G17" s="38"/>
      <c r="K17" s="1"/>
      <c r="L17" s="18"/>
      <c r="AQ17" s="13"/>
      <c r="AR17" s="18"/>
      <c r="AS17" s="1"/>
      <c r="AT17" s="1"/>
      <c r="AU17" s="13"/>
      <c r="AV17" s="18"/>
      <c r="AW17" s="1"/>
      <c r="AX17" s="1"/>
      <c r="AY17" s="13"/>
      <c r="AZ17" s="18"/>
      <c r="BA17" s="1"/>
      <c r="BB17" s="1"/>
      <c r="BC17" s="13"/>
      <c r="BD17" s="18"/>
    </row>
    <row r="18" spans="1:56">
      <c r="A18" s="36"/>
      <c r="B18" s="36"/>
      <c r="C18" s="37"/>
      <c r="D18" s="37"/>
      <c r="E18" s="1"/>
      <c r="F18" s="37"/>
      <c r="G18" s="38"/>
      <c r="H18" s="1"/>
      <c r="I18" s="37"/>
      <c r="K18" s="1"/>
      <c r="L18" s="18"/>
      <c r="AQ18" s="13"/>
      <c r="AR18" s="18"/>
      <c r="AS18" s="1"/>
      <c r="AT18" s="1"/>
      <c r="AU18" s="13"/>
      <c r="AV18" s="18"/>
      <c r="AW18" s="1"/>
      <c r="AX18" s="1"/>
      <c r="AY18" s="13"/>
      <c r="AZ18" s="18"/>
      <c r="BA18" s="1"/>
      <c r="BB18" s="1"/>
      <c r="BC18" s="13"/>
      <c r="BD18" s="18"/>
    </row>
    <row r="19" spans="1:56">
      <c r="A19" s="36"/>
      <c r="B19" s="42" t="s">
        <v>566</v>
      </c>
      <c r="C19" s="37"/>
      <c r="D19" s="37"/>
      <c r="E19" s="1"/>
      <c r="F19" s="37"/>
      <c r="G19" s="38"/>
      <c r="H19" s="1"/>
      <c r="I19" s="37"/>
      <c r="K19" s="1"/>
      <c r="L19" s="18"/>
      <c r="AQ19" s="13"/>
      <c r="AR19" s="18"/>
      <c r="AS19" s="1"/>
      <c r="AT19" s="1"/>
      <c r="AU19" s="13"/>
      <c r="AV19" s="18"/>
      <c r="AW19" s="1"/>
      <c r="AX19" s="1"/>
      <c r="AY19" s="13"/>
      <c r="AZ19" s="18"/>
      <c r="BA19" s="1"/>
      <c r="BB19" s="1"/>
      <c r="BC19" s="13"/>
      <c r="BD19" s="18"/>
    </row>
    <row r="20" spans="1:56" ht="15">
      <c r="A20" s="36"/>
      <c r="B20" s="24" t="s">
        <v>567</v>
      </c>
      <c r="C20" s="37"/>
      <c r="D20" s="37"/>
      <c r="E20" s="1"/>
      <c r="F20" s="37"/>
      <c r="G20" s="38"/>
      <c r="H20" s="1"/>
      <c r="I20" s="44"/>
      <c r="K20" s="1"/>
      <c r="L20" s="18"/>
      <c r="AQ20" s="13"/>
      <c r="AR20" s="18"/>
      <c r="AS20" s="1"/>
      <c r="AT20" s="1"/>
      <c r="AU20" s="13"/>
      <c r="AV20" s="18"/>
      <c r="AW20" s="1"/>
      <c r="AX20" s="1"/>
      <c r="AY20" s="13"/>
      <c r="AZ20" s="18"/>
      <c r="BA20" s="1"/>
      <c r="BB20" s="1"/>
      <c r="BC20" s="13"/>
      <c r="BD20" s="18"/>
    </row>
    <row r="21" spans="1:56" ht="15">
      <c r="A21" s="36"/>
      <c r="B21" s="24"/>
      <c r="C21" s="93"/>
      <c r="D21" s="37"/>
      <c r="E21" s="1"/>
      <c r="F21" s="37"/>
      <c r="G21" s="38"/>
      <c r="H21" s="1"/>
      <c r="I21" s="44"/>
      <c r="K21" s="1"/>
      <c r="L21" s="18"/>
      <c r="AQ21" s="13"/>
      <c r="AR21" s="18"/>
      <c r="AS21" s="1"/>
      <c r="AT21" s="1"/>
      <c r="AU21" s="13"/>
      <c r="AV21" s="18"/>
      <c r="AW21" s="1"/>
      <c r="AX21" s="1"/>
      <c r="AY21" s="13"/>
      <c r="AZ21" s="18"/>
      <c r="BA21" s="1"/>
      <c r="BB21" s="1"/>
      <c r="BC21" s="13"/>
      <c r="BD21" s="18"/>
    </row>
    <row r="22" spans="1:56">
      <c r="A22" s="36"/>
      <c r="B22" s="42" t="s">
        <v>568</v>
      </c>
      <c r="D22" s="93"/>
      <c r="E22" s="1"/>
      <c r="F22" s="37"/>
      <c r="G22" s="38"/>
      <c r="H22" s="1"/>
      <c r="I22" s="37"/>
      <c r="K22" s="1"/>
      <c r="L22" s="18"/>
      <c r="AQ22" s="13"/>
      <c r="AR22" s="18"/>
      <c r="AS22" s="1"/>
      <c r="AT22" s="1"/>
      <c r="AU22" s="13"/>
      <c r="AV22" s="18"/>
      <c r="AW22" s="1"/>
      <c r="AX22" s="1"/>
      <c r="AY22" s="13"/>
      <c r="AZ22" s="18"/>
      <c r="BA22" s="1"/>
      <c r="BB22" s="1"/>
      <c r="BC22" s="13"/>
      <c r="BD22" s="18"/>
    </row>
    <row r="23" spans="1:56">
      <c r="B23" s="24" t="s">
        <v>569</v>
      </c>
      <c r="C23" s="93"/>
      <c r="D23" s="93"/>
      <c r="E23" s="1"/>
      <c r="F23" s="37"/>
      <c r="G23" s="38"/>
      <c r="H23" s="1"/>
      <c r="I23" s="37"/>
      <c r="J23" s="31"/>
      <c r="K23" s="1"/>
      <c r="L23" s="18"/>
      <c r="AQ23" s="13"/>
      <c r="AR23" s="18"/>
      <c r="AS23" s="1"/>
      <c r="AT23" s="1"/>
      <c r="AU23" s="13"/>
      <c r="AV23" s="18"/>
      <c r="AW23" s="1"/>
      <c r="AX23" s="1"/>
      <c r="AY23" s="13"/>
      <c r="AZ23" s="18"/>
      <c r="BA23" s="1"/>
      <c r="BB23" s="1"/>
      <c r="BC23" s="13"/>
      <c r="BD23" s="18"/>
    </row>
    <row r="24" spans="1:56">
      <c r="A24" s="36"/>
      <c r="B24" s="94"/>
      <c r="C24" s="93"/>
      <c r="D24" s="93"/>
      <c r="E24" s="1"/>
      <c r="F24" s="37"/>
      <c r="G24" s="38"/>
      <c r="H24" s="1"/>
      <c r="I24" s="37"/>
      <c r="J24" s="31"/>
      <c r="K24" s="1"/>
      <c r="L24" s="18"/>
      <c r="AQ24" s="13"/>
      <c r="AR24" s="18"/>
      <c r="AS24" s="1"/>
      <c r="AT24" s="1"/>
      <c r="AU24" s="13"/>
      <c r="AV24" s="18"/>
      <c r="AW24" s="1"/>
      <c r="AX24" s="1"/>
      <c r="AY24" s="13"/>
      <c r="AZ24" s="18"/>
      <c r="BA24" s="1"/>
      <c r="BB24" s="1"/>
      <c r="BC24" s="13"/>
      <c r="BD24" s="18"/>
    </row>
    <row r="25" spans="1:56">
      <c r="A25" s="36"/>
      <c r="B25" s="42" t="s">
        <v>570</v>
      </c>
      <c r="C25" s="93"/>
      <c r="D25" s="93"/>
      <c r="E25" s="1"/>
      <c r="F25" s="37"/>
      <c r="G25" s="38"/>
      <c r="H25" s="1"/>
      <c r="I25" s="37"/>
      <c r="J25" s="31"/>
      <c r="K25" s="1"/>
      <c r="L25" s="18"/>
      <c r="AQ25" s="13"/>
      <c r="AR25" s="18"/>
      <c r="AS25" s="1"/>
      <c r="AT25" s="1"/>
      <c r="AU25" s="13"/>
      <c r="AV25" s="18"/>
      <c r="AW25" s="1"/>
      <c r="AX25" s="1"/>
      <c r="AY25" s="13"/>
      <c r="AZ25" s="18"/>
      <c r="BA25" s="1"/>
      <c r="BB25" s="1"/>
      <c r="BC25" s="13"/>
      <c r="BD25" s="18"/>
    </row>
    <row r="26" spans="1:56" ht="14.1" customHeight="1">
      <c r="A26" s="36"/>
      <c r="B26" s="95" t="s">
        <v>571</v>
      </c>
      <c r="C26" s="24"/>
      <c r="D26" s="24"/>
      <c r="E26" s="1"/>
      <c r="F26" s="37"/>
      <c r="G26" s="38"/>
      <c r="H26" s="1"/>
      <c r="I26" s="37"/>
      <c r="J26" s="31"/>
      <c r="K26" s="1"/>
      <c r="L26" s="18"/>
      <c r="AQ26" s="13"/>
      <c r="AR26" s="18"/>
      <c r="AS26" s="1"/>
      <c r="AT26" s="1"/>
      <c r="AU26" s="13"/>
      <c r="AV26" s="18"/>
      <c r="AW26" s="1"/>
      <c r="AX26" s="1"/>
      <c r="AY26" s="13"/>
      <c r="AZ26" s="18"/>
      <c r="BA26" s="1"/>
      <c r="BB26" s="1"/>
      <c r="BC26" s="13"/>
      <c r="BD26" s="18"/>
    </row>
    <row r="27" spans="1:56">
      <c r="A27" s="36"/>
      <c r="B27" s="36"/>
      <c r="C27" s="37"/>
      <c r="D27" s="37"/>
      <c r="E27" s="1"/>
      <c r="F27" s="37"/>
      <c r="G27" s="38"/>
      <c r="H27" s="1"/>
      <c r="I27" s="37"/>
      <c r="J27" s="31"/>
      <c r="K27" s="1"/>
      <c r="L27" s="18"/>
      <c r="AQ27" s="13"/>
      <c r="AR27" s="18"/>
      <c r="AS27" s="1"/>
      <c r="AT27" s="1"/>
      <c r="AU27" s="13"/>
      <c r="AV27" s="18"/>
      <c r="AW27" s="1"/>
      <c r="AX27" s="1"/>
      <c r="AY27" s="13"/>
      <c r="AZ27" s="18"/>
      <c r="BA27" s="1"/>
      <c r="BB27" s="1"/>
      <c r="BC27" s="13"/>
      <c r="BD27" s="18"/>
    </row>
    <row r="28" spans="1:56">
      <c r="A28" s="24"/>
      <c r="B28" s="20"/>
      <c r="C28" s="37"/>
      <c r="D28" s="37"/>
      <c r="E28" s="1"/>
      <c r="F28" s="37"/>
      <c r="G28" s="38"/>
      <c r="H28" s="1"/>
      <c r="I28" s="37"/>
      <c r="J28" s="154"/>
      <c r="K28" s="1"/>
      <c r="L28" s="18"/>
      <c r="M28" s="1"/>
      <c r="N28" s="1"/>
      <c r="O28" s="1"/>
      <c r="P28" s="1"/>
      <c r="Q28" s="1"/>
      <c r="R28" s="1"/>
      <c r="S28" s="13"/>
      <c r="T28" s="18"/>
      <c r="U28" s="1"/>
      <c r="V28" s="1"/>
      <c r="W28" s="13"/>
      <c r="X28" s="18"/>
      <c r="Y28" s="1"/>
      <c r="Z28" s="1"/>
      <c r="AA28" s="13"/>
      <c r="AB28" s="18"/>
      <c r="AC28" s="1"/>
      <c r="AD28" s="1"/>
      <c r="AE28" s="13"/>
      <c r="AF28" s="18"/>
      <c r="AG28" s="1"/>
      <c r="AH28" s="1"/>
      <c r="AI28" s="13"/>
      <c r="AJ28" s="18"/>
      <c r="AK28" s="1"/>
      <c r="AL28" s="1"/>
      <c r="AM28" s="13"/>
      <c r="AN28" s="18"/>
      <c r="AO28" s="1"/>
      <c r="AP28" s="1"/>
      <c r="AQ28" s="13"/>
      <c r="AR28" s="18"/>
      <c r="AS28" s="1"/>
      <c r="AT28" s="1"/>
      <c r="AU28" s="13"/>
      <c r="AV28" s="18"/>
      <c r="AW28" s="1"/>
      <c r="AX28" s="1"/>
      <c r="AY28" s="13"/>
      <c r="AZ28" s="18"/>
      <c r="BA28" s="1"/>
      <c r="BB28" s="1"/>
      <c r="BC28" s="13"/>
      <c r="BD28" s="18"/>
    </row>
    <row r="29" spans="1:56">
      <c r="A29" s="30"/>
      <c r="B29" s="20" t="s">
        <v>572</v>
      </c>
      <c r="C29" s="37">
        <f>Summary!E11-Summary!E34-C11</f>
        <v>0</v>
      </c>
      <c r="D29" s="37"/>
      <c r="E29" s="1"/>
      <c r="F29" s="37">
        <f>Summary!J11-'Schedule H1'!F11</f>
        <v>0</v>
      </c>
      <c r="G29" s="38"/>
      <c r="H29" s="1"/>
      <c r="I29" s="37">
        <f>Summary!O11-'Schedule H1'!I11</f>
        <v>0</v>
      </c>
      <c r="J29" s="154"/>
      <c r="K29" s="1"/>
      <c r="L29" s="18"/>
      <c r="M29" s="1"/>
      <c r="N29" s="1"/>
      <c r="O29" s="1"/>
      <c r="P29" s="1"/>
      <c r="Q29" s="1"/>
      <c r="R29" s="1"/>
      <c r="S29" s="13"/>
      <c r="T29" s="18"/>
      <c r="U29" s="1"/>
      <c r="V29" s="1"/>
      <c r="W29" s="13"/>
      <c r="X29" s="18"/>
      <c r="Y29" s="1"/>
      <c r="Z29" s="1"/>
      <c r="AA29" s="13"/>
      <c r="AB29" s="18"/>
      <c r="AC29" s="1"/>
      <c r="AD29" s="1"/>
      <c r="AE29" s="13"/>
      <c r="AF29" s="18"/>
      <c r="AG29" s="1"/>
      <c r="AH29" s="1"/>
      <c r="AI29" s="13"/>
      <c r="AJ29" s="18"/>
      <c r="AK29" s="1"/>
      <c r="AL29" s="1"/>
      <c r="AM29" s="13"/>
      <c r="AN29" s="18"/>
      <c r="AO29" s="1"/>
      <c r="AP29" s="1"/>
      <c r="AQ29" s="13"/>
      <c r="AR29" s="18"/>
      <c r="AS29" s="1"/>
      <c r="AT29" s="1"/>
      <c r="AU29" s="13"/>
      <c r="AV29" s="18"/>
      <c r="AW29" s="1"/>
      <c r="AX29" s="1"/>
      <c r="AY29" s="13"/>
      <c r="AZ29" s="18"/>
      <c r="BA29" s="1"/>
      <c r="BB29" s="1"/>
      <c r="BC29" s="13"/>
      <c r="BD29" s="18"/>
    </row>
    <row r="30" spans="1:56">
      <c r="A30" s="30"/>
      <c r="B30" s="20"/>
      <c r="C30" s="43"/>
      <c r="D30" s="37"/>
      <c r="E30" s="1"/>
      <c r="F30" s="37"/>
      <c r="G30" s="43"/>
      <c r="H30" s="1"/>
      <c r="I30" s="37"/>
      <c r="J30" s="13"/>
      <c r="K30" s="1"/>
      <c r="L30" s="18"/>
      <c r="M30" s="1"/>
      <c r="N30" s="1"/>
      <c r="O30" s="1"/>
      <c r="P30" s="1"/>
      <c r="Q30" s="1"/>
      <c r="R30" s="1"/>
      <c r="S30" s="13"/>
      <c r="T30" s="18"/>
      <c r="U30" s="1"/>
      <c r="V30" s="1"/>
      <c r="W30" s="13"/>
      <c r="X30" s="18"/>
      <c r="Y30" s="1"/>
      <c r="Z30" s="1"/>
      <c r="AA30" s="13"/>
      <c r="AB30" s="18"/>
      <c r="AC30" s="1"/>
      <c r="AD30" s="1"/>
      <c r="AE30" s="13"/>
      <c r="AF30" s="18"/>
      <c r="AG30" s="1"/>
      <c r="AH30" s="1"/>
      <c r="AI30" s="13"/>
      <c r="AJ30" s="18"/>
      <c r="AK30" s="1"/>
      <c r="AL30" s="1"/>
      <c r="AM30" s="13"/>
      <c r="AN30" s="18"/>
      <c r="AO30" s="1"/>
      <c r="AP30" s="1"/>
      <c r="AQ30" s="13"/>
      <c r="AR30" s="18"/>
      <c r="AS30" s="1"/>
      <c r="AT30" s="1"/>
      <c r="AU30" s="13"/>
      <c r="AV30" s="18"/>
      <c r="AW30" s="1"/>
      <c r="AX30" s="1"/>
      <c r="AY30" s="13"/>
      <c r="AZ30" s="18"/>
      <c r="BA30" s="1"/>
      <c r="BB30" s="1"/>
      <c r="BC30" s="13"/>
      <c r="BD30" s="18"/>
    </row>
    <row r="31" spans="1:56">
      <c r="A31" s="30"/>
      <c r="B31" s="4" t="s">
        <v>573</v>
      </c>
      <c r="C31" s="299">
        <f>[6]A1!$G$56*1000</f>
        <v>11122000</v>
      </c>
      <c r="D31" s="37"/>
      <c r="E31" s="1"/>
      <c r="F31" s="37"/>
      <c r="G31" s="43"/>
      <c r="H31" s="1"/>
      <c r="I31" s="37"/>
      <c r="J31" s="13"/>
      <c r="K31" s="1"/>
      <c r="L31" s="18"/>
      <c r="M31" s="1"/>
      <c r="N31" s="1"/>
      <c r="O31" s="1"/>
      <c r="P31" s="1"/>
      <c r="Q31" s="1"/>
      <c r="R31" s="1"/>
      <c r="S31" s="13"/>
      <c r="T31" s="18"/>
      <c r="U31" s="1"/>
      <c r="V31" s="1"/>
      <c r="W31" s="13"/>
      <c r="X31" s="18"/>
      <c r="Y31" s="1"/>
      <c r="Z31" s="1"/>
      <c r="AA31" s="13"/>
      <c r="AB31" s="18"/>
      <c r="AC31" s="1"/>
      <c r="AD31" s="1"/>
      <c r="AE31" s="13"/>
      <c r="AF31" s="18"/>
      <c r="AG31" s="1"/>
      <c r="AH31" s="1"/>
      <c r="AI31" s="13"/>
      <c r="AJ31" s="18"/>
      <c r="AK31" s="1"/>
      <c r="AL31" s="1"/>
      <c r="AM31" s="13"/>
      <c r="AN31" s="18"/>
      <c r="AO31" s="1"/>
      <c r="AP31" s="1"/>
      <c r="AQ31" s="13"/>
      <c r="AR31" s="18"/>
      <c r="AS31" s="1"/>
      <c r="AT31" s="1"/>
      <c r="AU31" s="13"/>
      <c r="AV31" s="18"/>
      <c r="AW31" s="1"/>
      <c r="AX31" s="1"/>
      <c r="AY31" s="13"/>
      <c r="AZ31" s="18"/>
      <c r="BA31" s="1"/>
      <c r="BB31" s="1"/>
      <c r="BC31" s="13"/>
      <c r="BD31" s="18"/>
    </row>
    <row r="32" spans="1:56">
      <c r="A32" s="36"/>
      <c r="B32" s="4" t="s">
        <v>48</v>
      </c>
      <c r="C32" s="23">
        <f>G15-C31</f>
        <v>-1393836.7061282247</v>
      </c>
      <c r="D32" s="37"/>
      <c r="E32" s="1"/>
      <c r="F32" s="37"/>
      <c r="G32" s="38"/>
      <c r="H32" s="1"/>
      <c r="I32" s="37"/>
      <c r="J32" s="31"/>
      <c r="K32" s="1"/>
      <c r="L32" s="18"/>
      <c r="M32" s="1"/>
      <c r="N32" s="1"/>
      <c r="O32" s="1"/>
      <c r="P32" s="1"/>
      <c r="Q32" s="1"/>
      <c r="R32" s="1"/>
      <c r="S32" s="13"/>
      <c r="T32" s="18"/>
      <c r="U32" s="1"/>
      <c r="V32" s="1"/>
      <c r="W32" s="13"/>
      <c r="X32" s="18"/>
      <c r="Y32" s="1"/>
      <c r="Z32" s="1"/>
      <c r="AA32" s="13"/>
      <c r="AB32" s="18"/>
      <c r="AC32" s="1"/>
      <c r="AD32" s="1"/>
      <c r="AE32" s="13"/>
      <c r="AF32" s="18"/>
      <c r="AG32" s="1"/>
      <c r="AH32" s="1"/>
      <c r="AI32" s="13"/>
      <c r="AJ32" s="18"/>
      <c r="AK32" s="1"/>
      <c r="AL32" s="1"/>
      <c r="AM32" s="13"/>
      <c r="AN32" s="18"/>
      <c r="AO32" s="1"/>
      <c r="AP32" s="1"/>
      <c r="AQ32" s="13"/>
      <c r="AR32" s="18"/>
      <c r="AS32" s="1"/>
      <c r="AT32" s="1"/>
      <c r="AU32" s="13"/>
      <c r="AV32" s="18"/>
      <c r="AW32" s="1"/>
      <c r="AX32" s="1"/>
      <c r="AY32" s="13"/>
      <c r="AZ32" s="18"/>
      <c r="BA32" s="1"/>
      <c r="BB32" s="1"/>
      <c r="BC32" s="13"/>
      <c r="BD32" s="18"/>
    </row>
    <row r="33" spans="1:56" ht="15">
      <c r="A33" s="36"/>
      <c r="B33" s="20" t="s">
        <v>574</v>
      </c>
      <c r="C33"/>
      <c r="D33" s="37"/>
      <c r="E33" s="1"/>
      <c r="F33" s="37"/>
      <c r="G33" s="38"/>
      <c r="H33" s="1"/>
      <c r="I33" s="37"/>
      <c r="J33" s="31"/>
      <c r="K33" s="1"/>
      <c r="L33" s="18"/>
      <c r="M33" s="1"/>
      <c r="N33" s="1"/>
      <c r="O33" s="1"/>
      <c r="P33" s="1"/>
      <c r="Q33" s="1"/>
      <c r="R33" s="1"/>
      <c r="S33" s="13"/>
      <c r="T33" s="18"/>
      <c r="U33" s="1"/>
      <c r="V33" s="1"/>
      <c r="W33" s="13"/>
      <c r="X33" s="18"/>
      <c r="Y33" s="1"/>
      <c r="Z33" s="1"/>
      <c r="AA33" s="13"/>
      <c r="AB33" s="18"/>
      <c r="AC33" s="1"/>
      <c r="AD33" s="1"/>
      <c r="AE33" s="13"/>
      <c r="AF33" s="18"/>
      <c r="AG33" s="1"/>
      <c r="AH33" s="1"/>
      <c r="AI33" s="13"/>
      <c r="AJ33" s="18"/>
      <c r="AK33" s="1"/>
      <c r="AL33" s="1"/>
      <c r="AM33" s="13"/>
      <c r="AN33" s="18"/>
      <c r="AO33" s="1"/>
      <c r="AP33" s="1"/>
      <c r="AQ33" s="13"/>
      <c r="AR33" s="18"/>
      <c r="AS33" s="1"/>
      <c r="AT33" s="1"/>
      <c r="AU33" s="13"/>
      <c r="AV33" s="18"/>
      <c r="AW33" s="1"/>
      <c r="AX33" s="1"/>
      <c r="AY33" s="13"/>
      <c r="AZ33" s="18"/>
      <c r="BA33" s="1"/>
      <c r="BB33" s="1"/>
      <c r="BC33" s="13"/>
      <c r="BD33" s="18"/>
    </row>
    <row r="34" spans="1:56">
      <c r="A34" s="36"/>
      <c r="B34" s="36"/>
      <c r="C34" s="37"/>
      <c r="D34" s="37"/>
      <c r="E34" s="1"/>
      <c r="F34" s="37"/>
      <c r="G34" s="38"/>
      <c r="H34" s="1"/>
      <c r="I34" s="37"/>
      <c r="J34" s="31"/>
      <c r="K34" s="1"/>
      <c r="L34" s="18"/>
      <c r="M34" s="1"/>
      <c r="N34" s="1"/>
      <c r="O34" s="1"/>
      <c r="P34" s="1"/>
      <c r="Q34" s="1"/>
      <c r="R34" s="1"/>
      <c r="S34" s="13"/>
      <c r="T34" s="18"/>
      <c r="U34" s="1"/>
      <c r="V34" s="1"/>
      <c r="W34" s="13"/>
      <c r="X34" s="18"/>
      <c r="Y34" s="1"/>
      <c r="Z34" s="1"/>
      <c r="AA34" s="13"/>
      <c r="AB34" s="18"/>
      <c r="AC34" s="1"/>
      <c r="AD34" s="1"/>
      <c r="AE34" s="13"/>
      <c r="AF34" s="18"/>
      <c r="AG34" s="1"/>
      <c r="AH34" s="1"/>
      <c r="AI34" s="13"/>
      <c r="AJ34" s="18"/>
      <c r="AK34" s="1"/>
      <c r="AL34" s="1"/>
      <c r="AM34" s="13"/>
      <c r="AN34" s="18"/>
      <c r="AO34" s="1"/>
      <c r="AP34" s="1"/>
      <c r="AQ34" s="13"/>
      <c r="AR34" s="18"/>
      <c r="AS34" s="1"/>
      <c r="AT34" s="1"/>
      <c r="AU34" s="13"/>
      <c r="AV34" s="18"/>
      <c r="AW34" s="1"/>
      <c r="AX34" s="1"/>
      <c r="AY34" s="13"/>
      <c r="AZ34" s="18"/>
      <c r="BA34" s="1"/>
      <c r="BB34" s="1"/>
      <c r="BC34" s="13"/>
      <c r="BD34" s="18"/>
    </row>
    <row r="35" spans="1:56">
      <c r="A35" s="36"/>
      <c r="B35" s="36"/>
      <c r="C35" s="37"/>
      <c r="D35" s="37"/>
      <c r="E35" s="1"/>
      <c r="F35" s="37"/>
      <c r="G35" s="38"/>
      <c r="H35" s="1"/>
      <c r="I35" s="37"/>
      <c r="J35" s="31"/>
      <c r="K35" s="1"/>
      <c r="L35" s="18"/>
      <c r="M35" s="1"/>
      <c r="N35" s="1"/>
      <c r="O35" s="1"/>
      <c r="P35" s="1"/>
      <c r="Q35" s="1"/>
      <c r="R35" s="1"/>
      <c r="S35" s="13"/>
      <c r="T35" s="18"/>
      <c r="U35" s="1"/>
      <c r="V35" s="1"/>
      <c r="W35" s="13"/>
      <c r="X35" s="18"/>
      <c r="Y35" s="1"/>
      <c r="Z35" s="1"/>
      <c r="AA35" s="13"/>
      <c r="AB35" s="18"/>
      <c r="AC35" s="1"/>
      <c r="AD35" s="1"/>
      <c r="AE35" s="13"/>
      <c r="AF35" s="18"/>
      <c r="AG35" s="1"/>
      <c r="AH35" s="1"/>
      <c r="AI35" s="13"/>
      <c r="AJ35" s="18"/>
      <c r="AK35" s="1"/>
      <c r="AL35" s="1"/>
      <c r="AM35" s="13"/>
      <c r="AN35" s="18"/>
      <c r="AO35" s="1"/>
      <c r="AP35" s="1"/>
      <c r="AQ35" s="13"/>
      <c r="AR35" s="18"/>
      <c r="AS35" s="1"/>
      <c r="AT35" s="1"/>
      <c r="AU35" s="13"/>
      <c r="AV35" s="18"/>
      <c r="AW35" s="1"/>
      <c r="AX35" s="1"/>
      <c r="AY35" s="13"/>
      <c r="AZ35" s="18"/>
      <c r="BA35" s="1"/>
      <c r="BB35" s="1"/>
      <c r="BC35" s="13"/>
      <c r="BD35" s="18"/>
    </row>
    <row r="36" spans="1:56">
      <c r="A36" s="36"/>
      <c r="B36" s="36"/>
      <c r="C36" s="37"/>
      <c r="D36" s="37"/>
      <c r="E36" s="1"/>
      <c r="F36" s="37"/>
      <c r="G36" s="38"/>
      <c r="H36" s="1"/>
      <c r="I36" s="37"/>
      <c r="J36" s="31"/>
      <c r="K36" s="1"/>
      <c r="L36" s="18"/>
      <c r="M36" s="1"/>
      <c r="N36" s="1"/>
      <c r="O36" s="1"/>
      <c r="P36" s="1"/>
      <c r="Q36" s="1"/>
      <c r="R36" s="1"/>
      <c r="S36" s="13"/>
      <c r="T36" s="18"/>
      <c r="U36" s="1"/>
      <c r="V36" s="1"/>
      <c r="W36" s="13"/>
      <c r="X36" s="18"/>
      <c r="Y36" s="1"/>
      <c r="Z36" s="1"/>
      <c r="AA36" s="13"/>
      <c r="AB36" s="18"/>
      <c r="AC36" s="1"/>
      <c r="AD36" s="1"/>
      <c r="AE36" s="13"/>
      <c r="AF36" s="18"/>
      <c r="AG36" s="1"/>
      <c r="AH36" s="1"/>
      <c r="AI36" s="13"/>
      <c r="AJ36" s="18"/>
      <c r="AK36" s="1"/>
      <c r="AL36" s="1"/>
      <c r="AM36" s="13"/>
      <c r="AN36" s="18"/>
      <c r="AO36" s="1"/>
      <c r="AP36" s="1"/>
      <c r="AQ36" s="13"/>
      <c r="AR36" s="18"/>
      <c r="AS36" s="1"/>
      <c r="AT36" s="1"/>
      <c r="AU36" s="13"/>
      <c r="AV36" s="18"/>
      <c r="AW36" s="1"/>
      <c r="AX36" s="1"/>
      <c r="AY36" s="13"/>
      <c r="AZ36" s="18"/>
      <c r="BA36" s="1"/>
      <c r="BB36" s="1"/>
      <c r="BC36" s="13"/>
      <c r="BD36" s="18"/>
    </row>
    <row r="37" spans="1:56">
      <c r="A37" s="36"/>
      <c r="B37" s="36"/>
      <c r="C37" s="37"/>
      <c r="D37" s="37"/>
      <c r="E37" s="1"/>
      <c r="F37" s="37"/>
      <c r="G37" s="38"/>
      <c r="H37" s="1"/>
      <c r="I37" s="37"/>
      <c r="J37" s="31"/>
      <c r="K37" s="1"/>
      <c r="L37" s="18"/>
      <c r="M37" s="1"/>
      <c r="N37" s="1"/>
      <c r="O37" s="1"/>
      <c r="P37" s="1"/>
      <c r="Q37" s="1"/>
      <c r="R37" s="1"/>
      <c r="S37" s="13"/>
      <c r="T37" s="18"/>
      <c r="U37" s="1"/>
      <c r="V37" s="1"/>
      <c r="W37" s="13"/>
      <c r="X37" s="18"/>
      <c r="Y37" s="1"/>
      <c r="Z37" s="1"/>
      <c r="AA37" s="13"/>
      <c r="AB37" s="18"/>
      <c r="AC37" s="1"/>
      <c r="AD37" s="1"/>
      <c r="AE37" s="13"/>
      <c r="AF37" s="18"/>
      <c r="AG37" s="1"/>
      <c r="AH37" s="1"/>
      <c r="AI37" s="13"/>
      <c r="AJ37" s="18"/>
      <c r="AK37" s="1"/>
      <c r="AL37" s="1"/>
      <c r="AM37" s="13"/>
      <c r="AN37" s="18"/>
      <c r="AO37" s="1"/>
      <c r="AP37" s="1"/>
      <c r="AQ37" s="13"/>
      <c r="AR37" s="18"/>
      <c r="AS37" s="1"/>
      <c r="AT37" s="1"/>
      <c r="AU37" s="13"/>
      <c r="AV37" s="18"/>
      <c r="AW37" s="1"/>
      <c r="AX37" s="1"/>
      <c r="AY37" s="13"/>
      <c r="AZ37" s="18"/>
      <c r="BA37" s="1"/>
      <c r="BB37" s="1"/>
      <c r="BC37" s="13"/>
      <c r="BD37" s="18"/>
    </row>
    <row r="38" spans="1:56">
      <c r="A38" s="36"/>
      <c r="B38" s="36"/>
      <c r="C38" s="37"/>
      <c r="D38" s="37"/>
      <c r="E38" s="1"/>
      <c r="F38" s="37"/>
      <c r="G38" s="38"/>
      <c r="H38" s="1"/>
      <c r="I38" s="37"/>
      <c r="J38" s="31"/>
      <c r="K38" s="1"/>
      <c r="L38" s="18"/>
      <c r="M38" s="1"/>
      <c r="N38" s="1"/>
      <c r="O38" s="1"/>
      <c r="P38" s="1"/>
      <c r="Q38" s="1"/>
      <c r="R38" s="1"/>
      <c r="S38" s="13"/>
      <c r="T38" s="18"/>
      <c r="U38" s="1"/>
      <c r="V38" s="1"/>
      <c r="W38" s="13"/>
      <c r="X38" s="18"/>
      <c r="Y38" s="1"/>
      <c r="Z38" s="1"/>
      <c r="AA38" s="13"/>
      <c r="AB38" s="18"/>
      <c r="AC38" s="1"/>
      <c r="AD38" s="1"/>
      <c r="AE38" s="13"/>
      <c r="AF38" s="18"/>
      <c r="AG38" s="1"/>
      <c r="AH38" s="1"/>
      <c r="AI38" s="13"/>
      <c r="AJ38" s="18"/>
      <c r="AK38" s="1"/>
      <c r="AL38" s="1"/>
      <c r="AM38" s="13"/>
      <c r="AN38" s="18"/>
      <c r="AO38" s="1"/>
      <c r="AP38" s="1"/>
      <c r="AQ38" s="13"/>
      <c r="AR38" s="18"/>
      <c r="AS38" s="1"/>
      <c r="AT38" s="1"/>
      <c r="AU38" s="13"/>
      <c r="AV38" s="18"/>
      <c r="AW38" s="1"/>
      <c r="AX38" s="1"/>
      <c r="AY38" s="13"/>
      <c r="AZ38" s="18"/>
      <c r="BA38" s="1"/>
      <c r="BB38" s="1"/>
      <c r="BC38" s="13"/>
      <c r="BD38" s="18"/>
    </row>
    <row r="39" spans="1:56">
      <c r="A39" s="36"/>
      <c r="B39" s="36"/>
      <c r="C39" s="37"/>
      <c r="D39" s="37"/>
      <c r="E39" s="1"/>
      <c r="F39" s="37"/>
      <c r="G39" s="43"/>
      <c r="H39" s="1"/>
      <c r="I39" s="37"/>
      <c r="J39" s="31"/>
      <c r="K39" s="1"/>
      <c r="L39" s="18"/>
      <c r="M39" s="1"/>
      <c r="N39" s="1"/>
      <c r="O39" s="1"/>
      <c r="P39" s="1"/>
      <c r="Q39" s="1"/>
      <c r="R39" s="1"/>
      <c r="S39" s="13"/>
      <c r="T39" s="18"/>
      <c r="U39" s="1"/>
      <c r="V39" s="1"/>
      <c r="W39" s="13"/>
      <c r="X39" s="18"/>
      <c r="Y39" s="1"/>
      <c r="Z39" s="1"/>
      <c r="AA39" s="13"/>
      <c r="AB39" s="18"/>
      <c r="AC39" s="1"/>
      <c r="AD39" s="1"/>
      <c r="AE39" s="13"/>
      <c r="AF39" s="18"/>
      <c r="AG39" s="1"/>
      <c r="AH39" s="1"/>
      <c r="AI39" s="13"/>
      <c r="AJ39" s="18"/>
      <c r="AK39" s="1"/>
      <c r="AL39" s="1"/>
      <c r="AM39" s="13"/>
      <c r="AN39" s="18"/>
      <c r="AO39" s="1"/>
      <c r="AP39" s="1"/>
      <c r="AQ39" s="13"/>
      <c r="AR39" s="18"/>
      <c r="AS39" s="1"/>
      <c r="AT39" s="1"/>
      <c r="AU39" s="13"/>
      <c r="AV39" s="18"/>
      <c r="AW39" s="1"/>
      <c r="AX39" s="1"/>
      <c r="AY39" s="13"/>
      <c r="AZ39" s="18"/>
      <c r="BA39" s="1"/>
      <c r="BB39" s="1"/>
      <c r="BC39" s="13"/>
      <c r="BD39" s="18"/>
    </row>
    <row r="40" spans="1:56">
      <c r="A40" s="36"/>
      <c r="B40" s="36"/>
      <c r="C40" s="37"/>
      <c r="D40" s="37"/>
      <c r="E40" s="1"/>
      <c r="F40" s="37"/>
      <c r="G40" s="43"/>
      <c r="H40" s="1"/>
      <c r="I40" s="37"/>
      <c r="J40" s="31"/>
      <c r="K40" s="1"/>
      <c r="L40" s="18"/>
      <c r="M40" s="1"/>
      <c r="N40" s="1"/>
      <c r="O40" s="1"/>
      <c r="P40" s="1"/>
      <c r="Q40" s="1"/>
      <c r="R40" s="1"/>
      <c r="S40" s="13"/>
      <c r="T40" s="18"/>
      <c r="U40" s="1"/>
      <c r="V40" s="1"/>
      <c r="W40" s="13"/>
      <c r="X40" s="18"/>
      <c r="Y40" s="1"/>
      <c r="Z40" s="1"/>
      <c r="AA40" s="13"/>
      <c r="AB40" s="18"/>
      <c r="AC40" s="1"/>
      <c r="AD40" s="1"/>
      <c r="AE40" s="13"/>
      <c r="AF40" s="18"/>
      <c r="AG40" s="1"/>
      <c r="AH40" s="1"/>
      <c r="AI40" s="13"/>
      <c r="AJ40" s="18"/>
      <c r="AK40" s="1"/>
      <c r="AL40" s="1"/>
      <c r="AM40" s="13"/>
      <c r="AN40" s="18"/>
      <c r="AO40" s="1"/>
      <c r="AP40" s="1"/>
      <c r="AQ40" s="13"/>
      <c r="AR40" s="18"/>
      <c r="AS40" s="1"/>
      <c r="AT40" s="1"/>
      <c r="AU40" s="13"/>
      <c r="AV40" s="18"/>
      <c r="AW40" s="1"/>
      <c r="AX40" s="1"/>
      <c r="AY40" s="13"/>
      <c r="AZ40" s="18"/>
      <c r="BA40" s="1"/>
      <c r="BB40" s="1"/>
      <c r="BC40" s="13"/>
      <c r="BD40" s="18"/>
    </row>
    <row r="41" spans="1:56">
      <c r="A41" s="36"/>
      <c r="B41" s="20"/>
      <c r="C41" s="43"/>
      <c r="D41" s="37"/>
      <c r="E41" s="1"/>
      <c r="F41" s="37"/>
      <c r="G41" s="43"/>
      <c r="H41" s="1"/>
      <c r="I41" s="37"/>
      <c r="J41" s="13"/>
      <c r="K41" s="1"/>
      <c r="L41" s="18"/>
      <c r="M41" s="1"/>
      <c r="N41" s="1"/>
      <c r="O41" s="1"/>
      <c r="P41" s="1"/>
      <c r="Q41" s="1"/>
      <c r="R41" s="1"/>
      <c r="S41" s="13"/>
      <c r="T41" s="18"/>
      <c r="U41" s="1"/>
      <c r="V41" s="1"/>
      <c r="W41" s="13"/>
      <c r="X41" s="18"/>
      <c r="Y41" s="1"/>
      <c r="Z41" s="1"/>
      <c r="AA41" s="13"/>
      <c r="AB41" s="18"/>
      <c r="AC41" s="1"/>
      <c r="AD41" s="1"/>
      <c r="AE41" s="13"/>
      <c r="AF41" s="18"/>
      <c r="AG41" s="1"/>
      <c r="AH41" s="1"/>
      <c r="AI41" s="13"/>
      <c r="AJ41" s="18"/>
      <c r="AK41" s="1"/>
      <c r="AL41" s="1"/>
      <c r="AM41" s="13"/>
      <c r="AN41" s="18"/>
      <c r="AO41" s="1"/>
      <c r="AP41" s="1"/>
      <c r="AQ41" s="13"/>
      <c r="AR41" s="18"/>
      <c r="AS41" s="1"/>
      <c r="AT41" s="1"/>
      <c r="AU41" s="13"/>
      <c r="AV41" s="18"/>
      <c r="AW41" s="1"/>
      <c r="AX41" s="1"/>
      <c r="AY41" s="13"/>
      <c r="AZ41" s="18"/>
      <c r="BA41" s="1"/>
      <c r="BB41" s="1"/>
      <c r="BC41" s="13"/>
      <c r="BD41" s="18"/>
    </row>
    <row r="42" spans="1:56">
      <c r="C42" s="37"/>
      <c r="D42" s="37"/>
      <c r="E42" s="1"/>
      <c r="F42" s="37"/>
      <c r="G42" s="43"/>
      <c r="H42" s="1"/>
      <c r="I42" s="37"/>
      <c r="J42" s="13"/>
      <c r="K42" s="1"/>
      <c r="L42" s="18"/>
      <c r="M42" s="1"/>
      <c r="N42" s="1"/>
      <c r="O42" s="1"/>
      <c r="P42" s="1"/>
      <c r="Q42" s="1"/>
      <c r="R42" s="1"/>
      <c r="S42" s="13"/>
      <c r="T42" s="18"/>
      <c r="U42" s="1"/>
      <c r="V42" s="1"/>
      <c r="W42" s="13"/>
      <c r="X42" s="18"/>
      <c r="Y42" s="1"/>
      <c r="Z42" s="1"/>
      <c r="AA42" s="13"/>
      <c r="AB42" s="18"/>
      <c r="AC42" s="1"/>
      <c r="AD42" s="1"/>
      <c r="AE42" s="13"/>
      <c r="AF42" s="18"/>
      <c r="AG42" s="1"/>
      <c r="AH42" s="1"/>
      <c r="AI42" s="13"/>
      <c r="AJ42" s="18"/>
      <c r="AK42" s="1"/>
      <c r="AL42" s="1"/>
      <c r="AM42" s="13"/>
      <c r="AN42" s="18"/>
      <c r="AO42" s="1"/>
      <c r="AP42" s="1"/>
      <c r="AQ42" s="13"/>
      <c r="AR42" s="18"/>
      <c r="AS42" s="1"/>
      <c r="AT42" s="1"/>
      <c r="AU42" s="13"/>
      <c r="AV42" s="18"/>
      <c r="AW42" s="1"/>
      <c r="AX42" s="1"/>
      <c r="AY42" s="13"/>
      <c r="AZ42" s="18"/>
      <c r="BA42" s="1"/>
      <c r="BB42" s="1"/>
      <c r="BC42" s="13"/>
      <c r="BD42" s="18"/>
    </row>
    <row r="43" spans="1:56">
      <c r="C43" s="37"/>
      <c r="D43" s="37"/>
      <c r="E43" s="1"/>
      <c r="F43" s="37"/>
      <c r="G43" s="43"/>
      <c r="H43" s="1"/>
      <c r="I43" s="37"/>
      <c r="J43" s="13"/>
      <c r="K43" s="1"/>
      <c r="L43" s="18"/>
      <c r="M43" s="1"/>
      <c r="N43" s="1"/>
      <c r="O43" s="1"/>
      <c r="P43" s="1"/>
      <c r="Q43" s="1"/>
      <c r="R43" s="1"/>
      <c r="S43" s="13"/>
      <c r="T43" s="18"/>
      <c r="U43" s="1"/>
      <c r="V43" s="1"/>
      <c r="W43" s="13"/>
      <c r="X43" s="18"/>
      <c r="Y43" s="1"/>
      <c r="Z43" s="1"/>
      <c r="AA43" s="13"/>
      <c r="AB43" s="18"/>
      <c r="AC43" s="1"/>
      <c r="AD43" s="1"/>
      <c r="AE43" s="13"/>
      <c r="AF43" s="18"/>
      <c r="AG43" s="1"/>
      <c r="AH43" s="1"/>
      <c r="AI43" s="13"/>
      <c r="AJ43" s="18"/>
      <c r="AK43" s="1"/>
      <c r="AL43" s="1"/>
      <c r="AM43" s="13"/>
      <c r="AN43" s="18"/>
      <c r="AO43" s="1"/>
      <c r="AP43" s="1"/>
      <c r="AQ43" s="13"/>
      <c r="AR43" s="18"/>
      <c r="AS43" s="1"/>
      <c r="AT43" s="1"/>
      <c r="AU43" s="13"/>
      <c r="AV43" s="18"/>
      <c r="AW43" s="1"/>
      <c r="AX43" s="1"/>
      <c r="AY43" s="13"/>
      <c r="AZ43" s="18"/>
      <c r="BA43" s="1"/>
      <c r="BB43" s="1"/>
      <c r="BC43" s="13"/>
      <c r="BD43" s="18"/>
    </row>
    <row r="44" spans="1:56">
      <c r="A44" s="36"/>
      <c r="B44" s="36"/>
      <c r="C44" s="37"/>
      <c r="D44" s="37"/>
      <c r="E44" s="1"/>
      <c r="F44" s="37"/>
      <c r="G44" s="38"/>
      <c r="H44" s="1"/>
      <c r="I44" s="37"/>
      <c r="J44" s="31"/>
      <c r="K44" s="1"/>
      <c r="L44" s="18"/>
      <c r="M44" s="1"/>
      <c r="N44" s="1"/>
      <c r="O44" s="1"/>
      <c r="P44" s="1"/>
      <c r="Q44" s="1"/>
      <c r="R44" s="1"/>
      <c r="S44" s="13"/>
      <c r="T44" s="18"/>
      <c r="U44" s="1"/>
      <c r="V44" s="1"/>
      <c r="W44" s="13"/>
      <c r="X44" s="18"/>
      <c r="Y44" s="1"/>
      <c r="Z44" s="1"/>
      <c r="AA44" s="13"/>
      <c r="AB44" s="18"/>
      <c r="AC44" s="1"/>
      <c r="AD44" s="1"/>
      <c r="AE44" s="13"/>
      <c r="AF44" s="18"/>
      <c r="AG44" s="1"/>
      <c r="AH44" s="1"/>
      <c r="AI44" s="13"/>
      <c r="AJ44" s="18"/>
      <c r="AK44" s="1"/>
      <c r="AL44" s="1"/>
      <c r="AM44" s="13"/>
      <c r="AN44" s="18"/>
      <c r="AO44" s="1"/>
      <c r="AP44" s="1"/>
      <c r="AQ44" s="13"/>
      <c r="AR44" s="18"/>
      <c r="AS44" s="1"/>
      <c r="AT44" s="1"/>
      <c r="AU44" s="13"/>
      <c r="AV44" s="18"/>
      <c r="AW44" s="1"/>
      <c r="AX44" s="1"/>
      <c r="AY44" s="13"/>
      <c r="AZ44" s="18"/>
      <c r="BA44" s="1"/>
      <c r="BB44" s="1"/>
      <c r="BC44" s="13"/>
      <c r="BD44" s="18"/>
    </row>
    <row r="45" spans="1:56">
      <c r="A45" s="36"/>
      <c r="B45" s="36"/>
      <c r="C45" s="37"/>
      <c r="D45" s="37"/>
      <c r="E45" s="1"/>
      <c r="F45" s="37"/>
      <c r="G45" s="38"/>
      <c r="H45" s="1"/>
      <c r="I45" s="37"/>
      <c r="J45" s="31"/>
      <c r="K45" s="1"/>
      <c r="L45" s="18"/>
      <c r="M45" s="1"/>
      <c r="N45" s="1"/>
      <c r="O45" s="1"/>
      <c r="P45" s="1"/>
      <c r="Q45" s="1"/>
      <c r="R45" s="1"/>
      <c r="S45" s="13"/>
      <c r="T45" s="18"/>
      <c r="U45" s="1"/>
      <c r="V45" s="1"/>
      <c r="W45" s="13"/>
      <c r="X45" s="18"/>
      <c r="Y45" s="1"/>
      <c r="Z45" s="1"/>
      <c r="AA45" s="13"/>
      <c r="AB45" s="18"/>
      <c r="AC45" s="1"/>
      <c r="AD45" s="1"/>
      <c r="AE45" s="13"/>
      <c r="AF45" s="18"/>
      <c r="AG45" s="1"/>
      <c r="AH45" s="1"/>
      <c r="AI45" s="13"/>
      <c r="AJ45" s="18"/>
      <c r="AK45" s="1"/>
      <c r="AL45" s="1"/>
      <c r="AM45" s="13"/>
      <c r="AN45" s="18"/>
      <c r="AO45" s="1"/>
      <c r="AP45" s="1"/>
      <c r="AQ45" s="13"/>
      <c r="AR45" s="18"/>
      <c r="AS45" s="1"/>
      <c r="AT45" s="1"/>
      <c r="AU45" s="13"/>
      <c r="AV45" s="18"/>
      <c r="AW45" s="1"/>
      <c r="AX45" s="1"/>
      <c r="AY45" s="13"/>
      <c r="AZ45" s="18"/>
      <c r="BA45" s="1"/>
      <c r="BB45" s="1"/>
      <c r="BC45" s="13"/>
      <c r="BD45" s="18"/>
    </row>
    <row r="46" spans="1:56">
      <c r="A46" s="36"/>
      <c r="B46" s="36"/>
      <c r="C46" s="37"/>
      <c r="D46" s="37"/>
      <c r="E46" s="1"/>
      <c r="F46" s="37"/>
      <c r="G46" s="38"/>
      <c r="H46" s="1"/>
      <c r="I46" s="37"/>
      <c r="J46" s="31"/>
      <c r="K46" s="1"/>
      <c r="L46" s="18"/>
      <c r="M46" s="1"/>
      <c r="N46" s="1"/>
      <c r="O46" s="1"/>
      <c r="P46" s="1"/>
      <c r="Q46" s="1"/>
      <c r="R46" s="1"/>
      <c r="S46" s="13"/>
      <c r="T46" s="18"/>
      <c r="U46" s="1"/>
      <c r="V46" s="1"/>
      <c r="W46" s="13"/>
      <c r="X46" s="18"/>
      <c r="Y46" s="1"/>
      <c r="Z46" s="1"/>
      <c r="AA46" s="13"/>
      <c r="AB46" s="18"/>
      <c r="AC46" s="1"/>
      <c r="AD46" s="1"/>
      <c r="AE46" s="13"/>
      <c r="AF46" s="18"/>
      <c r="AG46" s="1"/>
      <c r="AH46" s="1"/>
      <c r="AI46" s="13"/>
      <c r="AJ46" s="18"/>
      <c r="AK46" s="1"/>
      <c r="AL46" s="1"/>
      <c r="AM46" s="13"/>
      <c r="AN46" s="18"/>
      <c r="AO46" s="1"/>
      <c r="AP46" s="1"/>
      <c r="AQ46" s="13"/>
      <c r="AR46" s="18"/>
      <c r="AS46" s="1"/>
      <c r="AT46" s="1"/>
      <c r="AU46" s="13"/>
      <c r="AV46" s="18"/>
      <c r="AW46" s="1"/>
      <c r="AX46" s="1"/>
      <c r="AY46" s="13"/>
      <c r="AZ46" s="18"/>
      <c r="BA46" s="1"/>
      <c r="BB46" s="1"/>
      <c r="BC46" s="13"/>
      <c r="BD46" s="18"/>
    </row>
    <row r="47" spans="1:56">
      <c r="A47" s="36"/>
      <c r="B47" s="36"/>
      <c r="C47" s="37"/>
      <c r="D47" s="37"/>
      <c r="E47" s="1"/>
      <c r="F47" s="37"/>
      <c r="G47" s="38"/>
      <c r="H47" s="1"/>
      <c r="I47" s="37"/>
      <c r="J47" s="31"/>
      <c r="K47" s="1"/>
      <c r="L47" s="18"/>
      <c r="M47" s="1"/>
      <c r="N47" s="1"/>
      <c r="O47" s="1"/>
      <c r="P47" s="1"/>
      <c r="Q47" s="1"/>
      <c r="R47" s="1"/>
      <c r="S47" s="13"/>
      <c r="T47" s="18"/>
      <c r="U47" s="1"/>
      <c r="V47" s="1"/>
      <c r="W47" s="13"/>
      <c r="X47" s="18"/>
      <c r="Y47" s="1"/>
      <c r="Z47" s="1"/>
      <c r="AA47" s="13"/>
      <c r="AB47" s="18"/>
      <c r="AC47" s="1"/>
      <c r="AD47" s="1"/>
      <c r="AE47" s="13"/>
      <c r="AF47" s="18"/>
      <c r="AG47" s="1"/>
      <c r="AH47" s="1"/>
      <c r="AI47" s="13"/>
      <c r="AJ47" s="18"/>
      <c r="AK47" s="1"/>
      <c r="AL47" s="1"/>
      <c r="AM47" s="13"/>
      <c r="AN47" s="18"/>
      <c r="AO47" s="1"/>
      <c r="AP47" s="1"/>
      <c r="AQ47" s="13"/>
      <c r="AR47" s="18"/>
      <c r="AS47" s="1"/>
      <c r="AT47" s="1"/>
      <c r="AU47" s="13"/>
      <c r="AV47" s="18"/>
      <c r="AW47" s="1"/>
      <c r="AX47" s="1"/>
      <c r="AY47" s="13"/>
      <c r="AZ47" s="18"/>
      <c r="BA47" s="1"/>
      <c r="BB47" s="1"/>
      <c r="BC47" s="13"/>
      <c r="BD47" s="18"/>
    </row>
    <row r="48" spans="1:56">
      <c r="C48" s="37"/>
      <c r="D48" s="37"/>
      <c r="E48" s="1"/>
      <c r="F48" s="37"/>
      <c r="G48" s="43"/>
      <c r="H48" s="1"/>
      <c r="I48" s="37"/>
      <c r="J48" s="13"/>
      <c r="K48" s="1"/>
      <c r="L48" s="18"/>
      <c r="M48" s="1"/>
      <c r="N48" s="1"/>
      <c r="O48" s="1"/>
      <c r="P48" s="1"/>
      <c r="Q48" s="1"/>
      <c r="R48" s="1"/>
      <c r="S48" s="13"/>
      <c r="T48" s="18"/>
      <c r="U48" s="1"/>
      <c r="V48" s="1"/>
      <c r="W48" s="13"/>
      <c r="X48" s="18"/>
      <c r="Y48" s="1"/>
      <c r="Z48" s="1"/>
      <c r="AA48" s="13"/>
      <c r="AB48" s="18"/>
      <c r="AC48" s="1"/>
      <c r="AD48" s="1"/>
      <c r="AE48" s="13"/>
      <c r="AF48" s="18"/>
      <c r="AG48" s="1"/>
      <c r="AH48" s="1"/>
      <c r="AI48" s="13"/>
      <c r="AJ48" s="18"/>
      <c r="AK48" s="1"/>
      <c r="AL48" s="1"/>
      <c r="AM48" s="13"/>
      <c r="AN48" s="18"/>
      <c r="AO48" s="1"/>
      <c r="AP48" s="1"/>
      <c r="AQ48" s="13"/>
      <c r="AR48" s="18"/>
      <c r="AS48" s="1"/>
      <c r="AT48" s="1"/>
      <c r="AU48" s="13"/>
      <c r="AV48" s="18"/>
      <c r="AW48" s="1"/>
      <c r="AX48" s="1"/>
      <c r="AY48" s="13"/>
      <c r="AZ48" s="18"/>
      <c r="BA48" s="1"/>
      <c r="BB48" s="1"/>
      <c r="BC48" s="13"/>
      <c r="BD48" s="18"/>
    </row>
    <row r="49" spans="1:56">
      <c r="C49" s="37"/>
      <c r="D49" s="37"/>
      <c r="E49" s="1"/>
      <c r="F49" s="37"/>
      <c r="G49" s="43"/>
      <c r="H49" s="1"/>
      <c r="I49" s="37"/>
      <c r="J49" s="13"/>
      <c r="K49" s="1"/>
      <c r="L49" s="18"/>
      <c r="M49" s="1"/>
      <c r="N49" s="1"/>
      <c r="O49" s="1"/>
      <c r="P49" s="1"/>
      <c r="Q49" s="1"/>
      <c r="R49" s="1"/>
      <c r="S49" s="13"/>
      <c r="T49" s="18"/>
      <c r="U49" s="1"/>
      <c r="V49" s="1"/>
      <c r="W49" s="13"/>
      <c r="X49" s="18"/>
      <c r="Y49" s="1"/>
      <c r="Z49" s="1"/>
      <c r="AA49" s="13"/>
      <c r="AB49" s="18"/>
      <c r="AC49" s="1"/>
      <c r="AD49" s="1"/>
      <c r="AE49" s="13"/>
      <c r="AF49" s="18"/>
      <c r="AG49" s="1"/>
      <c r="AH49" s="1"/>
      <c r="AI49" s="13"/>
      <c r="AJ49" s="18"/>
      <c r="AK49" s="1"/>
      <c r="AL49" s="1"/>
      <c r="AM49" s="13"/>
      <c r="AN49" s="18"/>
      <c r="AO49" s="1"/>
      <c r="AP49" s="1"/>
      <c r="AQ49" s="13"/>
      <c r="AR49" s="18"/>
      <c r="AS49" s="1"/>
      <c r="AT49" s="1"/>
      <c r="AU49" s="13"/>
      <c r="AV49" s="18"/>
      <c r="AW49" s="1"/>
      <c r="AX49" s="1"/>
      <c r="AY49" s="13"/>
      <c r="AZ49" s="18"/>
      <c r="BA49" s="1"/>
      <c r="BB49" s="1"/>
      <c r="BC49" s="13"/>
      <c r="BD49" s="18"/>
    </row>
    <row r="50" spans="1:56">
      <c r="A50" s="36"/>
      <c r="B50" s="36"/>
      <c r="C50" s="37"/>
      <c r="D50" s="37"/>
      <c r="E50" s="1"/>
      <c r="F50" s="37"/>
      <c r="G50" s="38"/>
      <c r="H50" s="1"/>
      <c r="I50" s="37"/>
      <c r="J50" s="31"/>
      <c r="K50" s="1"/>
      <c r="L50" s="18"/>
      <c r="M50" s="1"/>
      <c r="N50" s="1"/>
      <c r="O50" s="1"/>
      <c r="P50" s="1"/>
      <c r="Q50" s="1"/>
      <c r="R50" s="1"/>
      <c r="S50" s="13"/>
      <c r="T50" s="18"/>
      <c r="U50" s="1"/>
      <c r="V50" s="1"/>
      <c r="W50" s="13"/>
      <c r="X50" s="18"/>
      <c r="Y50" s="1"/>
      <c r="Z50" s="1"/>
      <c r="AA50" s="13"/>
      <c r="AB50" s="18"/>
      <c r="AC50" s="1"/>
      <c r="AD50" s="1"/>
      <c r="AE50" s="13"/>
      <c r="AF50" s="18"/>
      <c r="AG50" s="1"/>
      <c r="AH50" s="1"/>
      <c r="AI50" s="13"/>
      <c r="AJ50" s="18"/>
      <c r="AK50" s="1"/>
      <c r="AL50" s="1"/>
      <c r="AM50" s="13"/>
      <c r="AN50" s="18"/>
      <c r="AO50" s="1"/>
      <c r="AP50" s="1"/>
      <c r="AQ50" s="13"/>
      <c r="AR50" s="18"/>
      <c r="AS50" s="1"/>
      <c r="AT50" s="1"/>
      <c r="AU50" s="13"/>
      <c r="AV50" s="18"/>
      <c r="AW50" s="1"/>
      <c r="AX50" s="1"/>
      <c r="AY50" s="13"/>
      <c r="AZ50" s="18"/>
      <c r="BA50" s="1"/>
      <c r="BB50" s="1"/>
      <c r="BC50" s="13"/>
      <c r="BD50" s="18"/>
    </row>
    <row r="51" spans="1:56">
      <c r="A51" s="36"/>
      <c r="B51" s="36"/>
      <c r="C51" s="37"/>
      <c r="D51" s="37"/>
      <c r="E51" s="1"/>
      <c r="F51" s="37"/>
      <c r="G51" s="38"/>
      <c r="H51" s="1"/>
      <c r="I51" s="37"/>
      <c r="J51" s="31"/>
      <c r="K51" s="1"/>
      <c r="L51" s="18"/>
      <c r="M51" s="1"/>
      <c r="N51" s="1"/>
      <c r="O51" s="1"/>
      <c r="P51" s="1"/>
      <c r="Q51" s="1"/>
      <c r="R51" s="1"/>
      <c r="S51" s="13"/>
      <c r="T51" s="18"/>
      <c r="U51" s="1"/>
      <c r="V51" s="1"/>
      <c r="W51" s="13"/>
      <c r="X51" s="18"/>
      <c r="Y51" s="1"/>
      <c r="Z51" s="1"/>
      <c r="AA51" s="13"/>
      <c r="AB51" s="18"/>
      <c r="AC51" s="1"/>
      <c r="AD51" s="1"/>
      <c r="AE51" s="13"/>
      <c r="AF51" s="18"/>
      <c r="AG51" s="1"/>
      <c r="AH51" s="1"/>
      <c r="AI51" s="13"/>
      <c r="AJ51" s="18"/>
      <c r="AK51" s="1"/>
      <c r="AL51" s="1"/>
      <c r="AM51" s="13"/>
      <c r="AN51" s="18"/>
      <c r="AO51" s="1"/>
      <c r="AP51" s="1"/>
      <c r="AQ51" s="13"/>
      <c r="AR51" s="18"/>
      <c r="AS51" s="1"/>
      <c r="AT51" s="1"/>
      <c r="AU51" s="13"/>
      <c r="AV51" s="18"/>
      <c r="AW51" s="1"/>
      <c r="AX51" s="1"/>
      <c r="AY51" s="13"/>
      <c r="AZ51" s="18"/>
      <c r="BA51" s="1"/>
      <c r="BB51" s="1"/>
      <c r="BC51" s="13"/>
      <c r="BD51" s="18"/>
    </row>
    <row r="52" spans="1:56">
      <c r="A52" s="36"/>
      <c r="B52" s="36"/>
      <c r="C52" s="37"/>
      <c r="D52" s="37"/>
      <c r="E52" s="1"/>
      <c r="F52" s="37"/>
      <c r="G52" s="38"/>
      <c r="H52" s="1"/>
      <c r="I52" s="37"/>
      <c r="J52" s="31"/>
      <c r="K52" s="1"/>
      <c r="L52" s="18"/>
      <c r="M52" s="1"/>
      <c r="N52" s="1"/>
      <c r="O52" s="1"/>
      <c r="P52" s="1"/>
      <c r="Q52" s="1"/>
      <c r="R52" s="1"/>
      <c r="S52" s="13"/>
      <c r="T52" s="18"/>
      <c r="U52" s="1"/>
      <c r="V52" s="1"/>
      <c r="W52" s="13"/>
      <c r="X52" s="18"/>
      <c r="Y52" s="1"/>
      <c r="Z52" s="1"/>
      <c r="AA52" s="13"/>
      <c r="AB52" s="18"/>
      <c r="AC52" s="1"/>
      <c r="AD52" s="1"/>
      <c r="AE52" s="13"/>
      <c r="AF52" s="18"/>
      <c r="AG52" s="1"/>
      <c r="AH52" s="1"/>
      <c r="AI52" s="13"/>
      <c r="AJ52" s="18"/>
      <c r="AK52" s="1"/>
      <c r="AL52" s="1"/>
      <c r="AM52" s="13"/>
      <c r="AN52" s="18"/>
      <c r="AO52" s="1"/>
      <c r="AP52" s="1"/>
      <c r="AQ52" s="13"/>
      <c r="AR52" s="18"/>
      <c r="AS52" s="1"/>
      <c r="AT52" s="1"/>
      <c r="AU52" s="13"/>
      <c r="AV52" s="18"/>
      <c r="AW52" s="1"/>
      <c r="AX52" s="1"/>
      <c r="AY52" s="13"/>
      <c r="AZ52" s="18"/>
      <c r="BA52" s="1"/>
      <c r="BB52" s="1"/>
      <c r="BC52" s="13"/>
      <c r="BD52" s="18"/>
    </row>
    <row r="53" spans="1:56">
      <c r="A53" s="36"/>
      <c r="B53" s="20"/>
      <c r="C53" s="45"/>
      <c r="D53" s="37"/>
      <c r="E53" s="1"/>
      <c r="F53" s="37"/>
      <c r="G53" s="43"/>
      <c r="H53" s="1"/>
      <c r="I53" s="37"/>
      <c r="J53" s="13"/>
      <c r="K53" s="1"/>
      <c r="L53" s="18"/>
      <c r="M53" s="1"/>
      <c r="N53" s="1"/>
      <c r="O53" s="1"/>
      <c r="P53" s="1"/>
      <c r="Q53" s="1"/>
      <c r="R53" s="1"/>
      <c r="S53" s="13"/>
      <c r="T53" s="18"/>
      <c r="U53" s="1"/>
      <c r="V53" s="1"/>
      <c r="W53" s="13"/>
      <c r="X53" s="18"/>
      <c r="Y53" s="1"/>
      <c r="Z53" s="1"/>
      <c r="AA53" s="13"/>
      <c r="AB53" s="18"/>
      <c r="AC53" s="1"/>
      <c r="AD53" s="1"/>
      <c r="AE53" s="13"/>
      <c r="AF53" s="18"/>
      <c r="AG53" s="1"/>
      <c r="AH53" s="1"/>
      <c r="AI53" s="13"/>
      <c r="AJ53" s="18"/>
      <c r="AK53" s="1"/>
      <c r="AL53" s="1"/>
      <c r="AM53" s="13"/>
      <c r="AN53" s="18"/>
      <c r="AO53" s="1"/>
      <c r="AP53" s="1"/>
      <c r="AQ53" s="13"/>
      <c r="AR53" s="18"/>
      <c r="AS53" s="1"/>
      <c r="AT53" s="1"/>
      <c r="AU53" s="13"/>
      <c r="AV53" s="18"/>
      <c r="AW53" s="1"/>
      <c r="AX53" s="1"/>
      <c r="AY53" s="13"/>
      <c r="AZ53" s="18"/>
      <c r="BA53" s="1"/>
      <c r="BB53" s="1"/>
      <c r="BC53" s="13"/>
      <c r="BD53" s="18"/>
    </row>
    <row r="54" spans="1:56">
      <c r="C54" s="37"/>
      <c r="D54" s="37"/>
      <c r="E54" s="1"/>
      <c r="F54" s="37"/>
      <c r="G54" s="43"/>
      <c r="H54" s="1"/>
      <c r="I54" s="37"/>
      <c r="J54" s="13"/>
      <c r="K54" s="1"/>
      <c r="L54" s="18"/>
      <c r="M54" s="1"/>
      <c r="N54" s="1"/>
      <c r="O54" s="1"/>
      <c r="P54" s="1"/>
      <c r="Q54" s="1"/>
      <c r="R54" s="1"/>
      <c r="S54" s="13"/>
      <c r="T54" s="18"/>
      <c r="U54" s="1"/>
      <c r="V54" s="1"/>
      <c r="W54" s="13"/>
      <c r="X54" s="18"/>
      <c r="Y54" s="1"/>
      <c r="Z54" s="1"/>
      <c r="AA54" s="13"/>
      <c r="AB54" s="18"/>
      <c r="AC54" s="1"/>
      <c r="AD54" s="1"/>
      <c r="AE54" s="13"/>
      <c r="AF54" s="18"/>
      <c r="AG54" s="1"/>
      <c r="AH54" s="1"/>
      <c r="AI54" s="13"/>
      <c r="AJ54" s="18"/>
      <c r="AK54" s="1"/>
      <c r="AL54" s="1"/>
      <c r="AM54" s="13"/>
      <c r="AN54" s="18"/>
      <c r="AO54" s="1"/>
      <c r="AP54" s="1"/>
      <c r="AQ54" s="13"/>
      <c r="AR54" s="18"/>
      <c r="AS54" s="1"/>
      <c r="AT54" s="1"/>
      <c r="AU54" s="13"/>
      <c r="AV54" s="18"/>
      <c r="AW54" s="1"/>
      <c r="AX54" s="1"/>
      <c r="AY54" s="13"/>
      <c r="AZ54" s="18"/>
      <c r="BA54" s="1"/>
      <c r="BB54" s="1"/>
      <c r="BC54" s="13"/>
      <c r="BD54" s="18"/>
    </row>
    <row r="55" spans="1:56">
      <c r="A55" s="36"/>
      <c r="B55" s="24"/>
      <c r="C55" s="45"/>
      <c r="D55" s="37"/>
      <c r="E55" s="1"/>
      <c r="F55" s="37"/>
      <c r="G55" s="43"/>
      <c r="H55" s="1"/>
      <c r="I55" s="37"/>
      <c r="J55" s="31"/>
      <c r="K55" s="1"/>
      <c r="L55" s="18"/>
      <c r="M55" s="1"/>
      <c r="N55" s="1"/>
      <c r="O55" s="1"/>
      <c r="P55" s="1"/>
      <c r="Q55" s="1"/>
      <c r="R55" s="1"/>
      <c r="S55" s="13"/>
      <c r="T55" s="18"/>
      <c r="U55" s="1"/>
      <c r="V55" s="1"/>
      <c r="W55" s="13"/>
      <c r="X55" s="18"/>
      <c r="Y55" s="1"/>
      <c r="Z55" s="1"/>
      <c r="AA55" s="13"/>
      <c r="AB55" s="18"/>
      <c r="AC55" s="1"/>
      <c r="AD55" s="1"/>
      <c r="AE55" s="13"/>
      <c r="AF55" s="18"/>
      <c r="AG55" s="1"/>
      <c r="AH55" s="1"/>
      <c r="AI55" s="13"/>
      <c r="AJ55" s="18"/>
      <c r="AK55" s="1"/>
      <c r="AL55" s="1"/>
      <c r="AM55" s="13"/>
      <c r="AN55" s="18"/>
      <c r="AO55" s="1"/>
      <c r="AP55" s="1"/>
      <c r="AQ55" s="13"/>
      <c r="AR55" s="18"/>
      <c r="AS55" s="1"/>
      <c r="AT55" s="1"/>
      <c r="AU55" s="13"/>
      <c r="AV55" s="18"/>
      <c r="AW55" s="1"/>
      <c r="AX55" s="1"/>
      <c r="AY55" s="13"/>
      <c r="AZ55" s="18"/>
      <c r="BA55" s="1"/>
      <c r="BB55" s="1"/>
      <c r="BC55" s="13"/>
      <c r="BD55" s="18"/>
    </row>
    <row r="56" spans="1:56">
      <c r="C56" s="37"/>
      <c r="D56" s="37"/>
      <c r="E56" s="1"/>
      <c r="F56" s="37"/>
      <c r="G56" s="43"/>
      <c r="H56" s="1"/>
      <c r="I56" s="37"/>
      <c r="J56" s="13"/>
      <c r="K56" s="1"/>
      <c r="L56" s="18"/>
      <c r="M56" s="1"/>
      <c r="N56" s="1"/>
      <c r="O56" s="1"/>
      <c r="P56" s="1"/>
      <c r="Q56" s="1"/>
      <c r="R56" s="1"/>
      <c r="S56" s="13"/>
      <c r="T56" s="18"/>
      <c r="U56" s="1"/>
      <c r="V56" s="1"/>
      <c r="W56" s="13"/>
      <c r="X56" s="18"/>
      <c r="Y56" s="1"/>
      <c r="Z56" s="1"/>
      <c r="AA56" s="13"/>
      <c r="AB56" s="18"/>
      <c r="AC56" s="1"/>
      <c r="AD56" s="1"/>
      <c r="AE56" s="13"/>
      <c r="AF56" s="18"/>
      <c r="AG56" s="1"/>
      <c r="AH56" s="1"/>
      <c r="AI56" s="13"/>
      <c r="AJ56" s="18"/>
      <c r="AK56" s="1"/>
      <c r="AL56" s="1"/>
      <c r="AM56" s="13"/>
      <c r="AN56" s="18"/>
      <c r="AO56" s="1"/>
      <c r="AP56" s="1"/>
      <c r="AQ56" s="13"/>
      <c r="AR56" s="18"/>
      <c r="AS56" s="1"/>
      <c r="AT56" s="1"/>
      <c r="AU56" s="13"/>
      <c r="AV56" s="18"/>
      <c r="AW56" s="1"/>
      <c r="AX56" s="1"/>
      <c r="AY56" s="13"/>
      <c r="AZ56" s="18"/>
      <c r="BA56" s="1"/>
      <c r="BB56" s="1"/>
      <c r="BC56" s="13"/>
      <c r="BD56" s="18"/>
    </row>
    <row r="57" spans="1:56">
      <c r="C57" s="37"/>
      <c r="D57" s="37"/>
      <c r="E57" s="1"/>
      <c r="F57" s="37"/>
      <c r="G57" s="43"/>
      <c r="H57" s="1"/>
      <c r="I57" s="37"/>
      <c r="J57" s="13"/>
      <c r="K57" s="1"/>
      <c r="L57" s="18"/>
      <c r="M57" s="1"/>
      <c r="N57" s="1"/>
      <c r="O57" s="1"/>
      <c r="P57" s="1"/>
      <c r="Q57" s="1"/>
      <c r="R57" s="1"/>
      <c r="S57" s="13"/>
      <c r="T57" s="18"/>
      <c r="U57" s="1"/>
      <c r="V57" s="1"/>
      <c r="W57" s="13"/>
      <c r="X57" s="18"/>
      <c r="Y57" s="1"/>
      <c r="Z57" s="1"/>
      <c r="AA57" s="13"/>
      <c r="AB57" s="18"/>
      <c r="AC57" s="1"/>
      <c r="AD57" s="1"/>
      <c r="AE57" s="13"/>
      <c r="AF57" s="18"/>
      <c r="AG57" s="1"/>
      <c r="AH57" s="1"/>
      <c r="AI57" s="13"/>
      <c r="AJ57" s="18"/>
      <c r="AK57" s="1"/>
      <c r="AL57" s="1"/>
      <c r="AM57" s="13"/>
      <c r="AN57" s="18"/>
      <c r="AO57" s="1"/>
      <c r="AP57" s="1"/>
      <c r="AQ57" s="13"/>
      <c r="AR57" s="18"/>
      <c r="AS57" s="1"/>
      <c r="AT57" s="1"/>
      <c r="AU57" s="13"/>
      <c r="AV57" s="18"/>
      <c r="AW57" s="1"/>
      <c r="AX57" s="1"/>
      <c r="AY57" s="13"/>
      <c r="AZ57" s="18"/>
      <c r="BA57" s="1"/>
      <c r="BB57" s="1"/>
      <c r="BC57" s="13"/>
      <c r="BD57" s="18"/>
    </row>
    <row r="58" spans="1:56">
      <c r="A58" s="36"/>
      <c r="B58" s="36"/>
      <c r="C58" s="37"/>
      <c r="D58" s="37"/>
      <c r="E58" s="1"/>
      <c r="F58" s="37"/>
      <c r="G58" s="38"/>
      <c r="H58" s="1"/>
      <c r="I58" s="37"/>
      <c r="J58" s="31"/>
      <c r="K58" s="1"/>
      <c r="L58" s="18"/>
      <c r="M58" s="1"/>
      <c r="N58" s="1"/>
      <c r="O58" s="1"/>
      <c r="P58" s="1"/>
      <c r="Q58" s="1"/>
      <c r="R58" s="1"/>
      <c r="S58" s="13"/>
      <c r="T58" s="18"/>
      <c r="U58" s="1"/>
      <c r="V58" s="1"/>
      <c r="W58" s="13"/>
      <c r="X58" s="18"/>
      <c r="Y58" s="1"/>
      <c r="Z58" s="1"/>
      <c r="AA58" s="13"/>
      <c r="AB58" s="18"/>
      <c r="AC58" s="1"/>
      <c r="AD58" s="1"/>
      <c r="AE58" s="13"/>
      <c r="AF58" s="18"/>
      <c r="AG58" s="1"/>
      <c r="AH58" s="1"/>
      <c r="AI58" s="13"/>
      <c r="AJ58" s="18"/>
      <c r="AK58" s="1"/>
      <c r="AL58" s="1"/>
      <c r="AM58" s="13"/>
      <c r="AN58" s="18"/>
      <c r="AO58" s="1"/>
      <c r="AP58" s="1"/>
      <c r="AQ58" s="13"/>
      <c r="AR58" s="18"/>
      <c r="AS58" s="1"/>
      <c r="AT58" s="1"/>
      <c r="AU58" s="13"/>
      <c r="AV58" s="18"/>
      <c r="AW58" s="1"/>
      <c r="AX58" s="1"/>
      <c r="AY58" s="13"/>
      <c r="AZ58" s="18"/>
      <c r="BA58" s="1"/>
      <c r="BB58" s="1"/>
      <c r="BC58" s="13"/>
      <c r="BD58" s="18"/>
    </row>
    <row r="59" spans="1:56">
      <c r="A59" s="36"/>
      <c r="B59" s="36"/>
      <c r="C59" s="37"/>
      <c r="D59" s="37"/>
      <c r="E59" s="1"/>
      <c r="F59" s="37"/>
      <c r="G59" s="38"/>
      <c r="H59" s="1"/>
      <c r="I59" s="37"/>
      <c r="J59" s="31"/>
      <c r="K59" s="1"/>
      <c r="L59" s="18"/>
      <c r="M59" s="1"/>
      <c r="N59" s="1"/>
      <c r="O59" s="1"/>
      <c r="P59" s="1"/>
      <c r="Q59" s="1"/>
      <c r="R59" s="1"/>
      <c r="S59" s="13"/>
      <c r="T59" s="18"/>
      <c r="U59" s="1"/>
      <c r="V59" s="1"/>
      <c r="W59" s="13"/>
      <c r="X59" s="18"/>
      <c r="Y59" s="1"/>
      <c r="Z59" s="1"/>
      <c r="AA59" s="13"/>
      <c r="AB59" s="18"/>
      <c r="AC59" s="1"/>
      <c r="AD59" s="1"/>
      <c r="AE59" s="13"/>
      <c r="AF59" s="18"/>
      <c r="AG59" s="1"/>
      <c r="AH59" s="1"/>
      <c r="AI59" s="13"/>
      <c r="AJ59" s="18"/>
      <c r="AK59" s="1"/>
      <c r="AL59" s="1"/>
      <c r="AM59" s="13"/>
      <c r="AN59" s="18"/>
      <c r="AO59" s="1"/>
      <c r="AP59" s="1"/>
      <c r="AQ59" s="13"/>
      <c r="AR59" s="18"/>
      <c r="AS59" s="1"/>
      <c r="AT59" s="1"/>
      <c r="AU59" s="13"/>
      <c r="AV59" s="18"/>
      <c r="AW59" s="1"/>
      <c r="AX59" s="1"/>
      <c r="AY59" s="13"/>
      <c r="AZ59" s="18"/>
      <c r="BA59" s="1"/>
      <c r="BB59" s="1"/>
      <c r="BC59" s="13"/>
      <c r="BD59" s="18"/>
    </row>
    <row r="60" spans="1:56">
      <c r="A60" s="36"/>
      <c r="C60" s="37"/>
      <c r="D60" s="37"/>
      <c r="E60" s="1"/>
      <c r="F60" s="37"/>
      <c r="G60" s="38"/>
      <c r="H60" s="1"/>
      <c r="I60" s="37"/>
      <c r="J60" s="31"/>
      <c r="K60" s="1"/>
      <c r="L60" s="18"/>
      <c r="M60" s="1"/>
      <c r="N60" s="1"/>
      <c r="O60" s="1"/>
      <c r="P60" s="1"/>
      <c r="Q60" s="1"/>
      <c r="R60" s="1"/>
      <c r="S60" s="13"/>
      <c r="T60" s="18"/>
      <c r="U60" s="1"/>
      <c r="V60" s="1"/>
      <c r="W60" s="13"/>
      <c r="X60" s="18"/>
      <c r="Y60" s="1"/>
      <c r="Z60" s="1"/>
      <c r="AA60" s="13"/>
      <c r="AB60" s="18"/>
      <c r="AC60" s="1"/>
      <c r="AD60" s="1"/>
      <c r="AE60" s="13"/>
      <c r="AF60" s="18"/>
      <c r="AG60" s="1"/>
      <c r="AH60" s="1"/>
      <c r="AI60" s="13"/>
      <c r="AJ60" s="18"/>
      <c r="AK60" s="1"/>
      <c r="AL60" s="1"/>
      <c r="AM60" s="13"/>
      <c r="AN60" s="18"/>
      <c r="AO60" s="1"/>
      <c r="AP60" s="1"/>
      <c r="AQ60" s="13"/>
      <c r="AR60" s="18"/>
      <c r="AS60" s="1"/>
      <c r="AT60" s="1"/>
      <c r="AU60" s="13"/>
      <c r="AV60" s="18"/>
      <c r="AW60" s="1"/>
      <c r="AX60" s="1"/>
      <c r="AY60" s="13"/>
      <c r="AZ60" s="18"/>
      <c r="BA60" s="1"/>
      <c r="BB60" s="1"/>
      <c r="BC60" s="13"/>
      <c r="BD60" s="18"/>
    </row>
    <row r="61" spans="1:56">
      <c r="A61" s="36"/>
      <c r="B61" s="36"/>
      <c r="C61" s="37"/>
      <c r="D61" s="37"/>
      <c r="E61" s="1"/>
      <c r="F61" s="37"/>
      <c r="G61" s="38"/>
      <c r="H61" s="1"/>
      <c r="I61" s="37"/>
      <c r="J61" s="31"/>
    </row>
    <row r="62" spans="1:56">
      <c r="A62" s="36"/>
      <c r="B62" s="36"/>
      <c r="C62" s="37"/>
      <c r="D62" s="37"/>
      <c r="E62" s="1"/>
      <c r="F62" s="37"/>
      <c r="G62" s="38"/>
      <c r="H62" s="1"/>
      <c r="I62" s="37"/>
      <c r="J62" s="31"/>
    </row>
    <row r="63" spans="1:56">
      <c r="A63" s="36"/>
      <c r="B63" s="36"/>
      <c r="C63" s="43"/>
      <c r="D63" s="37"/>
      <c r="E63" s="1"/>
      <c r="H63" s="1"/>
    </row>
    <row r="64" spans="1:56">
      <c r="A64" s="36"/>
      <c r="B64" s="36"/>
    </row>
    <row r="65" spans="1:4">
      <c r="A65" s="36"/>
      <c r="B65" s="36"/>
      <c r="D65" s="37"/>
    </row>
    <row r="66" spans="1:4">
      <c r="A66" s="36"/>
      <c r="B66" s="36"/>
      <c r="D66" s="46"/>
    </row>
    <row r="67" spans="1:4">
      <c r="A67" s="36"/>
      <c r="B67" s="36"/>
      <c r="D67" s="37"/>
    </row>
    <row r="141" spans="13:13">
      <c r="M141" s="4">
        <f t="shared" ref="M141:M146" si="7">+(L141*K141)*(1-$K$157)</f>
        <v>0</v>
      </c>
    </row>
    <row r="142" spans="13:13">
      <c r="M142" s="4">
        <f t="shared" si="7"/>
        <v>0</v>
      </c>
    </row>
    <row r="143" spans="13:13">
      <c r="M143" s="4">
        <f t="shared" si="7"/>
        <v>0</v>
      </c>
    </row>
    <row r="144" spans="13:13">
      <c r="M144" s="4">
        <f t="shared" si="7"/>
        <v>0</v>
      </c>
    </row>
    <row r="145" spans="13:13">
      <c r="M145" s="4">
        <f t="shared" si="7"/>
        <v>0</v>
      </c>
    </row>
    <row r="146" spans="13:13">
      <c r="M146" s="4">
        <f t="shared" si="7"/>
        <v>0</v>
      </c>
    </row>
    <row r="150" spans="13:13">
      <c r="M150" s="4">
        <f>+(L150*K150)*(1-$K$157)</f>
        <v>0</v>
      </c>
    </row>
    <row r="151" spans="13:13">
      <c r="M151" s="4">
        <f>+(L151*K151)*(1-$K$157)</f>
        <v>0</v>
      </c>
    </row>
    <row r="152" spans="13:13">
      <c r="M152" s="4">
        <f>+(L152*K152)*(1-$K$157)</f>
        <v>0</v>
      </c>
    </row>
    <row r="153" spans="13:13">
      <c r="M153" s="4">
        <f>+(L153*K153)*(1-$K$157)</f>
        <v>0</v>
      </c>
    </row>
  </sheetData>
  <mergeCells count="9">
    <mergeCell ref="H3:H5"/>
    <mergeCell ref="I3:I5"/>
    <mergeCell ref="B3:B5"/>
    <mergeCell ref="A3:A5"/>
    <mergeCell ref="C3:C5"/>
    <mergeCell ref="D3:D5"/>
    <mergeCell ref="E3:E5"/>
    <mergeCell ref="F3:F5"/>
    <mergeCell ref="G3:G5"/>
  </mergeCells>
  <printOptions horizontalCentered="1"/>
  <pageMargins left="0.45" right="0.45" top="0.75" bottom="0.75" header="0.3" footer="0.3"/>
  <pageSetup scale="82" fitToHeight="0" orientation="landscape" r:id="rId1"/>
  <headerFooter>
    <oddHeader xml:space="preserve">&amp;CUNS Gas, Inc.&amp;"Arial,Regular"&amp;8
&amp;"-,Regular"&amp;9Summary of Revenues by Customer Class
Present and Proposed Revenues
Test Year Ended June 30, 2024&amp;R&amp;10
Schedule H-1
Page &amp;P of &amp;N
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>
    <tabColor rgb="FF92D050"/>
  </sheetPr>
  <dimension ref="A2:AQ301"/>
  <sheetViews>
    <sheetView zoomScale="80" zoomScaleNormal="80" zoomScalePageLayoutView="90" workbookViewId="0">
      <selection sqref="A1:G4"/>
    </sheetView>
  </sheetViews>
  <sheetFormatPr defaultColWidth="9.140625" defaultRowHeight="12.75"/>
  <cols>
    <col min="1" max="1" width="10.7109375" style="4" bestFit="1" customWidth="1"/>
    <col min="2" max="2" width="24.28515625" style="4" bestFit="1" customWidth="1"/>
    <col min="3" max="3" width="13.140625" style="4" bestFit="1" customWidth="1"/>
    <col min="4" max="4" width="11.42578125" style="4" bestFit="1" customWidth="1"/>
    <col min="5" max="5" width="12.28515625" style="4" bestFit="1" customWidth="1"/>
    <col min="6" max="6" width="0.5703125" style="4" customWidth="1"/>
    <col min="7" max="7" width="12.5703125" style="4" bestFit="1" customWidth="1"/>
    <col min="8" max="8" width="0.5703125" style="4" customWidth="1"/>
    <col min="9" max="9" width="11" style="4" bestFit="1" customWidth="1"/>
    <col min="10" max="10" width="11.42578125" style="4" bestFit="1" customWidth="1"/>
    <col min="11" max="11" width="12.28515625" style="4" bestFit="1" customWidth="1"/>
    <col min="12" max="12" width="2.5703125" style="4" bestFit="1" customWidth="1"/>
    <col min="13" max="13" width="11" style="4" bestFit="1" customWidth="1"/>
    <col min="14" max="14" width="11.42578125" style="4" bestFit="1" customWidth="1"/>
    <col min="15" max="15" width="12.28515625" style="4" bestFit="1" customWidth="1"/>
    <col min="16" max="17" width="9.140625" style="4"/>
    <col min="18" max="18" width="12.85546875" style="4" bestFit="1" customWidth="1"/>
    <col min="19" max="19" width="13" style="4" customWidth="1"/>
    <col min="20" max="21" width="8.5703125" style="4" customWidth="1"/>
    <col min="22" max="23" width="75.42578125" style="4" customWidth="1"/>
    <col min="24" max="16384" width="9.140625" style="4"/>
  </cols>
  <sheetData>
    <row r="2" spans="1:18" ht="13.5" thickBot="1"/>
    <row r="3" spans="1:18" ht="33.75" customHeight="1" thickBot="1">
      <c r="C3" s="795" t="s">
        <v>575</v>
      </c>
      <c r="D3" s="796"/>
      <c r="E3" s="797"/>
      <c r="F3" s="47"/>
      <c r="G3" s="48" t="s">
        <v>576</v>
      </c>
      <c r="I3" s="798" t="s">
        <v>577</v>
      </c>
      <c r="J3" s="799"/>
      <c r="K3" s="800"/>
      <c r="M3" s="798" t="s">
        <v>578</v>
      </c>
      <c r="N3" s="799"/>
      <c r="O3" s="800"/>
    </row>
    <row r="4" spans="1:18" ht="17.25" customHeight="1">
      <c r="G4"/>
    </row>
    <row r="5" spans="1:18" ht="51.6" customHeight="1">
      <c r="A5" s="147" t="s">
        <v>579</v>
      </c>
      <c r="B5" s="4" t="s">
        <v>555</v>
      </c>
      <c r="C5" s="36" t="s">
        <v>580</v>
      </c>
      <c r="D5" s="36" t="s">
        <v>581</v>
      </c>
      <c r="E5" s="36" t="s">
        <v>582</v>
      </c>
      <c r="F5" s="36"/>
      <c r="G5" s="24" t="s">
        <v>583</v>
      </c>
      <c r="H5" s="36"/>
      <c r="I5" s="36" t="s">
        <v>584</v>
      </c>
      <c r="J5" s="36" t="s">
        <v>585</v>
      </c>
      <c r="K5" s="36" t="s">
        <v>582</v>
      </c>
      <c r="L5" s="24"/>
      <c r="M5" s="36" t="s">
        <v>584</v>
      </c>
      <c r="N5" s="36" t="s">
        <v>586</v>
      </c>
      <c r="O5" s="36" t="s">
        <v>582</v>
      </c>
    </row>
    <row r="6" spans="1:18">
      <c r="M6" s="49"/>
      <c r="N6" s="13"/>
    </row>
    <row r="7" spans="1:18">
      <c r="B7" s="15" t="s">
        <v>563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50"/>
      <c r="N7" s="29"/>
      <c r="O7" s="29"/>
      <c r="P7" s="29"/>
      <c r="Q7" s="29"/>
      <c r="R7" s="29"/>
    </row>
    <row r="8" spans="1:18">
      <c r="B8" s="4" t="str">
        <f>Summary!B8</f>
        <v>Residential</v>
      </c>
      <c r="C8" s="13">
        <f>SUM(C14:C15,C23)</f>
        <v>1878084</v>
      </c>
      <c r="D8" s="13">
        <f>SUM(D14:D15,D23)</f>
        <v>84422640</v>
      </c>
      <c r="E8" s="13">
        <f>SUM(E14:E15,E23)</f>
        <v>115.06773079319458</v>
      </c>
      <c r="F8" s="13"/>
      <c r="G8" s="13">
        <f>SUM(G14:G15,G23)</f>
        <v>-577456.42906875769</v>
      </c>
      <c r="H8" s="13">
        <f t="shared" ref="H8" si="0">SUM(H14:H15)</f>
        <v>0</v>
      </c>
      <c r="I8" s="13">
        <f>SUM(I14:I15,I23)</f>
        <v>1883853.2927822084</v>
      </c>
      <c r="J8" s="13">
        <f>SUM(J14:J15,J23)</f>
        <v>83845183.570931241</v>
      </c>
      <c r="K8" s="13">
        <f>SUM(K14:K15,K23)</f>
        <v>113.03929175759458</v>
      </c>
      <c r="L8" s="13"/>
      <c r="M8" s="13">
        <f>SUM(M14:M15,M23)</f>
        <v>1883853.2927822084</v>
      </c>
      <c r="N8" s="13">
        <f>SUM(N14:N15,N23)</f>
        <v>83845183.570931241</v>
      </c>
      <c r="O8" s="13">
        <f>SUM(O14:O15,O23)</f>
        <v>80.636758428033261</v>
      </c>
      <c r="P8" s="29"/>
      <c r="Q8" s="29"/>
      <c r="R8" s="29"/>
    </row>
    <row r="9" spans="1:18">
      <c r="B9" s="4" t="str">
        <f>Summary!B9</f>
        <v>Small Volume General Service</v>
      </c>
      <c r="C9" s="13">
        <f>SUM(C16:C18,C22,C24)</f>
        <v>158883</v>
      </c>
      <c r="D9" s="13">
        <f>SUM(D16:D18,D22,D24)</f>
        <v>39557016</v>
      </c>
      <c r="E9" s="13">
        <f>SUM(E16:E18,E22,E24)</f>
        <v>4083.6257934490109</v>
      </c>
      <c r="F9" s="13"/>
      <c r="G9" s="13">
        <f>SUM(G16:G18,G22,G24)</f>
        <v>-140112.33058139752</v>
      </c>
      <c r="H9" s="13">
        <f t="shared" ref="H9" si="1">SUM(H16:H18)</f>
        <v>0</v>
      </c>
      <c r="I9" s="13">
        <f>SUM(I16:I18,I22,I24)</f>
        <v>159218.40811471199</v>
      </c>
      <c r="J9" s="13">
        <f>SUM(J16:J18,J22,J24)</f>
        <v>39416903.669418596</v>
      </c>
      <c r="K9" s="13">
        <f>SUM(K16:K18,K22,K24)</f>
        <v>4050.4190710437101</v>
      </c>
      <c r="L9" s="13"/>
      <c r="M9" s="13">
        <f>SUM(M16:M18,M22,M24)</f>
        <v>159201.40811471199</v>
      </c>
      <c r="N9" s="13">
        <f>SUM(N16:N18,N22,N24)</f>
        <v>36221648.273520097</v>
      </c>
      <c r="O9" s="13">
        <f>SUM(O16:O18,O22,O24)</f>
        <v>227.52090388183453</v>
      </c>
      <c r="P9" s="29"/>
      <c r="Q9" s="29"/>
      <c r="R9" s="29"/>
    </row>
    <row r="10" spans="1:18">
      <c r="B10" s="4" t="str">
        <f>Summary!B10</f>
        <v>Large Volume General Service</v>
      </c>
      <c r="C10" s="13">
        <f>SUM(C19:C21,C25:C29)</f>
        <v>927</v>
      </c>
      <c r="D10" s="13">
        <f>SUM(D19:D21,D25:D29)</f>
        <v>39440231</v>
      </c>
      <c r="E10" s="13">
        <f>SUM(E19:E21,E25:E29)</f>
        <v>418425.61748164002</v>
      </c>
      <c r="F10" s="13"/>
      <c r="G10" s="13">
        <f>SUM(G19:G21,G25:G29)</f>
        <v>-47123.713292739005</v>
      </c>
      <c r="H10" s="13">
        <f t="shared" ref="H10" si="2">SUM(H19:H21,H28:H29)</f>
        <v>0</v>
      </c>
      <c r="I10" s="13">
        <f>SUM(I19:I21,I25:I29)</f>
        <v>933.50925925925924</v>
      </c>
      <c r="J10" s="13">
        <f>SUM(J19:J21,J25:J29)</f>
        <v>39393107.28670726</v>
      </c>
      <c r="K10" s="13">
        <f>SUM(K19:K21,K25:K29)</f>
        <v>417721.32366032957</v>
      </c>
      <c r="L10" s="13"/>
      <c r="M10" s="13">
        <f>SUM(M19:M21,M25:M29)</f>
        <v>950.50925925925924</v>
      </c>
      <c r="N10" s="13">
        <f>SUM(N19:N21,N25:N29)</f>
        <v>42588362.682605758</v>
      </c>
      <c r="O10" s="13">
        <f>SUM(O19:O21,O25:O29)</f>
        <v>177544.53208694622</v>
      </c>
      <c r="P10" s="29"/>
      <c r="Q10" s="29"/>
      <c r="R10" s="29"/>
    </row>
    <row r="11" spans="1:18" s="15" customFormat="1">
      <c r="A11" s="7"/>
      <c r="B11" s="15" t="s">
        <v>294</v>
      </c>
      <c r="C11" s="73">
        <f>SUM(C8:C10)</f>
        <v>2037894</v>
      </c>
      <c r="D11" s="73">
        <f>SUM(D8:D10)</f>
        <v>163419887</v>
      </c>
      <c r="E11" s="73">
        <f>SUM(E8:E10)</f>
        <v>422624.31100588222</v>
      </c>
      <c r="F11" s="73"/>
      <c r="G11" s="73">
        <f>SUM(G8:G10)</f>
        <v>-764692.47294289421</v>
      </c>
      <c r="H11" s="73">
        <f t="shared" ref="H11:L11" si="3">SUM(H8:H10)</f>
        <v>0</v>
      </c>
      <c r="I11" s="73">
        <f>SUM(I8:I10)</f>
        <v>2044005.2101561797</v>
      </c>
      <c r="J11" s="73">
        <f>SUM(J8:J10)</f>
        <v>162655194.52705708</v>
      </c>
      <c r="K11" s="73">
        <f>SUM(K8:K10)</f>
        <v>421884.78202313086</v>
      </c>
      <c r="L11" s="73">
        <f t="shared" si="3"/>
        <v>0</v>
      </c>
      <c r="M11" s="73">
        <f>SUM(M8:M10)</f>
        <v>2044005.2101561797</v>
      </c>
      <c r="N11" s="73">
        <f>SUM(N8:N10)</f>
        <v>162655194.52705711</v>
      </c>
      <c r="O11" s="73">
        <f>SUM(O8:O10)</f>
        <v>177852.6897492561</v>
      </c>
      <c r="P11" s="51"/>
      <c r="Q11" s="29"/>
      <c r="R11" s="29"/>
    </row>
    <row r="12" spans="1:18" ht="15">
      <c r="A12" s="36"/>
      <c r="C12" s="13"/>
      <c r="D12" s="13"/>
      <c r="E12" s="13"/>
      <c r="F12" s="52"/>
      <c r="G12" s="13"/>
      <c r="H12" s="29"/>
      <c r="I12" s="13"/>
      <c r="J12" s="13"/>
      <c r="K12" s="52"/>
      <c r="L12" s="29"/>
      <c r="M12" s="29"/>
      <c r="N12" s="29"/>
      <c r="O12" s="52"/>
      <c r="P12" s="29"/>
      <c r="Q12" s="29"/>
      <c r="R12" s="29"/>
    </row>
    <row r="13" spans="1:18" ht="15">
      <c r="B13" s="15" t="s">
        <v>587</v>
      </c>
      <c r="C13" s="13"/>
      <c r="D13" s="13"/>
      <c r="E13" s="13"/>
      <c r="F13" s="52"/>
      <c r="G13" s="13"/>
      <c r="H13" s="29"/>
      <c r="I13" s="13"/>
      <c r="J13" s="13"/>
      <c r="K13" s="52"/>
      <c r="L13" s="29"/>
      <c r="M13" s="29"/>
      <c r="N13" s="29"/>
      <c r="O13" s="52"/>
      <c r="P13" s="29"/>
      <c r="Q13" s="29"/>
      <c r="R13" s="29"/>
    </row>
    <row r="14" spans="1:18">
      <c r="A14" s="99"/>
      <c r="B14" s="180" t="s">
        <v>516</v>
      </c>
      <c r="C14" s="13">
        <f>Summary!C15</f>
        <v>1804456</v>
      </c>
      <c r="D14" s="13">
        <f>VLOOKUP($B14,Summary!$B$15:$R$28,Summary!$D$1,FALSE)</f>
        <v>81711283</v>
      </c>
      <c r="E14" s="13">
        <f t="shared" ref="E14:E29" si="4">IFERROR(D14/C14,0)</f>
        <v>45.28305650013079</v>
      </c>
      <c r="F14" s="29"/>
      <c r="G14" s="13">
        <f>J14-D14</f>
        <v>-361263.8117724061</v>
      </c>
      <c r="H14" s="29"/>
      <c r="I14" s="13">
        <f>Summary!H15</f>
        <v>1814143.5973801531</v>
      </c>
      <c r="J14" s="13">
        <f>Summary!I15</f>
        <v>81350019.188227594</v>
      </c>
      <c r="K14" s="29">
        <f t="shared" ref="K14:K29" si="5">IFERROR(J14/I14,0)</f>
        <v>44.842105832033937</v>
      </c>
      <c r="L14" s="29"/>
      <c r="M14" s="29">
        <f>Summary!M15</f>
        <v>1814167.5973801531</v>
      </c>
      <c r="N14" s="29">
        <f>Summary!N15</f>
        <v>81350796.845077872</v>
      </c>
      <c r="O14" s="29">
        <f t="shared" ref="O14:O24" si="6">IFERROR(N14/M14,0)</f>
        <v>44.841941264168149</v>
      </c>
      <c r="P14" s="29"/>
      <c r="Q14" s="29"/>
      <c r="R14" s="29"/>
    </row>
    <row r="15" spans="1:18">
      <c r="A15" s="99"/>
      <c r="B15" s="180" t="s">
        <v>518</v>
      </c>
      <c r="C15" s="13">
        <f>Summary!C16</f>
        <v>73604</v>
      </c>
      <c r="D15" s="13">
        <f>VLOOKUP($B15,Summary!$B$15:$R$28,Summary!$D$1,FALSE)</f>
        <v>2710566</v>
      </c>
      <c r="E15" s="13">
        <f t="shared" si="4"/>
        <v>36.826340959730452</v>
      </c>
      <c r="F15" s="29"/>
      <c r="G15" s="13">
        <f t="shared" ref="G15:G22" si="7">J15-D15</f>
        <v>-216179.27414663229</v>
      </c>
      <c r="H15" s="29"/>
      <c r="I15" s="13">
        <f>Summary!H16</f>
        <v>69685.695402055382</v>
      </c>
      <c r="J15" s="13">
        <f>Summary!I16</f>
        <v>2494386.7258533677</v>
      </c>
      <c r="K15" s="29">
        <f t="shared" si="5"/>
        <v>35.794817163865105</v>
      </c>
      <c r="L15" s="29"/>
      <c r="M15" s="29">
        <f>Summary!M16</f>
        <v>69685.695402055382</v>
      </c>
      <c r="N15" s="29">
        <f>Summary!N16</f>
        <v>2494386.7258533677</v>
      </c>
      <c r="O15" s="29">
        <f t="shared" si="6"/>
        <v>35.794817163865105</v>
      </c>
      <c r="P15" s="29"/>
      <c r="Q15" s="29"/>
      <c r="R15" s="29"/>
    </row>
    <row r="16" spans="1:18">
      <c r="A16" s="99"/>
      <c r="B16" s="180" t="s">
        <v>521</v>
      </c>
      <c r="C16" s="13">
        <f>Summary!C17</f>
        <v>146178</v>
      </c>
      <c r="D16" s="13">
        <f>VLOOKUP($B16,Summary!$B$15:$R$28,Summary!$D$1,FALSE)</f>
        <v>33936462</v>
      </c>
      <c r="E16" s="13">
        <f t="shared" si="4"/>
        <v>232.15847801994829</v>
      </c>
      <c r="F16" s="29"/>
      <c r="G16" s="13">
        <f t="shared" si="7"/>
        <v>-178541.81224516779</v>
      </c>
      <c r="H16" s="29"/>
      <c r="I16" s="13">
        <f>Summary!H17</f>
        <v>146536.54071046272</v>
      </c>
      <c r="J16" s="13">
        <f>Summary!I17</f>
        <v>33757920.187754832</v>
      </c>
      <c r="K16" s="29">
        <f t="shared" si="5"/>
        <v>230.37202887473728</v>
      </c>
      <c r="L16" s="29"/>
      <c r="M16" s="29">
        <f>Summary!M17</f>
        <v>159201.40811471199</v>
      </c>
      <c r="N16" s="29">
        <f>Summary!N17</f>
        <v>36221648.273520097</v>
      </c>
      <c r="O16" s="29">
        <f t="shared" si="6"/>
        <v>227.52090388183453</v>
      </c>
      <c r="P16" s="29"/>
      <c r="Q16" s="29"/>
      <c r="R16" s="29"/>
    </row>
    <row r="17" spans="1:43">
      <c r="A17" s="99"/>
      <c r="B17" s="180" t="s">
        <v>536</v>
      </c>
      <c r="C17" s="13">
        <f>Summary!C18</f>
        <v>267</v>
      </c>
      <c r="D17" s="13">
        <f>VLOOKUP($B17,Summary!$B$15:$R$28,Summary!$D$1,FALSE)</f>
        <v>883556</v>
      </c>
      <c r="E17" s="13">
        <f t="shared" si="4"/>
        <v>3309.1985018726591</v>
      </c>
      <c r="F17" s="29"/>
      <c r="G17" s="13">
        <f t="shared" si="7"/>
        <v>30670.087860272848</v>
      </c>
      <c r="H17" s="29"/>
      <c r="I17" s="13">
        <f>Summary!H18</f>
        <v>277.10433201058197</v>
      </c>
      <c r="J17" s="13">
        <f>Summary!I18</f>
        <v>914226.08786027285</v>
      </c>
      <c r="K17" s="29">
        <f t="shared" si="5"/>
        <v>3299.2125428965169</v>
      </c>
      <c r="L17" s="29"/>
      <c r="M17" s="29">
        <f>Summary!M18</f>
        <v>0</v>
      </c>
      <c r="N17" s="29">
        <f>Summary!N18</f>
        <v>0</v>
      </c>
      <c r="O17" s="29">
        <f t="shared" si="6"/>
        <v>0</v>
      </c>
      <c r="P17" s="29"/>
      <c r="Q17" s="29"/>
      <c r="R17" s="29"/>
    </row>
    <row r="18" spans="1:43" ht="14.25" customHeight="1">
      <c r="A18" s="99"/>
      <c r="B18" s="180" t="s">
        <v>537</v>
      </c>
      <c r="C18" s="13">
        <f>Summary!C19</f>
        <v>12355</v>
      </c>
      <c r="D18" s="13">
        <f>VLOOKUP($B18,Summary!$B$15:$R$28,Summary!$D$1,FALSE)</f>
        <v>4729503</v>
      </c>
      <c r="E18" s="13">
        <f t="shared" si="4"/>
        <v>382.80072845002024</v>
      </c>
      <c r="F18" s="29"/>
      <c r="G18" s="13">
        <f t="shared" si="7"/>
        <v>8849.0913855982944</v>
      </c>
      <c r="H18" s="29"/>
      <c r="I18" s="13">
        <f>Summary!H19</f>
        <v>12321.763072238684</v>
      </c>
      <c r="J18" s="13">
        <f>Summary!I19</f>
        <v>4738352.0913855983</v>
      </c>
      <c r="K18" s="29">
        <f t="shared" si="5"/>
        <v>384.55146910438924</v>
      </c>
      <c r="L18" s="29"/>
      <c r="M18" s="29">
        <f>Summary!M19</f>
        <v>0</v>
      </c>
      <c r="N18" s="29">
        <f>Summary!N19</f>
        <v>0</v>
      </c>
      <c r="O18" s="29">
        <f t="shared" si="6"/>
        <v>0</v>
      </c>
      <c r="P18" s="29"/>
      <c r="Q18" s="29"/>
      <c r="R18" s="29"/>
    </row>
    <row r="19" spans="1:43" ht="12.6" customHeight="1">
      <c r="A19" s="99"/>
      <c r="B19" s="180" t="s">
        <v>535</v>
      </c>
      <c r="C19" s="13">
        <f>Summary!C20</f>
        <v>314</v>
      </c>
      <c r="D19" s="13">
        <f>VLOOKUP($B19,Summary!$B$15:$R$28,Summary!$D$1,FALSE)</f>
        <v>1168672</v>
      </c>
      <c r="E19" s="13">
        <f t="shared" si="4"/>
        <v>3721.8853503184714</v>
      </c>
      <c r="F19" s="29"/>
      <c r="G19" s="13">
        <f t="shared" si="7"/>
        <v>-19046.953115826007</v>
      </c>
      <c r="H19" s="29"/>
      <c r="I19" s="13">
        <f>Summary!H20</f>
        <v>319.42592592592592</v>
      </c>
      <c r="J19" s="13">
        <f>Summary!I20</f>
        <v>1149625.046884174</v>
      </c>
      <c r="K19" s="29">
        <f t="shared" si="5"/>
        <v>3599.0348734271784</v>
      </c>
      <c r="L19" s="29"/>
      <c r="M19" s="29">
        <f>Summary!M20</f>
        <v>0</v>
      </c>
      <c r="N19" s="29">
        <f>Summary!N20</f>
        <v>0</v>
      </c>
      <c r="O19" s="29">
        <f t="shared" si="6"/>
        <v>0</v>
      </c>
      <c r="P19" s="29"/>
      <c r="Q19" s="29"/>
      <c r="R19" s="29"/>
    </row>
    <row r="20" spans="1:43">
      <c r="A20" s="99"/>
      <c r="B20" s="180" t="s">
        <v>522</v>
      </c>
      <c r="C20" s="13">
        <f>Summary!C21</f>
        <v>86</v>
      </c>
      <c r="D20" s="13">
        <f>VLOOKUP($B20,Summary!$B$15:$R$28,Summary!$D$1,FALSE)</f>
        <v>1699928</v>
      </c>
      <c r="E20" s="13">
        <f t="shared" si="4"/>
        <v>19766.60465116279</v>
      </c>
      <c r="F20" s="29"/>
      <c r="G20" s="13">
        <f t="shared" si="7"/>
        <v>-4834.5372506265994</v>
      </c>
      <c r="H20" s="29"/>
      <c r="I20" s="13">
        <f>Summary!H21</f>
        <v>87.083333333333329</v>
      </c>
      <c r="J20" s="13">
        <f>Summary!I21</f>
        <v>1695093.4627493734</v>
      </c>
      <c r="K20" s="29">
        <f t="shared" si="5"/>
        <v>19465.188088988019</v>
      </c>
      <c r="L20" s="29"/>
      <c r="M20" s="29">
        <f>Summary!M21</f>
        <v>506.50925925925924</v>
      </c>
      <c r="N20" s="29">
        <f>Summary!N21</f>
        <v>7053235.6826057564</v>
      </c>
      <c r="O20" s="29">
        <f t="shared" si="6"/>
        <v>13925.186072453462</v>
      </c>
      <c r="P20" s="29"/>
      <c r="Q20" s="29"/>
      <c r="R20" s="29"/>
    </row>
    <row r="21" spans="1:43">
      <c r="A21" s="99"/>
      <c r="B21" s="180" t="s">
        <v>538</v>
      </c>
      <c r="C21" s="13">
        <f>Summary!C22</f>
        <v>83</v>
      </c>
      <c r="D21" s="13">
        <f>VLOOKUP($B21,Summary!$B$15:$R$28,Summary!$D$1,FALSE)</f>
        <v>1036504</v>
      </c>
      <c r="E21" s="13">
        <f t="shared" si="4"/>
        <v>12488</v>
      </c>
      <c r="F21" s="29"/>
      <c r="G21" s="13">
        <f t="shared" si="7"/>
        <v>-23242.222926286398</v>
      </c>
      <c r="H21" s="29"/>
      <c r="I21" s="13">
        <f>Summary!H22</f>
        <v>83</v>
      </c>
      <c r="J21" s="13">
        <f>Summary!I22</f>
        <v>1013261.7770737136</v>
      </c>
      <c r="K21" s="29">
        <f t="shared" si="5"/>
        <v>12207.973217755585</v>
      </c>
      <c r="L21" s="29"/>
      <c r="M21" s="29">
        <f>Summary!M22</f>
        <v>0</v>
      </c>
      <c r="N21" s="29">
        <f>Summary!N22</f>
        <v>0</v>
      </c>
      <c r="O21" s="29">
        <f t="shared" si="6"/>
        <v>0</v>
      </c>
      <c r="P21" s="29"/>
      <c r="Q21" s="29"/>
      <c r="R21" s="29"/>
    </row>
    <row r="22" spans="1:43">
      <c r="A22" s="99"/>
      <c r="B22" s="180" t="s">
        <v>539</v>
      </c>
      <c r="C22" s="13">
        <f>Summary!C23</f>
        <v>36</v>
      </c>
      <c r="D22" s="13">
        <f>VLOOKUP($B22,Summary!$B$15:$R$28,Summary!$D$1,FALSE)</f>
        <v>0</v>
      </c>
      <c r="E22" s="13">
        <f t="shared" si="4"/>
        <v>0</v>
      </c>
      <c r="F22" s="29"/>
      <c r="G22" s="13">
        <f t="shared" si="7"/>
        <v>0</v>
      </c>
      <c r="H22" s="29"/>
      <c r="I22" s="13">
        <f>Summary!H23</f>
        <v>36</v>
      </c>
      <c r="J22" s="13">
        <f>Summary!I23</f>
        <v>0</v>
      </c>
      <c r="K22" s="29">
        <f t="shared" si="5"/>
        <v>0</v>
      </c>
      <c r="L22" s="29"/>
      <c r="M22" s="29">
        <f>Summary!M23</f>
        <v>0</v>
      </c>
      <c r="N22" s="29">
        <f>Summary!N23</f>
        <v>0</v>
      </c>
      <c r="O22" s="29">
        <f t="shared" si="6"/>
        <v>0</v>
      </c>
      <c r="P22" s="11"/>
      <c r="Q22" s="29"/>
      <c r="R22" s="29"/>
      <c r="S22" s="16"/>
      <c r="T22" s="16"/>
      <c r="U22" s="16"/>
      <c r="V22" s="11"/>
      <c r="W22" s="11"/>
      <c r="X22" s="11"/>
      <c r="Y22" s="24"/>
      <c r="Z22" s="12"/>
      <c r="AA22" s="26"/>
      <c r="AB22" s="12"/>
      <c r="AC22" s="26"/>
      <c r="AE22" s="17"/>
      <c r="AF22" s="76"/>
      <c r="AG22" s="17"/>
      <c r="AH22" s="76"/>
      <c r="AI22" s="10"/>
      <c r="AJ22" s="77"/>
      <c r="AM22" s="17"/>
      <c r="AN22" s="76"/>
      <c r="AO22" s="13"/>
      <c r="AP22" s="13"/>
      <c r="AQ22" s="18"/>
    </row>
    <row r="23" spans="1:43">
      <c r="A23" s="99"/>
      <c r="B23" s="180" t="s">
        <v>540</v>
      </c>
      <c r="C23" s="13">
        <f>Summary!C24</f>
        <v>24</v>
      </c>
      <c r="D23" s="13">
        <f>VLOOKUP($B23,Summary!$B$15:$R$28,Summary!$D$1,FALSE)</f>
        <v>791</v>
      </c>
      <c r="E23" s="13">
        <f t="shared" si="4"/>
        <v>32.958333333333336</v>
      </c>
      <c r="F23" s="29"/>
      <c r="G23" s="13">
        <f>J23-D23</f>
        <v>-13.343149719307121</v>
      </c>
      <c r="H23" s="29"/>
      <c r="I23" s="13">
        <f>Summary!H24</f>
        <v>24</v>
      </c>
      <c r="J23" s="13">
        <f>Summary!I24</f>
        <v>777.65685028069288</v>
      </c>
      <c r="K23" s="29">
        <f t="shared" si="5"/>
        <v>32.402368761695534</v>
      </c>
      <c r="L23" s="29"/>
      <c r="M23" s="29">
        <f>Summary!M24</f>
        <v>0</v>
      </c>
      <c r="N23" s="29">
        <f>Summary!N24</f>
        <v>0</v>
      </c>
      <c r="O23" s="29">
        <f t="shared" si="6"/>
        <v>0</v>
      </c>
      <c r="P23" s="29"/>
      <c r="Q23" s="29"/>
      <c r="R23" s="29"/>
    </row>
    <row r="24" spans="1:43">
      <c r="A24" s="99"/>
      <c r="B24" s="181" t="s">
        <v>541</v>
      </c>
      <c r="C24" s="13">
        <f>Summary!C25</f>
        <v>47</v>
      </c>
      <c r="D24" s="13">
        <f>VLOOKUP($B24,Summary!$B$15:$R$28,Summary!$D$1,FALSE)</f>
        <v>7495</v>
      </c>
      <c r="E24" s="13">
        <f t="shared" si="4"/>
        <v>159.46808510638297</v>
      </c>
      <c r="F24" s="29"/>
      <c r="G24" s="13">
        <f t="shared" ref="G24:G29" si="8">J24-D24</f>
        <v>-1089.6975821008637</v>
      </c>
      <c r="H24" s="29"/>
      <c r="I24" s="13">
        <f>Summary!H25</f>
        <v>47</v>
      </c>
      <c r="J24" s="13">
        <f>Summary!I25</f>
        <v>6405.3024178991363</v>
      </c>
      <c r="K24" s="29">
        <f t="shared" si="5"/>
        <v>136.28303016806674</v>
      </c>
      <c r="L24" s="29"/>
      <c r="M24" s="29">
        <f>Summary!M25</f>
        <v>0</v>
      </c>
      <c r="N24" s="29">
        <f>Summary!N25</f>
        <v>0</v>
      </c>
      <c r="O24" s="29">
        <f t="shared" si="6"/>
        <v>0</v>
      </c>
      <c r="P24" s="29"/>
      <c r="Q24" s="29"/>
      <c r="R24" s="29"/>
    </row>
    <row r="25" spans="1:43">
      <c r="A25" s="99"/>
      <c r="B25" s="182" t="s">
        <v>542</v>
      </c>
      <c r="C25" s="13">
        <f>Summary!C26</f>
        <v>96</v>
      </c>
      <c r="D25" s="13">
        <f>VLOOKUP($B25,Summary!$B$15:$R$28,Summary!$D$1,FALSE)</f>
        <v>1545731</v>
      </c>
      <c r="E25" s="13">
        <f t="shared" ref="E25:E27" si="9">IFERROR(D25/C25,0)</f>
        <v>16101.364583333334</v>
      </c>
      <c r="F25" s="29"/>
      <c r="G25" s="13">
        <f t="shared" ref="G25:G27" si="10">J25-D25</f>
        <v>0</v>
      </c>
      <c r="H25" s="29"/>
      <c r="I25" s="13">
        <f>Summary!H26</f>
        <v>96</v>
      </c>
      <c r="J25" s="13">
        <f>Summary!I26</f>
        <v>1545731</v>
      </c>
      <c r="K25" s="29">
        <f t="shared" ref="K25:K27" si="11">IFERROR(J25/I25,0)</f>
        <v>16101.364583333334</v>
      </c>
      <c r="L25" s="29"/>
      <c r="M25" s="29">
        <f>Summary!M26</f>
        <v>0</v>
      </c>
      <c r="N25" s="29">
        <f>Summary!N26</f>
        <v>0</v>
      </c>
      <c r="O25" s="29">
        <f t="shared" ref="O25:O27" si="12">IFERROR(N25/M25,0)</f>
        <v>0</v>
      </c>
      <c r="P25" s="29"/>
      <c r="Q25" s="29"/>
      <c r="R25" s="29"/>
    </row>
    <row r="26" spans="1:43">
      <c r="A26" s="99"/>
      <c r="B26" s="180" t="s">
        <v>543</v>
      </c>
      <c r="C26" s="13">
        <f>Summary!C27</f>
        <v>96</v>
      </c>
      <c r="D26" s="13">
        <f>VLOOKUP($B26,Summary!$B$15:$R$28,Summary!$D$1,FALSE)</f>
        <v>14114075</v>
      </c>
      <c r="E26" s="13">
        <f t="shared" si="9"/>
        <v>147021.61458333334</v>
      </c>
      <c r="F26" s="29"/>
      <c r="G26" s="13">
        <f t="shared" si="10"/>
        <v>0</v>
      </c>
      <c r="H26" s="29"/>
      <c r="I26" s="13">
        <f>Summary!H27</f>
        <v>96</v>
      </c>
      <c r="J26" s="13">
        <f>Summary!I27</f>
        <v>14114075</v>
      </c>
      <c r="K26" s="29">
        <f t="shared" si="11"/>
        <v>147021.61458333334</v>
      </c>
      <c r="L26" s="29"/>
      <c r="M26" s="29">
        <f>Summary!M27</f>
        <v>276</v>
      </c>
      <c r="N26" s="29">
        <f>Summary!N27</f>
        <v>20564752</v>
      </c>
      <c r="O26" s="29">
        <f t="shared" si="12"/>
        <v>74509.971014492752</v>
      </c>
      <c r="P26" s="29"/>
      <c r="Q26" s="29"/>
      <c r="R26" s="29"/>
    </row>
    <row r="27" spans="1:43">
      <c r="A27" s="99"/>
      <c r="B27" s="180" t="s">
        <v>544</v>
      </c>
      <c r="C27" s="13">
        <f>Summary!C28</f>
        <v>84</v>
      </c>
      <c r="D27" s="13">
        <f>VLOOKUP($B27,Summary!$B$15:$R$28,Summary!$D$1,FALSE)</f>
        <v>4904946</v>
      </c>
      <c r="E27" s="13">
        <f t="shared" si="9"/>
        <v>58392.214285714283</v>
      </c>
      <c r="F27" s="29"/>
      <c r="G27" s="13">
        <f t="shared" si="10"/>
        <v>0</v>
      </c>
      <c r="H27" s="29"/>
      <c r="I27" s="13">
        <f>Summary!H28</f>
        <v>84</v>
      </c>
      <c r="J27" s="13">
        <f>Summary!I28</f>
        <v>4904946</v>
      </c>
      <c r="K27" s="29">
        <f t="shared" si="11"/>
        <v>58392.214285714283</v>
      </c>
      <c r="L27" s="29"/>
      <c r="M27" s="29">
        <f>Summary!M28</f>
        <v>0</v>
      </c>
      <c r="N27" s="29">
        <f>Summary!N28</f>
        <v>0</v>
      </c>
      <c r="O27" s="29">
        <f t="shared" si="12"/>
        <v>0</v>
      </c>
      <c r="P27" s="29"/>
      <c r="Q27" s="29"/>
      <c r="R27" s="29"/>
    </row>
    <row r="28" spans="1:43">
      <c r="A28" s="99"/>
      <c r="B28" s="180" t="s">
        <v>545</v>
      </c>
      <c r="C28" s="13">
        <f>Summary!C29</f>
        <v>96</v>
      </c>
      <c r="D28" s="13">
        <f>VLOOKUP($B28,Summary!$B$15:$R$30,Summary!$D$1,FALSE)</f>
        <v>13532527</v>
      </c>
      <c r="E28" s="13">
        <f t="shared" si="4"/>
        <v>140963.82291666666</v>
      </c>
      <c r="F28" s="29"/>
      <c r="G28" s="13">
        <f t="shared" si="8"/>
        <v>0</v>
      </c>
      <c r="H28" s="29"/>
      <c r="I28" s="13">
        <f>Summary!H29</f>
        <v>96</v>
      </c>
      <c r="J28" s="13">
        <f>Summary!I29</f>
        <v>13532527</v>
      </c>
      <c r="K28" s="29">
        <f t="shared" si="5"/>
        <v>140963.82291666666</v>
      </c>
      <c r="L28" s="29"/>
      <c r="M28" s="29">
        <f>Summary!M29</f>
        <v>168</v>
      </c>
      <c r="N28" s="29">
        <f>Summary!N29</f>
        <v>14970375</v>
      </c>
      <c r="O28" s="29">
        <f>IFERROR(N28/M28,0)</f>
        <v>89109.375</v>
      </c>
      <c r="P28" s="29"/>
      <c r="Q28" s="29"/>
      <c r="R28" s="29"/>
    </row>
    <row r="29" spans="1:43">
      <c r="A29" s="99"/>
      <c r="B29" s="180" t="s">
        <v>546</v>
      </c>
      <c r="C29" s="13">
        <f>Summary!C30</f>
        <v>72</v>
      </c>
      <c r="D29" s="13">
        <f>VLOOKUP($B29,Summary!$B$15:$R$30,Summary!$D$1,FALSE)</f>
        <v>1437848</v>
      </c>
      <c r="E29" s="13">
        <f t="shared" si="4"/>
        <v>19970.111111111109</v>
      </c>
      <c r="F29" s="29"/>
      <c r="G29" s="13">
        <f t="shared" si="8"/>
        <v>0</v>
      </c>
      <c r="H29" s="29"/>
      <c r="I29" s="13">
        <f>Summary!H30</f>
        <v>72</v>
      </c>
      <c r="J29" s="13">
        <f>Summary!I30</f>
        <v>1437848</v>
      </c>
      <c r="K29" s="29">
        <f t="shared" si="5"/>
        <v>19970.111111111109</v>
      </c>
      <c r="L29" s="29"/>
      <c r="M29" s="29">
        <f>Summary!M30</f>
        <v>0</v>
      </c>
      <c r="N29" s="29">
        <f>Summary!N30</f>
        <v>0</v>
      </c>
      <c r="O29" s="29">
        <f>IFERROR(N29/M29,0)</f>
        <v>0</v>
      </c>
      <c r="P29" s="29"/>
      <c r="Q29" s="29"/>
      <c r="R29" s="29"/>
    </row>
    <row r="30" spans="1:43">
      <c r="A30" s="99"/>
      <c r="B30" s="15" t="s">
        <v>588</v>
      </c>
      <c r="C30" s="73">
        <f>SUM(C14:C29)-C11</f>
        <v>0</v>
      </c>
      <c r="D30" s="73">
        <f t="shared" ref="D30:O30" si="13">SUM(D14:D29)-D11</f>
        <v>0</v>
      </c>
      <c r="E30" s="73">
        <f t="shared" si="13"/>
        <v>0</v>
      </c>
      <c r="F30" s="73"/>
      <c r="G30" s="73">
        <f t="shared" si="13"/>
        <v>0</v>
      </c>
      <c r="H30" s="73">
        <f t="shared" si="13"/>
        <v>0</v>
      </c>
      <c r="I30" s="73">
        <f t="shared" si="13"/>
        <v>0</v>
      </c>
      <c r="J30" s="73">
        <f t="shared" si="13"/>
        <v>0</v>
      </c>
      <c r="K30" s="73">
        <f t="shared" si="13"/>
        <v>0</v>
      </c>
      <c r="L30" s="73">
        <f t="shared" si="13"/>
        <v>0</v>
      </c>
      <c r="M30" s="73">
        <f t="shared" si="13"/>
        <v>0</v>
      </c>
      <c r="N30" s="73">
        <f t="shared" si="13"/>
        <v>0</v>
      </c>
      <c r="O30" s="73">
        <f t="shared" si="13"/>
        <v>0</v>
      </c>
      <c r="P30" s="29"/>
      <c r="R30" s="29"/>
    </row>
    <row r="31" spans="1:43">
      <c r="A31" s="99"/>
      <c r="B31" s="15"/>
      <c r="C31" s="13"/>
      <c r="D31" s="13"/>
      <c r="E31" s="13"/>
      <c r="F31" s="29"/>
      <c r="G31" s="13"/>
      <c r="H31" s="29"/>
      <c r="I31" s="13"/>
      <c r="J31" s="13"/>
      <c r="K31" s="29"/>
      <c r="L31" s="29"/>
      <c r="M31" s="29"/>
      <c r="N31" s="29"/>
      <c r="O31" s="29"/>
      <c r="P31" s="29"/>
      <c r="R31" s="29"/>
    </row>
    <row r="32" spans="1:43">
      <c r="A32" s="99"/>
      <c r="B32" s="15"/>
      <c r="D32" s="49">
        <f>SUM('[5]TY Billing Determinants'!$K$2:$K$133)</f>
        <v>-36121.000000003893</v>
      </c>
      <c r="E32" s="12"/>
      <c r="F32" s="29"/>
      <c r="G32" s="13"/>
      <c r="H32" s="29"/>
      <c r="I32" s="13"/>
      <c r="J32" s="13"/>
      <c r="K32" s="29"/>
      <c r="L32" s="29"/>
      <c r="M32" s="29"/>
      <c r="N32" s="29"/>
      <c r="O32" s="29"/>
      <c r="P32" s="29"/>
      <c r="R32" s="29"/>
    </row>
    <row r="33" spans="1:18">
      <c r="A33" s="99"/>
      <c r="B33" s="15" t="s">
        <v>589</v>
      </c>
      <c r="C33" s="13">
        <f>C11+C32-Summary!C11</f>
        <v>0</v>
      </c>
      <c r="D33" s="13">
        <f>D11+D32-Summary!D11</f>
        <v>0</v>
      </c>
      <c r="E33" s="13"/>
      <c r="F33" s="29"/>
      <c r="G33" s="13"/>
      <c r="H33" s="29"/>
      <c r="I33" s="13">
        <f>I11-Summary!H11</f>
        <v>0</v>
      </c>
      <c r="J33" s="13">
        <f>J11-Summary!I11</f>
        <v>0</v>
      </c>
      <c r="K33" s="29"/>
      <c r="L33" s="29"/>
      <c r="M33" s="29">
        <f>M11-Summary!M11</f>
        <v>0</v>
      </c>
      <c r="N33" s="29">
        <f>N11-Summary!N11</f>
        <v>0</v>
      </c>
      <c r="O33" s="29"/>
      <c r="P33" s="29"/>
      <c r="R33" s="29"/>
    </row>
    <row r="34" spans="1:18">
      <c r="A34" s="99"/>
      <c r="B34" s="15"/>
      <c r="C34" s="13"/>
      <c r="D34" s="13"/>
      <c r="E34" s="13"/>
      <c r="F34" s="53"/>
      <c r="G34" s="13"/>
      <c r="H34" s="53"/>
      <c r="I34" s="13"/>
      <c r="J34" s="13"/>
      <c r="K34" s="53"/>
      <c r="L34" s="53"/>
      <c r="M34" s="53"/>
      <c r="N34" s="53"/>
      <c r="O34" s="53"/>
      <c r="P34" s="29"/>
      <c r="R34" s="29"/>
    </row>
    <row r="35" spans="1:18">
      <c r="A35" s="99"/>
      <c r="B35" s="15"/>
      <c r="C35" s="13"/>
      <c r="D35" s="13"/>
      <c r="E35" s="13"/>
      <c r="F35" s="29"/>
      <c r="G35" s="13"/>
      <c r="H35" s="29"/>
      <c r="I35" s="13"/>
      <c r="J35" s="13"/>
      <c r="K35" s="29"/>
      <c r="L35" s="29"/>
      <c r="M35" s="29"/>
      <c r="N35" s="29"/>
      <c r="O35" s="29"/>
      <c r="P35" s="29"/>
      <c r="R35" s="29"/>
    </row>
    <row r="36" spans="1:18">
      <c r="A36" s="99"/>
      <c r="B36" s="15"/>
      <c r="C36" s="13"/>
      <c r="D36" s="13"/>
      <c r="E36" s="13"/>
      <c r="F36" s="29"/>
      <c r="G36" s="13"/>
      <c r="H36" s="29"/>
      <c r="I36" s="13"/>
      <c r="J36" s="13"/>
      <c r="K36" s="29"/>
      <c r="L36" s="29"/>
      <c r="M36" s="29"/>
      <c r="N36" s="29"/>
      <c r="O36" s="29"/>
      <c r="P36" s="29"/>
      <c r="R36" s="29"/>
    </row>
    <row r="37" spans="1:18">
      <c r="A37" s="99"/>
      <c r="B37" s="15"/>
      <c r="C37" s="13"/>
      <c r="D37" s="13"/>
      <c r="E37" s="13"/>
      <c r="F37" s="29"/>
      <c r="G37" s="13"/>
      <c r="H37" s="29"/>
      <c r="I37" s="13"/>
      <c r="J37" s="13"/>
      <c r="K37" s="29"/>
      <c r="L37" s="29"/>
      <c r="M37" s="29"/>
      <c r="N37" s="29"/>
      <c r="O37" s="29"/>
      <c r="P37" s="29"/>
      <c r="R37" s="29"/>
    </row>
    <row r="38" spans="1:18">
      <c r="A38" s="99"/>
      <c r="B38" s="15"/>
      <c r="C38" s="13"/>
      <c r="D38" s="13"/>
      <c r="E38" s="13"/>
      <c r="F38" s="29"/>
      <c r="G38" s="13"/>
      <c r="H38" s="29"/>
      <c r="I38" s="13"/>
      <c r="J38" s="13"/>
      <c r="K38" s="29"/>
      <c r="L38" s="29"/>
      <c r="M38" s="29"/>
      <c r="N38" s="29"/>
      <c r="O38" s="29"/>
      <c r="P38" s="29"/>
      <c r="R38" s="29"/>
    </row>
    <row r="39" spans="1:18">
      <c r="A39" s="99"/>
      <c r="B39" s="15"/>
      <c r="C39" s="13"/>
      <c r="D39" s="13"/>
      <c r="E39" s="13"/>
      <c r="F39" s="29"/>
      <c r="G39" s="13"/>
      <c r="H39" s="29"/>
      <c r="I39" s="13"/>
      <c r="J39" s="13"/>
      <c r="K39" s="29"/>
      <c r="L39" s="29"/>
      <c r="M39" s="29"/>
      <c r="N39" s="29"/>
      <c r="O39" s="29"/>
      <c r="P39" s="29"/>
      <c r="R39" s="29"/>
    </row>
    <row r="40" spans="1:18">
      <c r="A40" s="99"/>
      <c r="B40" s="15"/>
      <c r="C40" s="13"/>
      <c r="D40" s="13"/>
      <c r="E40" s="13"/>
      <c r="F40" s="29"/>
      <c r="G40" s="13"/>
      <c r="H40" s="29"/>
      <c r="I40" s="13"/>
      <c r="J40" s="13"/>
      <c r="K40" s="29"/>
      <c r="L40" s="29"/>
      <c r="M40" s="29"/>
      <c r="N40" s="29"/>
      <c r="O40" s="29"/>
      <c r="P40" s="29"/>
      <c r="R40" s="29"/>
    </row>
    <row r="41" spans="1:18">
      <c r="A41" s="99"/>
      <c r="B41" s="15"/>
      <c r="C41" s="13"/>
      <c r="D41" s="13"/>
      <c r="E41" s="13"/>
      <c r="G41" s="13"/>
      <c r="I41" s="13"/>
      <c r="J41" s="13"/>
    </row>
    <row r="42" spans="1:18">
      <c r="A42" s="99"/>
      <c r="B42" s="15"/>
      <c r="C42" s="13"/>
      <c r="D42" s="13"/>
      <c r="E42" s="13"/>
      <c r="F42" s="29"/>
      <c r="G42" s="13"/>
      <c r="H42" s="29"/>
      <c r="I42" s="13"/>
      <c r="J42" s="13"/>
      <c r="K42" s="29"/>
      <c r="L42" s="29"/>
      <c r="M42" s="29"/>
      <c r="N42" s="29"/>
      <c r="O42" s="29"/>
    </row>
    <row r="43" spans="1:18">
      <c r="A43" s="99"/>
      <c r="B43" s="15"/>
      <c r="C43" s="13"/>
      <c r="D43" s="13"/>
      <c r="E43" s="13"/>
      <c r="F43" s="29"/>
      <c r="G43" s="13"/>
      <c r="H43" s="29"/>
      <c r="I43" s="13"/>
      <c r="J43" s="13"/>
      <c r="K43" s="29"/>
      <c r="L43" s="29"/>
      <c r="M43" s="29"/>
      <c r="N43" s="29"/>
      <c r="O43" s="29"/>
      <c r="P43" s="29"/>
      <c r="R43" s="29"/>
    </row>
    <row r="44" spans="1:18">
      <c r="A44" s="99"/>
      <c r="B44" s="15"/>
      <c r="C44" s="13"/>
      <c r="D44" s="13"/>
      <c r="E44" s="13"/>
      <c r="G44" s="13"/>
      <c r="I44" s="13"/>
      <c r="J44" s="13"/>
    </row>
    <row r="45" spans="1:18">
      <c r="A45" s="99"/>
      <c r="B45" s="15"/>
      <c r="C45" s="13"/>
      <c r="D45" s="13"/>
      <c r="E45" s="13"/>
      <c r="G45" s="13"/>
      <c r="I45" s="13"/>
      <c r="J45" s="13"/>
    </row>
    <row r="46" spans="1:18">
      <c r="A46" s="99"/>
      <c r="B46" s="15"/>
      <c r="C46" s="13"/>
      <c r="D46" s="13"/>
      <c r="E46" s="13"/>
      <c r="F46" s="29"/>
      <c r="G46" s="13"/>
      <c r="H46" s="29"/>
      <c r="I46" s="13"/>
      <c r="J46" s="13"/>
      <c r="K46" s="29"/>
      <c r="L46" s="29"/>
      <c r="M46" s="29"/>
      <c r="N46" s="29"/>
      <c r="O46" s="29"/>
    </row>
    <row r="47" spans="1:18">
      <c r="A47" s="99"/>
      <c r="B47" s="15"/>
      <c r="C47" s="13"/>
      <c r="D47" s="13"/>
      <c r="E47" s="13"/>
      <c r="F47" s="29"/>
      <c r="G47" s="13"/>
      <c r="H47" s="29"/>
      <c r="I47" s="13"/>
      <c r="J47" s="13"/>
      <c r="K47" s="29"/>
      <c r="L47" s="29"/>
      <c r="M47" s="29"/>
      <c r="N47" s="29"/>
      <c r="O47" s="29"/>
    </row>
    <row r="48" spans="1:18">
      <c r="A48" s="99"/>
      <c r="B48" s="15"/>
      <c r="C48" s="13"/>
      <c r="D48" s="13"/>
      <c r="E48" s="13"/>
      <c r="F48" s="29"/>
      <c r="G48" s="13"/>
      <c r="H48" s="29"/>
      <c r="I48" s="13"/>
      <c r="J48" s="13"/>
      <c r="K48" s="29"/>
      <c r="L48" s="29"/>
      <c r="M48" s="29"/>
      <c r="N48" s="29"/>
      <c r="O48" s="29"/>
    </row>
    <row r="49" spans="1:15">
      <c r="A49" s="99"/>
      <c r="B49" s="15"/>
      <c r="C49" s="13"/>
      <c r="D49" s="13"/>
      <c r="E49" s="13"/>
      <c r="F49" s="29"/>
      <c r="G49" s="13"/>
      <c r="H49" s="29"/>
      <c r="I49" s="13"/>
      <c r="J49" s="13"/>
      <c r="K49" s="29"/>
      <c r="L49" s="29"/>
      <c r="M49" s="29"/>
      <c r="N49" s="29"/>
      <c r="O49" s="29"/>
    </row>
    <row r="50" spans="1:15">
      <c r="A50" s="99"/>
      <c r="B50" s="15"/>
      <c r="C50" s="13"/>
      <c r="D50" s="13"/>
      <c r="E50" s="13"/>
      <c r="G50" s="13"/>
      <c r="I50" s="13"/>
      <c r="J50" s="13"/>
    </row>
    <row r="51" spans="1:15">
      <c r="A51" s="36"/>
      <c r="B51" s="36"/>
    </row>
    <row r="52" spans="1:15">
      <c r="B52" s="23"/>
    </row>
    <row r="53" spans="1:15">
      <c r="B53" s="22"/>
    </row>
    <row r="105" spans="11:14" ht="15">
      <c r="K105"/>
      <c r="L105"/>
      <c r="M105"/>
      <c r="N105"/>
    </row>
    <row r="106" spans="11:14" ht="15">
      <c r="K106"/>
      <c r="L106"/>
      <c r="M106"/>
      <c r="N106"/>
    </row>
    <row r="107" spans="11:14" ht="15">
      <c r="K107"/>
      <c r="L107"/>
      <c r="M107"/>
      <c r="N107"/>
    </row>
    <row r="108" spans="11:14" ht="15">
      <c r="K108"/>
      <c r="L108"/>
      <c r="M108"/>
      <c r="N108"/>
    </row>
    <row r="109" spans="11:14" ht="15">
      <c r="K109"/>
      <c r="L109"/>
      <c r="M109"/>
      <c r="N109"/>
    </row>
    <row r="110" spans="11:14" ht="15">
      <c r="K110"/>
      <c r="L110"/>
      <c r="M110"/>
      <c r="N110"/>
    </row>
    <row r="111" spans="11:14" ht="15">
      <c r="K111"/>
      <c r="L111"/>
      <c r="M111"/>
      <c r="N111"/>
    </row>
    <row r="112" spans="11:14" ht="15">
      <c r="K112"/>
      <c r="L112"/>
      <c r="M112"/>
      <c r="N112"/>
    </row>
    <row r="113" spans="11:14" ht="15">
      <c r="K113"/>
      <c r="L113"/>
      <c r="M113"/>
      <c r="N113"/>
    </row>
    <row r="114" spans="11:14" ht="15">
      <c r="K114"/>
      <c r="L114"/>
      <c r="M114"/>
      <c r="N114"/>
    </row>
    <row r="115" spans="11:14" ht="15">
      <c r="K115"/>
      <c r="L115"/>
      <c r="M115"/>
      <c r="N115"/>
    </row>
    <row r="116" spans="11:14" ht="15">
      <c r="K116"/>
      <c r="L116"/>
      <c r="M116"/>
      <c r="N116"/>
    </row>
    <row r="117" spans="11:14" ht="15">
      <c r="K117"/>
      <c r="L117"/>
      <c r="M117"/>
      <c r="N117"/>
    </row>
    <row r="118" spans="11:14" ht="15">
      <c r="K118"/>
      <c r="L118"/>
      <c r="M118"/>
      <c r="N118"/>
    </row>
    <row r="119" spans="11:14" ht="15">
      <c r="K119"/>
      <c r="L119"/>
      <c r="M119"/>
      <c r="N119"/>
    </row>
    <row r="120" spans="11:14" ht="15">
      <c r="K120"/>
      <c r="L120"/>
      <c r="M120"/>
      <c r="N120"/>
    </row>
    <row r="121" spans="11:14" ht="15">
      <c r="K121"/>
      <c r="L121"/>
      <c r="M121"/>
      <c r="N121"/>
    </row>
    <row r="122" spans="11:14" ht="15">
      <c r="K122"/>
      <c r="L122"/>
      <c r="M122"/>
      <c r="N122"/>
    </row>
    <row r="123" spans="11:14" ht="15">
      <c r="K123"/>
      <c r="L123"/>
      <c r="M123"/>
      <c r="N123"/>
    </row>
    <row r="124" spans="11:14" ht="15">
      <c r="K124"/>
      <c r="L124"/>
      <c r="M124"/>
      <c r="N124"/>
    </row>
    <row r="125" spans="11:14" ht="15">
      <c r="K125"/>
      <c r="L125"/>
      <c r="M125"/>
      <c r="N125"/>
    </row>
    <row r="126" spans="11:14" ht="15">
      <c r="K126"/>
      <c r="L126"/>
      <c r="M126"/>
      <c r="N126"/>
    </row>
    <row r="127" spans="11:14" ht="15">
      <c r="K127"/>
      <c r="L127"/>
      <c r="M127"/>
      <c r="N127"/>
    </row>
    <row r="301" spans="5:12">
      <c r="E301" s="4">
        <f>Summary!C9*F298</f>
        <v>0</v>
      </c>
      <c r="H301" s="4">
        <f>Summary!H9*I298</f>
        <v>0</v>
      </c>
      <c r="L301" s="4">
        <f>Summary!M9*M298</f>
        <v>0</v>
      </c>
    </row>
  </sheetData>
  <mergeCells count="3">
    <mergeCell ref="C3:E3"/>
    <mergeCell ref="I3:K3"/>
    <mergeCell ref="M3:O3"/>
  </mergeCells>
  <conditionalFormatting sqref="C30:O30">
    <cfRule type="cellIs" dxfId="128" priority="3" operator="greaterThan">
      <formula>0</formula>
    </cfRule>
  </conditionalFormatting>
  <printOptions horizontalCentered="1"/>
  <pageMargins left="0.45" right="0.45" top="0.75" bottom="0.75" header="0.3" footer="0.3"/>
  <pageSetup scale="75" fitToHeight="0" orientation="landscape" r:id="rId1"/>
  <headerFooter>
    <oddHeader xml:space="preserve">&amp;CUNS Gas, Inc.&amp;"Arial,Regular"&amp;8
&amp;"-,Regular"&amp;9Summary of Revenues by Customer Class
Present and Proposed Revenues
Test Year Ended June 30, 2024&amp;R&amp;10
Schedule H-2
Page &amp;P of &amp;N
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">
    <tabColor rgb="FF92D050"/>
  </sheetPr>
  <dimension ref="A3:AP301"/>
  <sheetViews>
    <sheetView zoomScale="80" zoomScaleNormal="80" zoomScalePageLayoutView="80" workbookViewId="0">
      <selection sqref="A1:B1"/>
    </sheetView>
  </sheetViews>
  <sheetFormatPr defaultColWidth="9.140625" defaultRowHeight="12.75"/>
  <cols>
    <col min="1" max="1" width="13" style="4" bestFit="1" customWidth="1"/>
    <col min="2" max="2" width="29.5703125" style="4" customWidth="1"/>
    <col min="3" max="3" width="16.5703125" style="4" customWidth="1"/>
    <col min="4" max="4" width="1.7109375" style="4" bestFit="1" customWidth="1"/>
    <col min="5" max="5" width="10.5703125" style="4" customWidth="1"/>
    <col min="6" max="6" width="1.140625" style="4" customWidth="1"/>
    <col min="7" max="7" width="16.5703125" style="4" customWidth="1"/>
    <col min="8" max="8" width="5.42578125" style="4" customWidth="1"/>
    <col min="9" max="9" width="18.42578125" style="4" customWidth="1"/>
    <col min="10" max="10" width="0.5703125" style="4" customWidth="1"/>
    <col min="11" max="11" width="16.5703125" style="4" customWidth="1"/>
    <col min="12" max="12" width="8.42578125" style="4" customWidth="1"/>
    <col min="13" max="13" width="0.5703125" style="4" customWidth="1"/>
    <col min="14" max="14" width="16.5703125" style="4" customWidth="1"/>
    <col min="15" max="15" width="8.42578125" style="4" bestFit="1" customWidth="1"/>
    <col min="16" max="16" width="1.42578125" style="4" customWidth="1"/>
    <col min="17" max="17" width="16.5703125" style="4" customWidth="1"/>
    <col min="18" max="18" width="9.140625" style="4"/>
    <col min="19" max="19" width="10.5703125" style="4" customWidth="1"/>
    <col min="20" max="20" width="12.42578125" style="4" bestFit="1" customWidth="1"/>
    <col min="21" max="39" width="10.5703125" style="4" customWidth="1"/>
    <col min="40" max="16384" width="9.140625" style="4"/>
  </cols>
  <sheetData>
    <row r="3" spans="1:42" ht="13.5" thickBot="1">
      <c r="P3" s="25"/>
    </row>
    <row r="4" spans="1:42" ht="42.6" customHeight="1" thickBot="1">
      <c r="C4" s="188" t="s">
        <v>590</v>
      </c>
      <c r="D4" s="89"/>
      <c r="E4" s="54" t="s">
        <v>591</v>
      </c>
      <c r="F4" s="90"/>
      <c r="G4" s="188" t="s">
        <v>592</v>
      </c>
      <c r="H4" s="90"/>
      <c r="I4" s="189" t="s">
        <v>593</v>
      </c>
      <c r="J4" s="91"/>
      <c r="K4" s="738" t="s">
        <v>594</v>
      </c>
      <c r="L4" s="740"/>
      <c r="M4" s="92"/>
      <c r="N4" s="738" t="s">
        <v>595</v>
      </c>
      <c r="O4" s="740"/>
      <c r="P4" s="25"/>
      <c r="Q4" s="54" t="s">
        <v>596</v>
      </c>
    </row>
    <row r="5" spans="1:42">
      <c r="A5" s="802" t="s">
        <v>579</v>
      </c>
      <c r="B5" s="803" t="s">
        <v>555</v>
      </c>
      <c r="C5" s="801" t="s">
        <v>597</v>
      </c>
      <c r="D5" s="36"/>
      <c r="E5" s="804" t="s">
        <v>513</v>
      </c>
      <c r="F5" s="801"/>
      <c r="G5" s="801" t="s">
        <v>597</v>
      </c>
      <c r="H5" s="24"/>
      <c r="I5" s="801" t="s">
        <v>597</v>
      </c>
      <c r="J5" s="36"/>
      <c r="K5" s="801" t="s">
        <v>513</v>
      </c>
      <c r="L5" s="801" t="s">
        <v>514</v>
      </c>
      <c r="M5" s="24"/>
      <c r="N5" s="801" t="s">
        <v>513</v>
      </c>
      <c r="O5" s="801" t="s">
        <v>514</v>
      </c>
      <c r="P5" s="25"/>
      <c r="Q5" s="801" t="s">
        <v>513</v>
      </c>
    </row>
    <row r="6" spans="1:42">
      <c r="A6" s="802"/>
      <c r="B6" s="803"/>
      <c r="C6" s="801"/>
      <c r="D6" s="36"/>
      <c r="E6" s="794"/>
      <c r="F6" s="801"/>
      <c r="G6" s="801"/>
      <c r="H6" s="24"/>
      <c r="I6" s="801"/>
      <c r="J6" s="36"/>
      <c r="K6" s="801"/>
      <c r="L6" s="801"/>
      <c r="M6" s="24"/>
      <c r="N6" s="801"/>
      <c r="O6" s="801"/>
      <c r="P6" s="25"/>
      <c r="Q6" s="801"/>
    </row>
    <row r="7" spans="1:42">
      <c r="I7" s="49"/>
      <c r="P7" s="25"/>
    </row>
    <row r="8" spans="1:42">
      <c r="B8" s="15" t="s">
        <v>563</v>
      </c>
      <c r="C8" s="29"/>
      <c r="D8" s="29"/>
      <c r="E8" s="29"/>
      <c r="F8" s="29"/>
      <c r="G8" s="29"/>
      <c r="H8" s="29"/>
      <c r="I8" s="50"/>
      <c r="J8" s="29"/>
      <c r="K8" s="29"/>
      <c r="L8" s="29"/>
      <c r="M8" s="29"/>
      <c r="N8" s="29"/>
      <c r="O8" s="29"/>
      <c r="P8" s="25"/>
      <c r="Q8" s="29"/>
    </row>
    <row r="9" spans="1:42">
      <c r="B9" s="4" t="str">
        <f>Summary!B8</f>
        <v>Residential</v>
      </c>
      <c r="C9" s="156">
        <f>SUM(C15:C16,C24)</f>
        <v>47259623.975999996</v>
      </c>
      <c r="D9" s="156"/>
      <c r="E9" s="156">
        <f>SUM(E15:E16,E24)</f>
        <v>-371344.99007987429</v>
      </c>
      <c r="F9" s="156"/>
      <c r="G9" s="156">
        <f>SUM(G15:G16,G24)</f>
        <v>47630968.966079876</v>
      </c>
      <c r="H9" s="156"/>
      <c r="I9" s="156">
        <f>SUM(I15:I16,I24)</f>
        <v>54362762.591130532</v>
      </c>
      <c r="J9" s="156"/>
      <c r="K9" s="156">
        <f>SUM(K15:K16,K24)</f>
        <v>7103138.6151305353</v>
      </c>
      <c r="L9" s="88">
        <f>IFERROR(K9/SUM(C9:C9),0)</f>
        <v>0.15030036249839279</v>
      </c>
      <c r="M9" s="9"/>
      <c r="N9" s="156">
        <f>SUM(N15:N16,N24)</f>
        <v>6731793.6250506612</v>
      </c>
      <c r="O9" s="88">
        <f t="shared" ref="O9" si="0">IFERROR(N9/SUM(G9:G9),0)</f>
        <v>0.14133228383081331</v>
      </c>
      <c r="P9" s="25"/>
      <c r="Q9" s="156">
        <f>SUM(Q15:Q16,Q24)</f>
        <v>6731793.6250506612</v>
      </c>
    </row>
    <row r="10" spans="1:42" ht="15">
      <c r="B10" s="4" t="str">
        <f>Summary!B9</f>
        <v>Small Volume General Service</v>
      </c>
      <c r="C10" s="156">
        <f>+SUM(C17:C19,C23,C25)</f>
        <v>14422189.7973</v>
      </c>
      <c r="D10" s="156"/>
      <c r="E10" s="156">
        <f>+SUM(E17:E19,E23,E25)</f>
        <v>32426.890269034942</v>
      </c>
      <c r="F10"/>
      <c r="G10" s="156">
        <f>+SUM(G17:G19,G23,G25)</f>
        <v>14389762.907030964</v>
      </c>
      <c r="H10"/>
      <c r="I10" s="156">
        <f>+SUM(I17:I19,I23,I25)</f>
        <v>15860448.446729843</v>
      </c>
      <c r="J10" s="156">
        <f t="shared" ref="J10:M10" si="1">+SUM(J17:J19)</f>
        <v>0</v>
      </c>
      <c r="K10" s="156">
        <f>+SUM(K17:K19,K23,K25)</f>
        <v>1438258.6494298421</v>
      </c>
      <c r="L10" s="88">
        <f t="shared" ref="L10:L11" si="2">IFERROR(K10/SUM(C10:C10),0)</f>
        <v>9.972540020927341E-2</v>
      </c>
      <c r="M10" s="156">
        <f t="shared" si="1"/>
        <v>0</v>
      </c>
      <c r="N10" s="156">
        <f>+SUM(N17:N19,N23,N25)</f>
        <v>1470685.5396988769</v>
      </c>
      <c r="O10" s="88">
        <f t="shared" ref="O10:O12" si="3">IFERROR(N10/SUM(G10:G10),0)</f>
        <v>0.10220359773824259</v>
      </c>
      <c r="P10" s="25"/>
      <c r="Q10" s="156">
        <f>+SUM(Q17:Q19,Q23,Q25)</f>
        <v>1470685.5396988769</v>
      </c>
    </row>
    <row r="11" spans="1:42" ht="15">
      <c r="B11" s="4" t="str">
        <f>Summary!B10</f>
        <v>Large Volume General Service</v>
      </c>
      <c r="C11" s="156">
        <f>+SUM(C20:C22,C26:C30)</f>
        <v>5651914.9693999998</v>
      </c>
      <c r="D11" s="156"/>
      <c r="E11" s="156">
        <f>+SUM(E20:E22,E26:E30)</f>
        <v>6695.3332919586392</v>
      </c>
      <c r="F11"/>
      <c r="G11" s="156">
        <f>+SUM(G20:G22,G26:G30)</f>
        <v>5645219.6361080408</v>
      </c>
      <c r="H11"/>
      <c r="I11" s="156">
        <f>+SUM(I20:I22,I26:I30)</f>
        <v>7170903.7652302813</v>
      </c>
      <c r="J11" s="156">
        <f>+SUM(J20:J22)</f>
        <v>0</v>
      </c>
      <c r="K11" s="156">
        <f>+SUM(K20:K22,K26:K30)</f>
        <v>1518988.7958302812</v>
      </c>
      <c r="L11" s="88">
        <f t="shared" si="2"/>
        <v>0.26875648413931025</v>
      </c>
      <c r="M11" s="156">
        <f>+SUM(M20:M22)</f>
        <v>0</v>
      </c>
      <c r="N11" s="156">
        <f>+SUM(N20:N22,N26:N30)</f>
        <v>1525684.1291222398</v>
      </c>
      <c r="O11" s="88">
        <f t="shared" si="3"/>
        <v>0.27026125243447313</v>
      </c>
      <c r="P11" s="25"/>
      <c r="Q11" s="156">
        <f>+SUM(Q20:Q22,Q26:Q30)</f>
        <v>1525684.1291222398</v>
      </c>
    </row>
    <row r="12" spans="1:42" s="15" customFormat="1">
      <c r="A12" s="7"/>
      <c r="B12" s="15" t="s">
        <v>294</v>
      </c>
      <c r="C12" s="157">
        <f>SUM(C9:C11)</f>
        <v>67333728.742699996</v>
      </c>
      <c r="D12" s="157"/>
      <c r="E12" s="157">
        <f>SUM(G12:G12)-SUM(C12:C12)</f>
        <v>332222.76651887596</v>
      </c>
      <c r="F12" s="157"/>
      <c r="G12" s="157">
        <f>SUM(G9:G11)</f>
        <v>67665951.509218872</v>
      </c>
      <c r="H12" s="157"/>
      <c r="I12" s="157">
        <f>SUM(I9:I11)</f>
        <v>77394114.803090662</v>
      </c>
      <c r="J12" s="157"/>
      <c r="K12" s="157">
        <f>SUM(I12:I12)-SUM(C12:C12)</f>
        <v>10060386.060390666</v>
      </c>
      <c r="L12" s="88">
        <f>IFERROR(K12/SUM(C12:C12),0)</f>
        <v>0.14941079676181404</v>
      </c>
      <c r="M12" s="51"/>
      <c r="N12" s="157">
        <f t="shared" ref="N12" si="4">SUM(I12:I12)-SUM(G12:G12)</f>
        <v>9728163.2938717902</v>
      </c>
      <c r="O12" s="88">
        <f t="shared" si="3"/>
        <v>0.14376747946190363</v>
      </c>
      <c r="P12" s="88"/>
      <c r="Q12" s="157">
        <f t="shared" ref="Q12" si="5">I12-G12</f>
        <v>9728163.2938717902</v>
      </c>
      <c r="T12" s="164"/>
    </row>
    <row r="13" spans="1:42">
      <c r="A13" s="36"/>
      <c r="C13" s="156"/>
      <c r="D13" s="158"/>
      <c r="E13" s="156"/>
      <c r="F13" s="156"/>
      <c r="G13" s="156"/>
      <c r="H13" s="156"/>
      <c r="I13" s="156"/>
      <c r="J13" s="158"/>
      <c r="K13" s="156"/>
      <c r="L13" s="25"/>
      <c r="M13" s="29"/>
      <c r="N13" s="156"/>
      <c r="O13" s="55"/>
      <c r="P13" s="55"/>
      <c r="Q13" s="156"/>
    </row>
    <row r="14" spans="1:42">
      <c r="B14" s="15" t="s">
        <v>587</v>
      </c>
      <c r="C14" s="156"/>
      <c r="D14" s="158"/>
      <c r="E14" s="156"/>
      <c r="F14" s="156"/>
      <c r="G14" s="156"/>
      <c r="H14" s="156"/>
      <c r="I14" s="156"/>
      <c r="J14" s="158"/>
      <c r="K14" s="156"/>
      <c r="L14" s="25"/>
      <c r="M14" s="29"/>
      <c r="N14" s="156"/>
      <c r="O14" s="29"/>
      <c r="P14" s="29"/>
      <c r="Q14" s="156"/>
    </row>
    <row r="15" spans="1:42">
      <c r="A15" s="99" t="str">
        <f>VLOOKUP(B15,'Schedule H2'!B$14:B$29,1,0)</f>
        <v>GRRES</v>
      </c>
      <c r="B15" s="180" t="str">
        <f>'Revenue Proof Breakout'!N5</f>
        <v>GRRES</v>
      </c>
      <c r="C15" s="156">
        <f>VLOOKUP($B15,Summary!$B$15:$R$33,4,FALSE)</f>
        <v>46104214.582199998</v>
      </c>
      <c r="D15" s="156"/>
      <c r="E15" s="156">
        <f t="shared" ref="E15:E30" si="6">C15-G15</f>
        <v>27182.019161112607</v>
      </c>
      <c r="F15" s="156"/>
      <c r="G15" s="156">
        <f>VLOOKUP($B15,Summary!$B$15:$R$33,Summary!J$1,FALSE)</f>
        <v>46077032.563038886</v>
      </c>
      <c r="H15" s="156"/>
      <c r="I15" s="156">
        <f>VLOOKUP($B15,Summary!$B$15:$R$33,Summary!O$1,FALSE)</f>
        <v>52582598.993533127</v>
      </c>
      <c r="J15" s="156"/>
      <c r="K15" s="156">
        <f>SUM(I15:I15)-SUM(C15:C15)</f>
        <v>6478384.4113331288</v>
      </c>
      <c r="L15" s="25">
        <f t="shared" ref="L15:L26" si="7">IFERROR(K15/SUM(C15:C15),0)</f>
        <v>0.14051609966769318</v>
      </c>
      <c r="M15" s="29"/>
      <c r="N15" s="156">
        <f t="shared" ref="N15:N28" si="8">SUM(I15:I15)-SUM(G15:G15)</f>
        <v>6505566.4304942414</v>
      </c>
      <c r="O15" s="25">
        <f t="shared" ref="O15:O28" si="9">IFERROR(N15/SUM(G15:G15),0)</f>
        <v>0.14118891926457827</v>
      </c>
      <c r="P15" s="25"/>
      <c r="Q15" s="156">
        <f t="shared" ref="Q15:Q30" si="10">I15-G15</f>
        <v>6505566.4304942414</v>
      </c>
    </row>
    <row r="16" spans="1:42">
      <c r="A16" s="99" t="str">
        <f>VLOOKUP(B16,'Schedule H2'!B$14:B$29,1,0)</f>
        <v>GRRESC</v>
      </c>
      <c r="B16" s="180" t="str">
        <f>'Revenue Proof Breakout'!N12</f>
        <v>GRRESC</v>
      </c>
      <c r="C16" s="156">
        <f>VLOOKUP($B16,Summary!$B$15:$R$33,4,FALSE)</f>
        <v>1154897.7643999998</v>
      </c>
      <c r="D16" s="156"/>
      <c r="E16" s="156">
        <f t="shared" si="6"/>
        <v>-398531.59127860051</v>
      </c>
      <c r="F16" s="156"/>
      <c r="G16" s="156">
        <f>VLOOKUP($B16,Summary!$B$15:$R$33,Summary!J$1,FALSE)</f>
        <v>1553429.3556786003</v>
      </c>
      <c r="H16" s="156"/>
      <c r="I16" s="156">
        <f>VLOOKUP($B16,Summary!$B$15:$R$33,Summary!O$1,FALSE)</f>
        <v>1780163.5975974062</v>
      </c>
      <c r="J16" s="156"/>
      <c r="K16" s="156">
        <f t="shared" ref="K16:K30" si="11">SUM(I16:I16)-SUM(C16:C16)</f>
        <v>625265.83319740649</v>
      </c>
      <c r="L16" s="25">
        <f t="shared" si="7"/>
        <v>0.54140362244293438</v>
      </c>
      <c r="M16" s="29"/>
      <c r="N16" s="156">
        <f t="shared" si="8"/>
        <v>226734.24191880599</v>
      </c>
      <c r="O16" s="25">
        <f t="shared" si="9"/>
        <v>0.14595722753015658</v>
      </c>
      <c r="P16" s="25"/>
      <c r="Q16" s="156">
        <f t="shared" si="10"/>
        <v>226734.24191880599</v>
      </c>
      <c r="R16" s="18"/>
      <c r="S16" s="1"/>
      <c r="T16" s="1"/>
      <c r="U16" s="13"/>
      <c r="V16" s="18"/>
      <c r="W16" s="1"/>
      <c r="X16" s="1"/>
      <c r="Y16" s="13"/>
      <c r="Z16" s="18"/>
      <c r="AA16" s="1"/>
      <c r="AB16" s="1"/>
      <c r="AC16" s="13"/>
      <c r="AD16" s="18"/>
      <c r="AE16" s="1"/>
      <c r="AF16" s="1"/>
      <c r="AG16" s="13"/>
      <c r="AH16" s="18"/>
      <c r="AI16" s="1"/>
      <c r="AJ16" s="1"/>
      <c r="AK16" s="13"/>
      <c r="AL16" s="18"/>
      <c r="AM16" s="1"/>
      <c r="AN16" s="1"/>
      <c r="AO16" s="13"/>
      <c r="AP16" s="18"/>
    </row>
    <row r="17" spans="1:42">
      <c r="A17" s="99" t="str">
        <f>VLOOKUP(B17,'Schedule H2'!B$14:B$29,1,0)</f>
        <v>GGSVS</v>
      </c>
      <c r="B17" s="180" t="str">
        <f>'Revenue Proof Breakout'!N20</f>
        <v>GGSVS</v>
      </c>
      <c r="C17" s="156">
        <f>VLOOKUP($B17,Summary!$B$15:$R$33,4,FALSE)</f>
        <v>12551334.269400001</v>
      </c>
      <c r="D17" s="156"/>
      <c r="E17" s="156">
        <f t="shared" si="6"/>
        <v>43481.497924700379</v>
      </c>
      <c r="F17" s="156"/>
      <c r="G17" s="156">
        <f>VLOOKUP($B17,Summary!$B$15:$R$33,Summary!J$1,FALSE)</f>
        <v>12507852.7714753</v>
      </c>
      <c r="H17" s="156"/>
      <c r="I17" s="156">
        <f>VLOOKUP($B17,Summary!$B$15:$R$33,Summary!O$1,FALSE)</f>
        <v>15860448.446729843</v>
      </c>
      <c r="J17" s="156"/>
      <c r="K17" s="156">
        <f t="shared" si="11"/>
        <v>3309114.177329842</v>
      </c>
      <c r="L17" s="25">
        <f t="shared" si="7"/>
        <v>0.26364640653364019</v>
      </c>
      <c r="M17" s="29"/>
      <c r="N17" s="156">
        <f t="shared" si="8"/>
        <v>3352595.6752545424</v>
      </c>
      <c r="O17" s="25">
        <f t="shared" si="9"/>
        <v>0.26803926593222155</v>
      </c>
      <c r="P17" s="25"/>
      <c r="Q17" s="156">
        <f t="shared" si="10"/>
        <v>3352595.6752545424</v>
      </c>
      <c r="R17" s="18"/>
      <c r="S17" s="1"/>
      <c r="T17" s="1"/>
      <c r="U17" s="13"/>
      <c r="V17" s="18"/>
      <c r="W17" s="1"/>
      <c r="X17" s="1"/>
      <c r="Y17" s="13"/>
      <c r="Z17" s="18"/>
      <c r="AA17" s="1"/>
      <c r="AB17" s="1"/>
      <c r="AC17" s="13"/>
      <c r="AD17" s="18"/>
      <c r="AE17" s="1"/>
      <c r="AF17" s="1"/>
      <c r="AG17" s="13"/>
      <c r="AH17" s="18"/>
      <c r="AI17" s="1"/>
      <c r="AJ17" s="1"/>
      <c r="AK17" s="13"/>
      <c r="AL17" s="18"/>
      <c r="AM17" s="1"/>
      <c r="AN17" s="1"/>
      <c r="AO17" s="13"/>
      <c r="AP17" s="18"/>
    </row>
    <row r="18" spans="1:42">
      <c r="A18" s="99" t="str">
        <f>VLOOKUP(B18,'Schedule H2'!B$14:B$29,1,0)</f>
        <v>GISVS</v>
      </c>
      <c r="B18" s="180" t="str">
        <f>'Revenue Proof Breakout'!N26</f>
        <v>GISVS</v>
      </c>
      <c r="C18" s="156">
        <f>VLOOKUP($B18,Summary!$B$15:$R$33,4,FALSE)</f>
        <v>275796.49160000001</v>
      </c>
      <c r="D18" s="156"/>
      <c r="E18" s="156">
        <f t="shared" si="6"/>
        <v>-9590.2005342411576</v>
      </c>
      <c r="F18" s="156"/>
      <c r="G18" s="156">
        <f>VLOOKUP($B18,Summary!$B$15:$R$33,Summary!J$1,FALSE)</f>
        <v>285386.69213424117</v>
      </c>
      <c r="H18" s="156"/>
      <c r="I18" s="156">
        <f>VLOOKUP($B18,Summary!$B$15:$R$33,Summary!O$1,FALSE)</f>
        <v>0</v>
      </c>
      <c r="J18" s="156"/>
      <c r="K18" s="156">
        <f t="shared" si="11"/>
        <v>-275796.49160000001</v>
      </c>
      <c r="L18" s="25">
        <f t="shared" si="7"/>
        <v>-1</v>
      </c>
      <c r="M18" s="29"/>
      <c r="N18" s="156">
        <f t="shared" si="8"/>
        <v>-285386.69213424117</v>
      </c>
      <c r="O18" s="25">
        <f t="shared" si="9"/>
        <v>-1</v>
      </c>
      <c r="P18" s="25"/>
      <c r="Q18" s="156">
        <f t="shared" si="10"/>
        <v>-285386.69213424117</v>
      </c>
      <c r="R18" s="18"/>
      <c r="S18" s="1"/>
      <c r="T18" s="1"/>
      <c r="U18" s="13"/>
      <c r="V18" s="18"/>
      <c r="W18" s="1"/>
      <c r="X18" s="1"/>
      <c r="Y18" s="13"/>
      <c r="Z18" s="18"/>
      <c r="AA18" s="1"/>
      <c r="AB18" s="1"/>
      <c r="AC18" s="13"/>
      <c r="AD18" s="18"/>
      <c r="AE18" s="1"/>
      <c r="AF18" s="1"/>
      <c r="AG18" s="13"/>
      <c r="AH18" s="18"/>
      <c r="AI18" s="1"/>
      <c r="AJ18" s="1"/>
      <c r="AK18" s="13"/>
      <c r="AL18" s="18"/>
      <c r="AM18" s="1"/>
      <c r="AN18" s="1"/>
      <c r="AO18" s="13"/>
      <c r="AP18" s="18"/>
    </row>
    <row r="19" spans="1:42">
      <c r="A19" s="99" t="str">
        <f>VLOOKUP(B19,'Schedule H2'!B$14:B$29,1,0)</f>
        <v>GPSVS</v>
      </c>
      <c r="B19" s="180" t="str">
        <f>'Revenue Proof Breakout'!N32</f>
        <v>GPSVS</v>
      </c>
      <c r="C19" s="156">
        <f>VLOOKUP($B19,Summary!$B$15:$R$33,4,FALSE)</f>
        <v>1590751.8023000001</v>
      </c>
      <c r="D19" s="156"/>
      <c r="E19" s="156">
        <f t="shared" si="6"/>
        <v>-1849.2883074223064</v>
      </c>
      <c r="F19" s="156"/>
      <c r="G19" s="156">
        <f>VLOOKUP($B19,Summary!$B$15:$R$33,Summary!J$1,FALSE)</f>
        <v>1592601.0906074224</v>
      </c>
      <c r="H19" s="156"/>
      <c r="I19" s="156">
        <f>VLOOKUP($B19,Summary!$B$15:$R$33,Summary!O$1,FALSE)</f>
        <v>0</v>
      </c>
      <c r="J19" s="156"/>
      <c r="K19" s="156">
        <f t="shared" si="11"/>
        <v>-1590751.8023000001</v>
      </c>
      <c r="L19" s="25">
        <f t="shared" si="7"/>
        <v>-1</v>
      </c>
      <c r="M19" s="29"/>
      <c r="N19" s="156">
        <f t="shared" si="8"/>
        <v>-1592601.0906074224</v>
      </c>
      <c r="O19" s="25">
        <f t="shared" si="9"/>
        <v>-1</v>
      </c>
      <c r="P19" s="25"/>
      <c r="Q19" s="156">
        <f t="shared" si="10"/>
        <v>-1592601.0906074224</v>
      </c>
      <c r="R19" s="18"/>
      <c r="S19" s="1"/>
      <c r="T19" s="1"/>
      <c r="U19" s="13"/>
      <c r="V19" s="18"/>
      <c r="W19" s="1"/>
      <c r="X19" s="1"/>
      <c r="Y19" s="13"/>
      <c r="Z19" s="18"/>
      <c r="AA19" s="1"/>
      <c r="AB19" s="1"/>
      <c r="AC19" s="13"/>
      <c r="AD19" s="18"/>
      <c r="AE19" s="1"/>
      <c r="AF19" s="1"/>
      <c r="AG19" s="13"/>
      <c r="AH19" s="18"/>
      <c r="AI19" s="1"/>
      <c r="AJ19" s="1"/>
      <c r="AK19" s="13"/>
      <c r="AL19" s="18"/>
      <c r="AM19" s="1"/>
      <c r="AN19" s="1"/>
      <c r="AO19" s="13"/>
      <c r="AP19" s="18"/>
    </row>
    <row r="20" spans="1:42">
      <c r="A20" s="99" t="str">
        <f>VLOOKUP(B20,'Schedule H2'!B$14:B$29,1,0)</f>
        <v>GGLVS</v>
      </c>
      <c r="B20" s="180" t="str">
        <f>'Revenue Proof Breakout'!N38</f>
        <v>GGLVS</v>
      </c>
      <c r="C20" s="156">
        <f>VLOOKUP($B20,Summary!$B$15:$R$33,4,FALSE)</f>
        <v>316538.58880000003</v>
      </c>
      <c r="D20" s="156"/>
      <c r="E20" s="156">
        <f t="shared" si="6"/>
        <v>2786.6456022365019</v>
      </c>
      <c r="F20" s="156"/>
      <c r="G20" s="156">
        <f>VLOOKUP($B20,Summary!$B$15:$R$33,Summary!J$1,FALSE)</f>
        <v>313751.94319776352</v>
      </c>
      <c r="H20" s="156"/>
      <c r="I20" s="156">
        <f>VLOOKUP($B20,Summary!$B$15:$R$33,Summary!O$1,FALSE)</f>
        <v>0</v>
      </c>
      <c r="J20" s="156"/>
      <c r="K20" s="156">
        <f t="shared" si="11"/>
        <v>-316538.58880000003</v>
      </c>
      <c r="L20" s="25">
        <f t="shared" si="7"/>
        <v>-1</v>
      </c>
      <c r="M20" s="29"/>
      <c r="N20" s="156">
        <f t="shared" si="8"/>
        <v>-313751.94319776352</v>
      </c>
      <c r="O20" s="25">
        <f t="shared" si="9"/>
        <v>-1</v>
      </c>
      <c r="P20" s="25"/>
      <c r="Q20" s="156">
        <f t="shared" si="10"/>
        <v>-313751.94319776352</v>
      </c>
      <c r="R20" s="18"/>
      <c r="S20" s="1"/>
      <c r="T20" s="1"/>
      <c r="U20" s="13"/>
      <c r="V20" s="18"/>
      <c r="W20" s="1"/>
      <c r="X20" s="1"/>
      <c r="Y20" s="13"/>
      <c r="Z20" s="18"/>
      <c r="AA20" s="1"/>
      <c r="AB20" s="1"/>
      <c r="AC20" s="13"/>
      <c r="AD20" s="18"/>
      <c r="AE20" s="1"/>
      <c r="AF20" s="1"/>
      <c r="AG20" s="13"/>
      <c r="AH20" s="18"/>
      <c r="AI20" s="1"/>
      <c r="AJ20" s="1"/>
      <c r="AK20" s="13"/>
      <c r="AL20" s="18"/>
      <c r="AM20" s="1"/>
      <c r="AN20" s="1"/>
      <c r="AO20" s="13"/>
      <c r="AP20" s="18"/>
    </row>
    <row r="21" spans="1:42">
      <c r="A21" s="99" t="str">
        <f>VLOOKUP(B21,'Schedule H2'!B$14:B$29,1,0)</f>
        <v>GILVS</v>
      </c>
      <c r="B21" s="180" t="str">
        <f>'Revenue Proof Breakout'!N44</f>
        <v>GILVS</v>
      </c>
      <c r="C21" s="156">
        <f>VLOOKUP($B21,Summary!$B$15:$R$33,4,FALSE)</f>
        <v>231501.01439999999</v>
      </c>
      <c r="D21" s="156"/>
      <c r="E21" s="156">
        <f t="shared" si="6"/>
        <v>359.60024887818145</v>
      </c>
      <c r="F21" s="156"/>
      <c r="G21" s="156">
        <f>VLOOKUP($B21,Summary!$B$15:$R$33,Summary!J$1,FALSE)</f>
        <v>231141.4141511218</v>
      </c>
      <c r="H21" s="156"/>
      <c r="I21" s="156">
        <f>VLOOKUP($B21,Summary!$B$15:$R$33,Summary!O$1,FALSE)</f>
        <v>1287349.0712302807</v>
      </c>
      <c r="J21" s="156"/>
      <c r="K21" s="156">
        <f t="shared" si="11"/>
        <v>1055848.0568302807</v>
      </c>
      <c r="L21" s="25">
        <f t="shared" si="7"/>
        <v>4.5608787484875952</v>
      </c>
      <c r="M21" s="29"/>
      <c r="N21" s="156">
        <f t="shared" si="8"/>
        <v>1056207.6570791588</v>
      </c>
      <c r="O21" s="25">
        <f t="shared" si="9"/>
        <v>4.5695301335683753</v>
      </c>
      <c r="P21" s="25"/>
      <c r="Q21" s="156">
        <f t="shared" si="10"/>
        <v>1056207.6570791588</v>
      </c>
      <c r="R21" s="18"/>
      <c r="S21" s="1"/>
      <c r="T21" s="1"/>
      <c r="U21" s="13"/>
      <c r="V21" s="18"/>
      <c r="W21" s="1"/>
      <c r="X21" s="1"/>
      <c r="Y21" s="13"/>
      <c r="Z21" s="18"/>
      <c r="AA21" s="1"/>
      <c r="AB21" s="1"/>
      <c r="AC21" s="13"/>
      <c r="AD21" s="18"/>
      <c r="AE21" s="1"/>
      <c r="AF21" s="1"/>
      <c r="AG21" s="13"/>
      <c r="AH21" s="18"/>
      <c r="AI21" s="1"/>
      <c r="AJ21" s="1"/>
      <c r="AK21" s="13"/>
      <c r="AL21" s="18"/>
      <c r="AM21" s="1"/>
      <c r="AN21" s="1"/>
      <c r="AO21" s="13"/>
      <c r="AP21" s="18"/>
    </row>
    <row r="22" spans="1:42">
      <c r="A22" s="99" t="str">
        <f>VLOOKUP(B22,'Schedule H2'!B$14:B$29,1,0)</f>
        <v>GPLVS</v>
      </c>
      <c r="B22" s="180" t="str">
        <f>'Revenue Proof Breakout'!N50</f>
        <v>GPLVS</v>
      </c>
      <c r="C22" s="156">
        <f>VLOOKUP($B22,Summary!$B$15:$R$33,4,FALSE)</f>
        <v>176949.16080000001</v>
      </c>
      <c r="D22" s="156"/>
      <c r="E22" s="156">
        <f t="shared" si="6"/>
        <v>3549.0874408439558</v>
      </c>
      <c r="F22" s="156"/>
      <c r="G22" s="156">
        <f>VLOOKUP($B22,Summary!$B$15:$R$33,Summary!J$1,FALSE)</f>
        <v>173400.07335915606</v>
      </c>
      <c r="H22" s="156"/>
      <c r="I22" s="156">
        <f>VLOOKUP($B22,Summary!$B$15:$R$33,Summary!O$1,FALSE)</f>
        <v>0</v>
      </c>
      <c r="J22" s="156"/>
      <c r="K22" s="156">
        <f t="shared" si="11"/>
        <v>-176949.16080000001</v>
      </c>
      <c r="L22" s="25">
        <f t="shared" si="7"/>
        <v>-1</v>
      </c>
      <c r="M22" s="29"/>
      <c r="N22" s="156">
        <f t="shared" si="8"/>
        <v>-173400.07335915606</v>
      </c>
      <c r="O22" s="25">
        <f t="shared" si="9"/>
        <v>-1</v>
      </c>
      <c r="P22" s="25"/>
      <c r="Q22" s="156">
        <f t="shared" si="10"/>
        <v>-173400.07335915606</v>
      </c>
      <c r="R22" s="18"/>
      <c r="S22" s="1"/>
      <c r="T22" s="1"/>
      <c r="U22" s="13"/>
      <c r="V22" s="18"/>
      <c r="W22" s="1"/>
      <c r="X22" s="1"/>
      <c r="Y22" s="13"/>
      <c r="Z22" s="18"/>
      <c r="AA22" s="1"/>
      <c r="AB22" s="1"/>
      <c r="AC22" s="13"/>
      <c r="AD22" s="18"/>
      <c r="AE22" s="1"/>
      <c r="AF22" s="1"/>
      <c r="AG22" s="13"/>
      <c r="AH22" s="18"/>
      <c r="AI22" s="1"/>
      <c r="AJ22" s="1"/>
      <c r="AK22" s="13"/>
      <c r="AL22" s="18"/>
      <c r="AM22" s="1"/>
      <c r="AN22" s="1"/>
      <c r="AO22" s="13"/>
      <c r="AP22" s="18"/>
    </row>
    <row r="23" spans="1:42">
      <c r="A23" s="99" t="str">
        <f>VLOOKUP(B23,'Schedule H2'!B$14:B$29,1,0)</f>
        <v>GPCNGSV</v>
      </c>
      <c r="B23" s="180" t="str">
        <f>'Revenue Proof Breakout'!N56</f>
        <v>GPCNGSV</v>
      </c>
      <c r="C23" s="156">
        <f>VLOOKUP($B23,Summary!$B$15:$R$33,4,FALSE)</f>
        <v>720</v>
      </c>
      <c r="D23" s="156"/>
      <c r="E23" s="156">
        <f t="shared" si="6"/>
        <v>0</v>
      </c>
      <c r="F23" s="156"/>
      <c r="G23" s="156">
        <f>VLOOKUP($B23,Summary!$B$15:$R$33,Summary!J$1,FALSE)</f>
        <v>720</v>
      </c>
      <c r="H23" s="156"/>
      <c r="I23" s="156">
        <f>VLOOKUP($B23,Summary!$B$15:$R$33,Summary!O$1,FALSE)</f>
        <v>0</v>
      </c>
      <c r="J23" s="156"/>
      <c r="K23" s="156">
        <f t="shared" si="11"/>
        <v>-720</v>
      </c>
      <c r="L23" s="25">
        <f t="shared" si="7"/>
        <v>-1</v>
      </c>
      <c r="M23" s="29"/>
      <c r="N23" s="156">
        <f t="shared" si="8"/>
        <v>-720</v>
      </c>
      <c r="O23" s="25">
        <f t="shared" si="9"/>
        <v>-1</v>
      </c>
      <c r="P23" s="25"/>
      <c r="Q23" s="156">
        <f t="shared" si="10"/>
        <v>-720</v>
      </c>
      <c r="R23" s="16"/>
      <c r="S23" s="16"/>
      <c r="T23" s="11"/>
      <c r="U23" s="11"/>
      <c r="V23" s="11"/>
      <c r="W23" s="24"/>
      <c r="X23" s="12"/>
      <c r="Y23" s="26"/>
      <c r="Z23" s="12"/>
      <c r="AA23" s="26"/>
      <c r="AC23" s="12"/>
      <c r="AD23" s="26"/>
      <c r="AE23" s="12"/>
      <c r="AF23" s="26"/>
      <c r="AG23" s="10"/>
      <c r="AH23" s="77"/>
      <c r="AK23" s="12"/>
      <c r="AL23" s="26"/>
      <c r="AM23" s="13"/>
      <c r="AN23" s="13"/>
      <c r="AO23" s="18"/>
    </row>
    <row r="24" spans="1:42">
      <c r="A24" s="99" t="str">
        <f>VLOOKUP(B24,'Schedule H2'!B$14:B$29,1,0)</f>
        <v>GRCNG</v>
      </c>
      <c r="B24" s="180" t="str">
        <f>'Revenue Proof Breakout'!N62</f>
        <v>GRCNG</v>
      </c>
      <c r="C24" s="156">
        <f>VLOOKUP($B24,Summary!$B$15:$R$33,4,FALSE)</f>
        <v>511.62939999999998</v>
      </c>
      <c r="D24" s="156"/>
      <c r="E24" s="156">
        <f>C24-G24</f>
        <v>4.5820376136100549</v>
      </c>
      <c r="F24" s="156"/>
      <c r="G24" s="156">
        <f>VLOOKUP($B24,Summary!$B$15:$R$33,Summary!J$1,FALSE)</f>
        <v>507.04736238638992</v>
      </c>
      <c r="H24" s="156"/>
      <c r="I24" s="156">
        <f>VLOOKUP($B24,Summary!$B$15:$R$33,Summary!O$1,FALSE)</f>
        <v>0</v>
      </c>
      <c r="J24" s="156"/>
      <c r="K24" s="156">
        <f t="shared" si="11"/>
        <v>-511.62939999999998</v>
      </c>
      <c r="L24" s="25">
        <f t="shared" si="7"/>
        <v>-1</v>
      </c>
      <c r="M24" s="29"/>
      <c r="N24" s="156">
        <f t="shared" si="8"/>
        <v>-507.04736238638992</v>
      </c>
      <c r="O24" s="25">
        <f t="shared" si="9"/>
        <v>-1</v>
      </c>
      <c r="P24" s="25"/>
      <c r="Q24" s="156">
        <f t="shared" si="10"/>
        <v>-507.04736238638992</v>
      </c>
      <c r="R24" s="18"/>
      <c r="S24" s="1"/>
      <c r="T24" s="1"/>
      <c r="U24" s="13"/>
      <c r="V24" s="18"/>
      <c r="W24" s="1"/>
      <c r="X24" s="1"/>
      <c r="Y24" s="13"/>
      <c r="Z24" s="18"/>
      <c r="AA24" s="1"/>
      <c r="AB24" s="1"/>
      <c r="AC24" s="13"/>
      <c r="AD24" s="18"/>
      <c r="AE24" s="1"/>
      <c r="AF24" s="1"/>
      <c r="AG24" s="13"/>
      <c r="AH24" s="18"/>
      <c r="AI24" s="1"/>
      <c r="AJ24" s="1"/>
      <c r="AK24" s="13"/>
      <c r="AL24" s="18"/>
      <c r="AM24" s="1"/>
      <c r="AN24" s="1"/>
      <c r="AO24" s="13"/>
      <c r="AP24" s="18"/>
    </row>
    <row r="25" spans="1:42">
      <c r="A25" s="99" t="str">
        <f>VLOOKUP(B25,'Schedule H2'!B$14:B$29,1,0)</f>
        <v>GGIRS</v>
      </c>
      <c r="B25" s="181" t="str">
        <f>'Revenue Proof Breakout'!N80</f>
        <v>GGIRS</v>
      </c>
      <c r="C25" s="156">
        <f>VLOOKUP($B25,Summary!$B$15:$R$33,4,FALSE)</f>
        <v>3587.2339999999999</v>
      </c>
      <c r="D25" s="156"/>
      <c r="E25" s="156">
        <f t="shared" si="6"/>
        <v>384.8811859980251</v>
      </c>
      <c r="F25" s="159"/>
      <c r="G25" s="156">
        <f>VLOOKUP($B25,Summary!$B$15:$R$33,Summary!J$1,FALSE)</f>
        <v>3202.3528140019748</v>
      </c>
      <c r="H25" s="156"/>
      <c r="I25" s="156">
        <f>VLOOKUP($B25,Summary!$B$15:$R$33,Summary!O$1,FALSE)</f>
        <v>0</v>
      </c>
      <c r="J25" s="156"/>
      <c r="K25" s="156">
        <f t="shared" si="11"/>
        <v>-3587.2339999999999</v>
      </c>
      <c r="L25" s="25">
        <f t="shared" si="7"/>
        <v>-1</v>
      </c>
      <c r="M25" s="29"/>
      <c r="N25" s="156">
        <f t="shared" si="8"/>
        <v>-3202.3528140019748</v>
      </c>
      <c r="O25" s="25">
        <f t="shared" si="9"/>
        <v>-1</v>
      </c>
      <c r="P25" s="25"/>
      <c r="Q25" s="156">
        <f t="shared" si="10"/>
        <v>-3202.3528140019748</v>
      </c>
      <c r="R25" s="18"/>
      <c r="S25" s="1"/>
      <c r="T25" s="1"/>
      <c r="U25" s="13"/>
      <c r="V25" s="18"/>
      <c r="W25" s="1"/>
      <c r="X25" s="1"/>
      <c r="Y25" s="13"/>
      <c r="Z25" s="18"/>
      <c r="AA25" s="1"/>
      <c r="AB25" s="1"/>
      <c r="AC25" s="13"/>
      <c r="AD25" s="18"/>
      <c r="AE25" s="1"/>
      <c r="AF25" s="1"/>
      <c r="AG25" s="13"/>
      <c r="AH25" s="18"/>
      <c r="AI25" s="1"/>
      <c r="AJ25" s="1"/>
      <c r="AK25" s="13"/>
      <c r="AL25" s="18"/>
      <c r="AM25" s="1"/>
      <c r="AN25" s="1"/>
      <c r="AO25" s="13"/>
      <c r="AP25" s="18"/>
    </row>
    <row r="26" spans="1:42">
      <c r="A26" s="99" t="str">
        <f>VLOOKUP(B26,'Schedule H2'!B$14:B$29,1,0)</f>
        <v>GTGLVS</v>
      </c>
      <c r="B26" s="182" t="str">
        <f>'Revenue Proof Breakout'!N86</f>
        <v>GTGLVS</v>
      </c>
      <c r="C26" s="156">
        <f>VLOOKUP($B26,Summary!$B$15:$R$33,4,FALSE)</f>
        <v>346821.80239999999</v>
      </c>
      <c r="D26" s="156"/>
      <c r="E26" s="156">
        <f t="shared" si="6"/>
        <v>0</v>
      </c>
      <c r="F26" s="156"/>
      <c r="G26" s="156">
        <f>VLOOKUP($B26,Summary!$B$15:$R$33,Summary!J$1,FALSE)</f>
        <v>346821.80239999999</v>
      </c>
      <c r="H26" s="156"/>
      <c r="I26" s="156">
        <f>VLOOKUP($B26,Summary!$B$15:$R$33,Summary!O$1,FALSE)</f>
        <v>0</v>
      </c>
      <c r="J26" s="156"/>
      <c r="K26" s="156">
        <f t="shared" si="11"/>
        <v>-346821.80239999999</v>
      </c>
      <c r="L26" s="25">
        <f t="shared" si="7"/>
        <v>-1</v>
      </c>
      <c r="M26" s="29"/>
      <c r="N26" s="156">
        <f t="shared" si="8"/>
        <v>-346821.80239999999</v>
      </c>
      <c r="O26" s="25">
        <f t="shared" si="9"/>
        <v>-1</v>
      </c>
      <c r="P26" s="25"/>
      <c r="Q26" s="156">
        <f t="shared" si="10"/>
        <v>-346821.80239999999</v>
      </c>
      <c r="R26" s="18"/>
      <c r="S26" s="1"/>
      <c r="T26" s="1"/>
      <c r="U26" s="13"/>
      <c r="V26" s="18"/>
      <c r="W26" s="1"/>
      <c r="X26" s="1"/>
      <c r="Y26" s="13"/>
      <c r="Z26" s="18"/>
      <c r="AA26" s="1"/>
      <c r="AB26" s="1"/>
      <c r="AC26" s="13"/>
      <c r="AD26" s="18"/>
      <c r="AE26" s="1"/>
      <c r="AF26" s="1"/>
      <c r="AG26" s="13"/>
      <c r="AH26" s="18"/>
      <c r="AI26" s="1"/>
      <c r="AJ26" s="1"/>
      <c r="AK26" s="13"/>
      <c r="AL26" s="18"/>
      <c r="AM26" s="1"/>
      <c r="AN26" s="1"/>
      <c r="AO26" s="13"/>
      <c r="AP26" s="18"/>
    </row>
    <row r="27" spans="1:42">
      <c r="A27" s="99" t="str">
        <f>VLOOKUP(B27,'Schedule H2'!B$14:B$29,1,0)</f>
        <v>GTILVS</v>
      </c>
      <c r="B27" s="180" t="str">
        <f>'Revenue Proof Breakout'!N98</f>
        <v>GTILVS</v>
      </c>
      <c r="C27" s="156">
        <f>VLOOKUP($B27,Summary!$B$15:$R$33,4,FALSE)</f>
        <v>1783036.5599999998</v>
      </c>
      <c r="D27" s="156"/>
      <c r="E27" s="156">
        <f t="shared" si="6"/>
        <v>0</v>
      </c>
      <c r="F27" s="156"/>
      <c r="G27" s="156">
        <f>VLOOKUP($B27,Summary!$B$15:$R$33,Summary!J$1,FALSE)</f>
        <v>1783036.5599999998</v>
      </c>
      <c r="H27" s="156"/>
      <c r="I27" s="156">
        <f>VLOOKUP($B27,Summary!$B$15:$R$33,Summary!O$1,FALSE)</f>
        <v>3410351.304</v>
      </c>
      <c r="J27" s="156"/>
      <c r="K27" s="156">
        <f t="shared" si="11"/>
        <v>1627314.7440000002</v>
      </c>
      <c r="L27" s="25">
        <f>IFERROR(K27/SUM(C27:C27),0)</f>
        <v>0.91266482163439222</v>
      </c>
      <c r="M27" s="29"/>
      <c r="N27" s="156">
        <f t="shared" si="8"/>
        <v>1627314.7440000002</v>
      </c>
      <c r="O27" s="25">
        <f t="shared" si="9"/>
        <v>0.91266482163439222</v>
      </c>
      <c r="P27" s="25"/>
      <c r="Q27" s="156">
        <f t="shared" si="10"/>
        <v>1627314.7440000002</v>
      </c>
      <c r="R27" s="18"/>
      <c r="S27" s="1"/>
      <c r="T27" s="1"/>
      <c r="U27" s="13"/>
      <c r="V27" s="18"/>
      <c r="W27" s="1"/>
      <c r="X27" s="1"/>
      <c r="Y27" s="13"/>
      <c r="Z27" s="18"/>
      <c r="AA27" s="1"/>
      <c r="AB27" s="1"/>
      <c r="AC27" s="13"/>
      <c r="AD27" s="18"/>
      <c r="AE27" s="1"/>
      <c r="AF27" s="1"/>
      <c r="AG27" s="13"/>
      <c r="AH27" s="18"/>
      <c r="AI27" s="1"/>
      <c r="AJ27" s="1"/>
      <c r="AK27" s="13"/>
      <c r="AL27" s="18"/>
      <c r="AM27" s="1"/>
      <c r="AN27" s="1"/>
      <c r="AO27" s="13"/>
      <c r="AP27" s="18"/>
    </row>
    <row r="28" spans="1:42">
      <c r="A28" s="99" t="str">
        <f>VLOOKUP(B28,'Schedule H2'!B$14:B$29,1,0)</f>
        <v>GTPLVS</v>
      </c>
      <c r="B28" s="180" t="str">
        <f>'Revenue Proof Breakout'!N104</f>
        <v>GTPLVS</v>
      </c>
      <c r="C28" s="156">
        <f>VLOOKUP($B28,Summary!$B$15:$R$33,4,FALSE)</f>
        <v>767885.25419999997</v>
      </c>
      <c r="D28" s="156"/>
      <c r="E28" s="156">
        <f t="shared" si="6"/>
        <v>0</v>
      </c>
      <c r="F28" s="156"/>
      <c r="G28" s="156">
        <f>VLOOKUP($B28,Summary!$B$15:$R$33,Summary!J$1,FALSE)</f>
        <v>767885.25419999997</v>
      </c>
      <c r="H28" s="156"/>
      <c r="I28" s="156">
        <f>VLOOKUP($B28,Summary!$B$15:$R$33,Summary!O$1,FALSE)</f>
        <v>0</v>
      </c>
      <c r="J28" s="156"/>
      <c r="K28" s="156">
        <f t="shared" si="11"/>
        <v>-767885.25419999997</v>
      </c>
      <c r="L28" s="25">
        <f>IFERROR(K28/SUM(C28:C28),0)</f>
        <v>-1</v>
      </c>
      <c r="M28" s="29"/>
      <c r="N28" s="156">
        <f t="shared" si="8"/>
        <v>-767885.25419999997</v>
      </c>
      <c r="O28" s="25">
        <f t="shared" si="9"/>
        <v>-1</v>
      </c>
      <c r="P28" s="25"/>
      <c r="Q28" s="156">
        <f t="shared" si="10"/>
        <v>-767885.25419999997</v>
      </c>
      <c r="R28" s="18"/>
      <c r="S28" s="1"/>
      <c r="T28" s="1"/>
      <c r="U28" s="13"/>
      <c r="V28" s="18"/>
      <c r="W28" s="1"/>
      <c r="X28" s="1"/>
      <c r="Y28" s="13"/>
      <c r="Z28" s="18"/>
      <c r="AA28" s="1"/>
      <c r="AB28" s="1"/>
      <c r="AC28" s="13"/>
      <c r="AD28" s="18"/>
      <c r="AE28" s="1"/>
      <c r="AF28" s="1"/>
      <c r="AG28" s="13"/>
      <c r="AH28" s="18"/>
      <c r="AI28" s="1"/>
      <c r="AJ28" s="1"/>
      <c r="AK28" s="13"/>
      <c r="AL28" s="18"/>
      <c r="AM28" s="1"/>
      <c r="AN28" s="1"/>
      <c r="AO28" s="13"/>
      <c r="AP28" s="18"/>
    </row>
    <row r="29" spans="1:42" customFormat="1" ht="15">
      <c r="A29" s="99" t="str">
        <f>VLOOKUP(B29,'Schedule H2'!B$14:B$29,1,0)</f>
        <v>GTNILVS</v>
      </c>
      <c r="B29" s="180" t="s">
        <v>545</v>
      </c>
      <c r="C29" s="156">
        <f>VLOOKUP($B29,Summary!$B$15:$R$33,4,FALSE)</f>
        <v>1710459.3695999999</v>
      </c>
      <c r="D29" s="156"/>
      <c r="E29" s="156">
        <f t="shared" si="6"/>
        <v>0</v>
      </c>
      <c r="F29" s="156"/>
      <c r="G29" s="156">
        <f>VLOOKUP($B29,Summary!$B$15:$R$33,Summary!J$1,FALSE)</f>
        <v>1710459.3695999999</v>
      </c>
      <c r="H29" s="156"/>
      <c r="I29" s="156">
        <f>VLOOKUP($B29,Summary!$B$15:$R$33,Summary!O$1,FALSE)</f>
        <v>2473203.39</v>
      </c>
      <c r="J29" s="156"/>
      <c r="K29" s="156">
        <f t="shared" si="11"/>
        <v>762744.02040000027</v>
      </c>
      <c r="L29" s="25">
        <f>IFERROR(K29/SUM(C29:C29),0)</f>
        <v>0.44592934153026509</v>
      </c>
      <c r="M29" s="29"/>
      <c r="N29" s="156">
        <f t="shared" ref="N29:N30" si="12">SUM(I29:I29)-SUM(G29:G29)</f>
        <v>762744.02040000027</v>
      </c>
      <c r="O29" s="25">
        <f t="shared" ref="O29:O30" si="13">IFERROR(N29/SUM(G29:G29),0)</f>
        <v>0.44592934153026509</v>
      </c>
      <c r="P29" s="25"/>
      <c r="Q29" s="156">
        <f t="shared" si="10"/>
        <v>762744.02040000027</v>
      </c>
    </row>
    <row r="30" spans="1:42" customFormat="1" ht="15">
      <c r="A30" s="99" t="str">
        <f>VLOOKUP(B30,'Schedule H2'!B$14:B$29,1,0)</f>
        <v>GTNGLVS</v>
      </c>
      <c r="B30" s="180" t="s">
        <v>546</v>
      </c>
      <c r="C30" s="156">
        <f>VLOOKUP($B30,Summary!$B$15:$R$33,4,FALSE)</f>
        <v>318723.21919999999</v>
      </c>
      <c r="D30" s="156"/>
      <c r="E30" s="156">
        <f t="shared" si="6"/>
        <v>0</v>
      </c>
      <c r="F30" s="156"/>
      <c r="G30" s="156">
        <f>VLOOKUP($B30,Summary!$B$15:$R$33,Summary!J$1,FALSE)</f>
        <v>318723.21919999999</v>
      </c>
      <c r="H30" s="156"/>
      <c r="I30" s="156">
        <f>VLOOKUP($B30,Summary!$B$15:$R$33,Summary!O$1,FALSE)</f>
        <v>0</v>
      </c>
      <c r="J30" s="156"/>
      <c r="K30" s="156">
        <f t="shared" si="11"/>
        <v>-318723.21919999999</v>
      </c>
      <c r="L30" s="25">
        <f>IFERROR(K30/SUM(C30:C30),0)</f>
        <v>-1</v>
      </c>
      <c r="M30" s="29"/>
      <c r="N30" s="156">
        <f t="shared" si="12"/>
        <v>-318723.21919999999</v>
      </c>
      <c r="O30" s="25">
        <f t="shared" si="13"/>
        <v>-1</v>
      </c>
      <c r="P30" s="25"/>
      <c r="Q30" s="156">
        <f t="shared" si="10"/>
        <v>-318723.21919999999</v>
      </c>
    </row>
    <row r="31" spans="1:42" customFormat="1" ht="15">
      <c r="E31" s="201"/>
      <c r="H31" s="201"/>
    </row>
    <row r="32" spans="1:42" customFormat="1" ht="15">
      <c r="A32" t="s">
        <v>589</v>
      </c>
    </row>
    <row r="33" customFormat="1" ht="15"/>
    <row r="34" customFormat="1" ht="15"/>
    <row r="35" customFormat="1" ht="15"/>
    <row r="36" customFormat="1" ht="15"/>
    <row r="37" customFormat="1" ht="15"/>
    <row r="38" customFormat="1" ht="15"/>
    <row r="39" customFormat="1" ht="15"/>
    <row r="40" customFormat="1" ht="15"/>
    <row r="41" customFormat="1" ht="15"/>
    <row r="42" customFormat="1" ht="15"/>
    <row r="43" customFormat="1" ht="15"/>
    <row r="44" customFormat="1" ht="15"/>
    <row r="45" customFormat="1" ht="15"/>
    <row r="46" customFormat="1" ht="15"/>
    <row r="47" customFormat="1" ht="15"/>
    <row r="48" customFormat="1" ht="15"/>
    <row r="49" spans="2:5" customFormat="1" ht="15"/>
    <row r="50" spans="2:5" customFormat="1" ht="15"/>
    <row r="51" spans="2:5" customFormat="1" ht="15"/>
    <row r="52" spans="2:5" customFormat="1" ht="15"/>
    <row r="53" spans="2:5">
      <c r="B53" s="22"/>
      <c r="E53" s="87"/>
    </row>
    <row r="54" spans="2:5">
      <c r="E54" s="87"/>
    </row>
    <row r="55" spans="2:5">
      <c r="E55" s="87"/>
    </row>
    <row r="56" spans="2:5">
      <c r="E56" s="87"/>
    </row>
    <row r="57" spans="2:5">
      <c r="E57" s="87"/>
    </row>
    <row r="58" spans="2:5">
      <c r="E58" s="87"/>
    </row>
    <row r="59" spans="2:5">
      <c r="E59" s="87"/>
    </row>
    <row r="60" spans="2:5">
      <c r="E60" s="87"/>
    </row>
    <row r="61" spans="2:5">
      <c r="E61" s="87"/>
    </row>
    <row r="62" spans="2:5">
      <c r="E62" s="87"/>
    </row>
    <row r="63" spans="2:5">
      <c r="E63" s="87"/>
    </row>
    <row r="64" spans="2:5">
      <c r="E64" s="87"/>
    </row>
    <row r="65" spans="5:5">
      <c r="E65" s="87"/>
    </row>
    <row r="66" spans="5:5">
      <c r="E66" s="87"/>
    </row>
    <row r="67" spans="5:5">
      <c r="E67" s="87"/>
    </row>
    <row r="68" spans="5:5">
      <c r="E68" s="87"/>
    </row>
    <row r="69" spans="5:5">
      <c r="E69" s="87"/>
    </row>
    <row r="70" spans="5:5">
      <c r="E70" s="87"/>
    </row>
    <row r="71" spans="5:5">
      <c r="E71" s="87"/>
    </row>
    <row r="72" spans="5:5">
      <c r="E72" s="87"/>
    </row>
    <row r="73" spans="5:5">
      <c r="E73" s="87"/>
    </row>
    <row r="74" spans="5:5">
      <c r="E74" s="87"/>
    </row>
    <row r="75" spans="5:5">
      <c r="E75" s="87"/>
    </row>
    <row r="76" spans="5:5">
      <c r="E76" s="87"/>
    </row>
    <row r="77" spans="5:5">
      <c r="E77" s="87"/>
    </row>
    <row r="78" spans="5:5">
      <c r="E78" s="87"/>
    </row>
    <row r="79" spans="5:5">
      <c r="E79" s="87"/>
    </row>
    <row r="80" spans="5:5">
      <c r="E80" s="87"/>
    </row>
    <row r="81" spans="5:10">
      <c r="E81" s="87"/>
    </row>
    <row r="82" spans="5:10">
      <c r="E82" s="87"/>
    </row>
    <row r="83" spans="5:10">
      <c r="E83" s="87"/>
    </row>
    <row r="84" spans="5:10">
      <c r="E84" s="87"/>
    </row>
    <row r="85" spans="5:10">
      <c r="E85" s="87"/>
    </row>
    <row r="86" spans="5:10">
      <c r="E86" s="87"/>
    </row>
    <row r="87" spans="5:10">
      <c r="E87" s="87"/>
    </row>
    <row r="88" spans="5:10">
      <c r="E88" s="87"/>
    </row>
    <row r="89" spans="5:10">
      <c r="E89" s="87"/>
      <c r="J89" s="4" t="e">
        <f>+(#REF!*I89)*(1-$I$105)</f>
        <v>#REF!</v>
      </c>
    </row>
    <row r="90" spans="5:10">
      <c r="E90" s="87"/>
      <c r="J90" s="4" t="e">
        <f>+(#REF!*I90)*(1-$I$105)</f>
        <v>#REF!</v>
      </c>
    </row>
    <row r="91" spans="5:10">
      <c r="E91" s="87"/>
      <c r="J91" s="4" t="e">
        <f>+(#REF!*I91)*(1-$I$105)</f>
        <v>#REF!</v>
      </c>
    </row>
    <row r="92" spans="5:10">
      <c r="E92" s="87"/>
      <c r="J92" s="4" t="e">
        <f>+(#REF!*I92)*(1-$I$105)</f>
        <v>#REF!</v>
      </c>
    </row>
    <row r="93" spans="5:10">
      <c r="E93" s="87"/>
      <c r="J93" s="4" t="e">
        <f>+(#REF!*I93)*(1-$I$105)</f>
        <v>#REF!</v>
      </c>
    </row>
    <row r="94" spans="5:10">
      <c r="E94" s="87"/>
      <c r="J94" s="4" t="e">
        <f>+(#REF!*I94)*(1-$I$105)</f>
        <v>#REF!</v>
      </c>
    </row>
    <row r="95" spans="5:10">
      <c r="E95" s="87"/>
    </row>
    <row r="96" spans="5:10">
      <c r="E96" s="87"/>
    </row>
    <row r="97" spans="5:10">
      <c r="E97" s="87"/>
    </row>
    <row r="98" spans="5:10">
      <c r="E98" s="87"/>
      <c r="J98" s="4" t="e">
        <f>+(#REF!*I98)*(1-$I$105)</f>
        <v>#REF!</v>
      </c>
    </row>
    <row r="99" spans="5:10">
      <c r="E99" s="87"/>
      <c r="J99" s="4" t="e">
        <f>+(#REF!*I99)*(1-$I$105)</f>
        <v>#REF!</v>
      </c>
    </row>
    <row r="100" spans="5:10">
      <c r="E100" s="87"/>
      <c r="J100" s="4" t="e">
        <f>+(#REF!*I100)*(1-$I$105)</f>
        <v>#REF!</v>
      </c>
    </row>
    <row r="101" spans="5:10">
      <c r="E101" s="87"/>
      <c r="J101" s="4" t="e">
        <f>+(#REF!*I101)*(1-$I$105)</f>
        <v>#REF!</v>
      </c>
    </row>
    <row r="102" spans="5:10">
      <c r="E102" s="87"/>
    </row>
    <row r="103" spans="5:10">
      <c r="E103" s="87"/>
    </row>
    <row r="104" spans="5:10">
      <c r="E104" s="87"/>
    </row>
    <row r="105" spans="5:10">
      <c r="E105" s="87"/>
    </row>
    <row r="106" spans="5:10">
      <c r="E106" s="87"/>
    </row>
    <row r="107" spans="5:10">
      <c r="E107" s="87"/>
    </row>
    <row r="108" spans="5:10">
      <c r="E108" s="87"/>
    </row>
    <row r="109" spans="5:10">
      <c r="E109" s="87"/>
    </row>
    <row r="110" spans="5:10">
      <c r="E110" s="87"/>
    </row>
    <row r="111" spans="5:10">
      <c r="E111" s="87"/>
    </row>
    <row r="112" spans="5:10">
      <c r="E112" s="87"/>
    </row>
    <row r="113" spans="5:5">
      <c r="E113" s="87"/>
    </row>
    <row r="114" spans="5:5">
      <c r="E114" s="87"/>
    </row>
    <row r="115" spans="5:5">
      <c r="E115" s="87"/>
    </row>
    <row r="116" spans="5:5">
      <c r="E116" s="87"/>
    </row>
    <row r="117" spans="5:5">
      <c r="E117" s="87"/>
    </row>
    <row r="118" spans="5:5">
      <c r="E118" s="87"/>
    </row>
    <row r="119" spans="5:5">
      <c r="E119" s="87"/>
    </row>
    <row r="120" spans="5:5">
      <c r="E120" s="87"/>
    </row>
    <row r="121" spans="5:5">
      <c r="E121" s="87"/>
    </row>
    <row r="122" spans="5:5">
      <c r="E122" s="87"/>
    </row>
    <row r="123" spans="5:5">
      <c r="E123" s="87"/>
    </row>
    <row r="124" spans="5:5">
      <c r="E124" s="87"/>
    </row>
    <row r="125" spans="5:5">
      <c r="E125" s="87"/>
    </row>
    <row r="126" spans="5:5">
      <c r="E126" s="87"/>
    </row>
    <row r="127" spans="5:5">
      <c r="E127" s="87"/>
    </row>
    <row r="128" spans="5:5">
      <c r="E128" s="87"/>
    </row>
    <row r="129" spans="5:5">
      <c r="E129" s="87"/>
    </row>
    <row r="130" spans="5:5">
      <c r="E130" s="87"/>
    </row>
    <row r="131" spans="5:5">
      <c r="E131" s="87"/>
    </row>
    <row r="132" spans="5:5">
      <c r="E132" s="87"/>
    </row>
    <row r="133" spans="5:5">
      <c r="E133" s="87"/>
    </row>
    <row r="134" spans="5:5">
      <c r="E134" s="87"/>
    </row>
    <row r="135" spans="5:5">
      <c r="E135" s="87"/>
    </row>
    <row r="136" spans="5:5">
      <c r="E136" s="87"/>
    </row>
    <row r="137" spans="5:5">
      <c r="E137" s="87"/>
    </row>
    <row r="138" spans="5:5">
      <c r="E138" s="87"/>
    </row>
    <row r="139" spans="5:5">
      <c r="E139" s="87"/>
    </row>
    <row r="140" spans="5:5">
      <c r="E140" s="87"/>
    </row>
    <row r="141" spans="5:5">
      <c r="E141" s="87"/>
    </row>
    <row r="142" spans="5:5">
      <c r="E142" s="87"/>
    </row>
    <row r="143" spans="5:5">
      <c r="E143" s="87"/>
    </row>
    <row r="144" spans="5:5">
      <c r="E144" s="87"/>
    </row>
    <row r="145" spans="5:5">
      <c r="E145" s="87"/>
    </row>
    <row r="146" spans="5:5">
      <c r="E146" s="87"/>
    </row>
    <row r="147" spans="5:5">
      <c r="E147" s="87"/>
    </row>
    <row r="148" spans="5:5">
      <c r="E148" s="87"/>
    </row>
    <row r="149" spans="5:5">
      <c r="E149" s="87"/>
    </row>
    <row r="150" spans="5:5">
      <c r="E150" s="87"/>
    </row>
    <row r="151" spans="5:5">
      <c r="E151" s="87"/>
    </row>
    <row r="152" spans="5:5">
      <c r="E152" s="87"/>
    </row>
    <row r="153" spans="5:5">
      <c r="E153" s="87"/>
    </row>
    <row r="154" spans="5:5">
      <c r="E154" s="87"/>
    </row>
    <row r="155" spans="5:5">
      <c r="E155" s="87"/>
    </row>
    <row r="156" spans="5:5">
      <c r="E156" s="87"/>
    </row>
    <row r="157" spans="5:5">
      <c r="E157" s="87"/>
    </row>
    <row r="158" spans="5:5">
      <c r="E158" s="87"/>
    </row>
    <row r="159" spans="5:5">
      <c r="E159" s="87"/>
    </row>
    <row r="160" spans="5:5">
      <c r="E160" s="87"/>
    </row>
    <row r="161" spans="5:5">
      <c r="E161" s="87"/>
    </row>
    <row r="162" spans="5:5">
      <c r="E162" s="87"/>
    </row>
    <row r="163" spans="5:5">
      <c r="E163" s="87"/>
    </row>
    <row r="164" spans="5:5">
      <c r="E164" s="87"/>
    </row>
    <row r="165" spans="5:5">
      <c r="E165" s="87"/>
    </row>
    <row r="166" spans="5:5">
      <c r="E166" s="87"/>
    </row>
    <row r="167" spans="5:5">
      <c r="E167" s="87"/>
    </row>
    <row r="168" spans="5:5">
      <c r="E168" s="87"/>
    </row>
    <row r="169" spans="5:5">
      <c r="E169" s="87"/>
    </row>
    <row r="170" spans="5:5">
      <c r="E170" s="87"/>
    </row>
    <row r="171" spans="5:5">
      <c r="E171" s="87"/>
    </row>
    <row r="172" spans="5:5">
      <c r="E172" s="87"/>
    </row>
    <row r="173" spans="5:5">
      <c r="E173" s="87"/>
    </row>
    <row r="174" spans="5:5">
      <c r="E174" s="87"/>
    </row>
    <row r="175" spans="5:5">
      <c r="E175" s="87"/>
    </row>
    <row r="176" spans="5:5">
      <c r="E176" s="87"/>
    </row>
    <row r="177" spans="5:5">
      <c r="E177" s="87"/>
    </row>
    <row r="178" spans="5:5">
      <c r="E178" s="87"/>
    </row>
    <row r="179" spans="5:5">
      <c r="E179" s="87"/>
    </row>
    <row r="180" spans="5:5">
      <c r="E180" s="87"/>
    </row>
    <row r="181" spans="5:5">
      <c r="E181" s="87"/>
    </row>
    <row r="182" spans="5:5">
      <c r="E182" s="87"/>
    </row>
    <row r="183" spans="5:5">
      <c r="E183" s="87"/>
    </row>
    <row r="184" spans="5:5">
      <c r="E184" s="87"/>
    </row>
    <row r="185" spans="5:5">
      <c r="E185" s="87"/>
    </row>
    <row r="186" spans="5:5">
      <c r="E186" s="87"/>
    </row>
    <row r="187" spans="5:5">
      <c r="E187" s="87"/>
    </row>
    <row r="188" spans="5:5">
      <c r="E188" s="87"/>
    </row>
    <row r="189" spans="5:5">
      <c r="E189" s="87"/>
    </row>
    <row r="190" spans="5:5">
      <c r="E190" s="87"/>
    </row>
    <row r="191" spans="5:5">
      <c r="E191" s="87"/>
    </row>
    <row r="192" spans="5:5">
      <c r="E192" s="87"/>
    </row>
    <row r="301" spans="4:7">
      <c r="D301" s="4">
        <f>Summary!C9*E298</f>
        <v>0</v>
      </c>
      <c r="G301" s="4" t="e">
        <f>Summary!H9*#REF!</f>
        <v>#REF!</v>
      </c>
    </row>
  </sheetData>
  <mergeCells count="14">
    <mergeCell ref="K4:L4"/>
    <mergeCell ref="N4:O4"/>
    <mergeCell ref="N5:N6"/>
    <mergeCell ref="O5:O6"/>
    <mergeCell ref="A5:A6"/>
    <mergeCell ref="B5:B6"/>
    <mergeCell ref="C5:C6"/>
    <mergeCell ref="F5:F6"/>
    <mergeCell ref="E5:E6"/>
    <mergeCell ref="Q5:Q6"/>
    <mergeCell ref="G5:G6"/>
    <mergeCell ref="K5:K6"/>
    <mergeCell ref="I5:I6"/>
    <mergeCell ref="L5:L6"/>
  </mergeCells>
  <printOptions horizontalCentered="1"/>
  <pageMargins left="0.7" right="0.7" top="0.75" bottom="0.75" header="0.3" footer="0.3"/>
  <pageSetup scale="67" fitToHeight="0" orientation="landscape" r:id="rId1"/>
  <headerFooter>
    <oddHeader xml:space="preserve">&amp;CUNS Gas, Inc.&amp;"Arial,Regular"&amp;8
&amp;"-,Regular"&amp;9Summary of Revenues by Customer Class
Present and Proposed Revenues
Test Year Ended June 30, 2024&amp;R&amp;10
Schedule H-2-2
Page &amp;P of &amp;N
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>
    <tabColor rgb="FF92D050"/>
  </sheetPr>
  <dimension ref="A3:R72"/>
  <sheetViews>
    <sheetView zoomScale="96" zoomScaleNormal="96" zoomScaleSheetLayoutView="90" workbookViewId="0">
      <selection sqref="A1:B1"/>
    </sheetView>
  </sheetViews>
  <sheetFormatPr defaultColWidth="9.140625" defaultRowHeight="11.25"/>
  <cols>
    <col min="1" max="3" width="9.140625" style="57"/>
    <col min="4" max="4" width="11" style="57" customWidth="1"/>
    <col min="5" max="5" width="11.85546875" style="57" customWidth="1"/>
    <col min="6" max="6" width="19.42578125" style="57" customWidth="1"/>
    <col min="7" max="7" width="9.42578125" style="56" bestFit="1" customWidth="1"/>
    <col min="8" max="8" width="10.42578125" style="57" customWidth="1"/>
    <col min="9" max="9" width="42.42578125" style="57" bestFit="1" customWidth="1"/>
    <col min="10" max="10" width="11" style="56" customWidth="1"/>
    <col min="11" max="11" width="13" style="56" customWidth="1"/>
    <col min="12" max="12" width="0.85546875" style="56" customWidth="1"/>
    <col min="13" max="13" width="10.85546875" style="56" customWidth="1"/>
    <col min="14" max="14" width="8.85546875" style="56" customWidth="1"/>
    <col min="15" max="16384" width="9.140625" style="57"/>
  </cols>
  <sheetData>
    <row r="3" spans="1:18">
      <c r="A3" s="755" t="s">
        <v>598</v>
      </c>
      <c r="B3" s="755" t="s">
        <v>599</v>
      </c>
      <c r="C3" s="755" t="s">
        <v>587</v>
      </c>
      <c r="D3" s="755" t="s">
        <v>600</v>
      </c>
      <c r="E3" s="755" t="s">
        <v>601</v>
      </c>
      <c r="F3" s="755" t="s">
        <v>602</v>
      </c>
      <c r="G3" s="756" t="s">
        <v>579</v>
      </c>
    </row>
    <row r="4" spans="1:18">
      <c r="A4" s="755"/>
      <c r="B4" s="755"/>
      <c r="C4" s="755"/>
      <c r="D4" s="755"/>
      <c r="E4" s="755"/>
      <c r="F4" s="755"/>
      <c r="G4" s="756"/>
      <c r="H4" s="762" t="s">
        <v>603</v>
      </c>
      <c r="I4" s="756" t="s">
        <v>604</v>
      </c>
      <c r="J4" s="756" t="s">
        <v>530</v>
      </c>
      <c r="K4" s="756" t="s">
        <v>605</v>
      </c>
      <c r="M4" s="805" t="s">
        <v>606</v>
      </c>
      <c r="N4" s="805"/>
    </row>
    <row r="5" spans="1:18">
      <c r="A5" s="755"/>
      <c r="B5" s="755"/>
      <c r="C5" s="755"/>
      <c r="D5" s="755"/>
      <c r="E5" s="755"/>
      <c r="F5" s="755"/>
      <c r="G5" s="755"/>
      <c r="H5" s="762"/>
      <c r="I5" s="756"/>
      <c r="J5" s="756"/>
      <c r="K5" s="756"/>
      <c r="M5" s="806" t="s">
        <v>513</v>
      </c>
      <c r="N5" s="806" t="s">
        <v>514</v>
      </c>
    </row>
    <row r="6" spans="1:18">
      <c r="G6" s="96"/>
      <c r="H6" s="762"/>
      <c r="I6" s="755"/>
      <c r="J6" s="757"/>
      <c r="K6" s="757"/>
      <c r="M6" s="805"/>
      <c r="N6" s="805"/>
    </row>
    <row r="7" spans="1:18">
      <c r="A7" s="100">
        <v>41030</v>
      </c>
      <c r="B7" s="151">
        <f>'UNSG - ALL RATES'!B$25</f>
        <v>46082</v>
      </c>
      <c r="C7" s="100" t="str">
        <f>IF(H7="","",H7)</f>
        <v>GRRES</v>
      </c>
      <c r="D7" s="100" t="str">
        <f>IF(C7="","",A7&amp;$C7)</f>
        <v>41030GRRES</v>
      </c>
      <c r="E7" s="100" t="str">
        <f>IF(D7="","",B7&amp;$C7)</f>
        <v>46082GRRES</v>
      </c>
      <c r="F7" s="100" t="str">
        <f>IFERROR(IF(VLOOKUP(I7,Lookup!$A$1:$B$200,2,0)="","",VLOOKUP(I7,Lookup!$A$1:$B$200,2,0)),"")</f>
        <v/>
      </c>
      <c r="G7" s="101" t="str">
        <f>VLOOKUP($H7,'UNSG - ALL RATES'!$E$25:$F$41,2,0)</f>
        <v>5751</v>
      </c>
      <c r="H7" s="185" t="str">
        <f>Summary!B15</f>
        <v>GRRES</v>
      </c>
      <c r="I7" s="58" t="str">
        <f>VLOOKUP($H7,'UNSG - ALL RATES'!$F$4:$G$20,2,0)</f>
        <v>Residential Gas Service</v>
      </c>
      <c r="J7" s="96"/>
      <c r="K7" s="96"/>
    </row>
    <row r="8" spans="1:18">
      <c r="A8" s="100">
        <f>A7</f>
        <v>41030</v>
      </c>
      <c r="B8" s="151">
        <f>'UNSG - ALL RATES'!B$25</f>
        <v>46082</v>
      </c>
      <c r="C8" s="100"/>
      <c r="D8" s="100" t="str">
        <f>D7</f>
        <v>41030GRRES</v>
      </c>
      <c r="E8" s="100" t="str">
        <f>E7</f>
        <v>46082GRRES</v>
      </c>
      <c r="F8" s="100" t="str">
        <f>IFERROR(IF(VLOOKUP(I8,Lookup!$A$1:$B$200,2,0)="","",VLOOKUP(I8,Lookup!$A$1:$B$200,2,0)),"")</f>
        <v>BASIC_SERVICE_CHARGE</v>
      </c>
      <c r="I8" s="57" t="s">
        <v>607</v>
      </c>
      <c r="J8" s="59">
        <f>VLOOKUP(D8,'UNSG - ALL RATES'!$A$2:$CG$83,MATCH($F8,'UNSG - ALL RATES'!$A$3:$CG$3,0),0)</f>
        <v>10</v>
      </c>
      <c r="K8" s="59">
        <f>VLOOKUP(E8,'UNSG - ALL RATES'!$A$2:$CG$83,MATCH($F8,'UNSG - ALL RATES'!$A$3:$BE$3,0),0)</f>
        <v>11.94</v>
      </c>
      <c r="M8" s="59">
        <f t="shared" ref="M8:M10" si="0">+K8-J8</f>
        <v>1.9399999999999995</v>
      </c>
      <c r="N8" s="60">
        <f t="shared" ref="N8:N10" si="1">+M8/J8</f>
        <v>0.19399999999999995</v>
      </c>
      <c r="O8" s="100"/>
      <c r="P8" s="100"/>
      <c r="Q8" s="100"/>
      <c r="R8" s="56"/>
    </row>
    <row r="9" spans="1:18">
      <c r="A9" s="100">
        <f>A8</f>
        <v>41030</v>
      </c>
      <c r="B9" s="151">
        <f>'UNSG - ALL RATES'!B$25</f>
        <v>46082</v>
      </c>
      <c r="C9" s="100"/>
      <c r="D9" s="100" t="str">
        <f t="shared" ref="D9:D11" si="2">D8</f>
        <v>41030GRRES</v>
      </c>
      <c r="E9" s="100" t="str">
        <f t="shared" ref="E9:E11" si="3">E8</f>
        <v>46082GRRES</v>
      </c>
      <c r="F9" s="100" t="str">
        <f>IFERROR(IF(VLOOKUP(I9,Lookup!$A$1:$B$200,2,0)="","",VLOOKUP(I9,Lookup!$A$1:$B$200,2,0)),"")</f>
        <v>LFCR_FIXED_UNSG</v>
      </c>
      <c r="I9" s="57" t="s">
        <v>608</v>
      </c>
      <c r="J9" s="102">
        <f>VLOOKUP(D9,'UNSG - ALL RATES'!$A$2:$CG$83,MATCH($F9,'UNSG - ALL RATES'!$A$3:$CG$3,0),0)</f>
        <v>1.5</v>
      </c>
      <c r="K9" s="61">
        <f>VLOOKUP(E9,'UNSG - ALL RATES'!$A$2:$CG$83,MATCH($F9,'UNSG - ALL RATES'!$A$3:$BE$3,0),0)</f>
        <v>0</v>
      </c>
      <c r="M9" s="61">
        <f t="shared" si="0"/>
        <v>-1.5</v>
      </c>
      <c r="N9" s="60">
        <f t="shared" si="1"/>
        <v>-1</v>
      </c>
    </row>
    <row r="10" spans="1:18">
      <c r="A10" s="100">
        <f>A9</f>
        <v>41030</v>
      </c>
      <c r="B10" s="151">
        <f>'UNSG - ALL RATES'!B$25</f>
        <v>46082</v>
      </c>
      <c r="C10" s="100" t="str">
        <f>IF(H10="","",H10)</f>
        <v/>
      </c>
      <c r="D10" s="100" t="str">
        <f t="shared" si="2"/>
        <v>41030GRRES</v>
      </c>
      <c r="E10" s="100" t="str">
        <f t="shared" si="3"/>
        <v>46082GRRES</v>
      </c>
      <c r="F10" s="100" t="str">
        <f>IFERROR(IF(VLOOKUP(I10,Lookup!$A$1:$B$200,2,0)="","",VLOOKUP(I10,Lookup!$A$1:$B$200,2,0)),"")</f>
        <v>THERM_DELIVERY_TIER1</v>
      </c>
      <c r="I10" s="57" t="s">
        <v>609</v>
      </c>
      <c r="J10" s="102">
        <f>VLOOKUP(D10,'UNSG - ALL RATES'!$A$2:$CG$83,MATCH($F10,'UNSG - ALL RATES'!$A$3:$CG$3,0),0)</f>
        <v>0.34339999999999998</v>
      </c>
      <c r="K10" s="61">
        <f>VLOOKUP(E10,'UNSG - ALL RATES'!$A$2:$CG$83,MATCH($F10,'UNSG - ALL RATES'!$A$3:$BE$3,0),0)</f>
        <v>0.38009999999999999</v>
      </c>
      <c r="M10" s="61">
        <f t="shared" si="0"/>
        <v>3.670000000000001E-2</v>
      </c>
      <c r="N10" s="60">
        <f t="shared" si="1"/>
        <v>0.1068724519510775</v>
      </c>
    </row>
    <row r="11" spans="1:18">
      <c r="A11" s="100">
        <f t="shared" ref="A11:A72" si="4">A10</f>
        <v>41030</v>
      </c>
      <c r="B11" s="151">
        <f>'UNSG - ALL RATES'!B$25</f>
        <v>46082</v>
      </c>
      <c r="C11" s="100"/>
      <c r="D11" s="100" t="str">
        <f t="shared" si="2"/>
        <v>41030GRRES</v>
      </c>
      <c r="E11" s="100" t="str">
        <f t="shared" si="3"/>
        <v>46082GRRES</v>
      </c>
      <c r="F11" s="100" t="str">
        <f>IFERROR(IF(VLOOKUP(I11,Lookup!$A$1:$B$200,2,0)="","",VLOOKUP(I11,Lookup!$A$1:$B$200,2,0)),"")</f>
        <v/>
      </c>
      <c r="I11" s="57" t="s">
        <v>610</v>
      </c>
      <c r="J11" s="102">
        <f>'PGA Calculation'!$B$3</f>
        <v>0.4405</v>
      </c>
      <c r="K11" s="102">
        <f>'PGA Calculation'!$B$13</f>
        <v>0.44669999999999999</v>
      </c>
      <c r="M11" s="61" t="s">
        <v>611</v>
      </c>
      <c r="N11" s="60" t="s">
        <v>611</v>
      </c>
    </row>
    <row r="12" spans="1:18">
      <c r="A12" s="100">
        <f t="shared" si="4"/>
        <v>41030</v>
      </c>
      <c r="B12" s="151">
        <f>'UNSG - ALL RATES'!B$25</f>
        <v>46082</v>
      </c>
      <c r="C12" s="100" t="str">
        <f t="shared" ref="C12:C17" si="5">IF(H12="","",H12)</f>
        <v/>
      </c>
      <c r="D12" s="100"/>
      <c r="E12" s="100"/>
      <c r="F12" s="100" t="str">
        <f>IFERROR(IF(VLOOKUP(I12,Lookup!$A$1:$B$200,2,0)="","",VLOOKUP(I12,Lookup!$A$1:$B$200,2,0)),"")</f>
        <v/>
      </c>
    </row>
    <row r="13" spans="1:18">
      <c r="A13" s="100">
        <f t="shared" si="4"/>
        <v>41030</v>
      </c>
      <c r="B13" s="151">
        <f>'UNSG - ALL RATES'!B$25</f>
        <v>46082</v>
      </c>
      <c r="C13" s="100" t="str">
        <f t="shared" si="5"/>
        <v>GRRESC</v>
      </c>
      <c r="D13" s="100" t="str">
        <f>IF(C13="","",A13&amp;$C13)</f>
        <v>41030GRRESC</v>
      </c>
      <c r="E13" s="100" t="str">
        <f>IF(D13="","",B13&amp;$C7)</f>
        <v>46082GRRES</v>
      </c>
      <c r="F13" s="100" t="str">
        <f>IFERROR(IF(VLOOKUP(I13,Lookup!$A$1:$B$200,2,0)="","",VLOOKUP(I13,Lookup!$A$1:$B$200,2,0)),"")</f>
        <v/>
      </c>
      <c r="G13" s="101" t="str">
        <f>VLOOKUP($H13,'UNSG - ALL RATES'!$E$25:$F$41,2,0)</f>
        <v>5752</v>
      </c>
      <c r="H13" s="186" t="str">
        <f>Summary!B16</f>
        <v>GRRESC</v>
      </c>
      <c r="I13" s="58" t="str">
        <f>VLOOKUP($H13,'UNSG - ALL RATES'!$F$4:$G$20,2,0)</f>
        <v>Residential CARES Gas Service</v>
      </c>
    </row>
    <row r="14" spans="1:18">
      <c r="A14" s="100">
        <f t="shared" si="4"/>
        <v>41030</v>
      </c>
      <c r="B14" s="151">
        <f>'UNSG - ALL RATES'!B$25</f>
        <v>46082</v>
      </c>
      <c r="C14" s="100" t="str">
        <f t="shared" si="5"/>
        <v/>
      </c>
      <c r="D14" s="100" t="str">
        <f>D13</f>
        <v>41030GRRESC</v>
      </c>
      <c r="E14" s="100" t="str">
        <f>E13</f>
        <v>46082GRRES</v>
      </c>
      <c r="F14" s="100" t="str">
        <f>IFERROR(IF(VLOOKUP(I14,Lookup!$A$1:$B$200,2,0)="","",VLOOKUP(I14,Lookup!$A$1:$B$200,2,0)),"")</f>
        <v>BASIC_SERVICE_CHARGE</v>
      </c>
      <c r="I14" s="57" t="s">
        <v>607</v>
      </c>
      <c r="J14" s="59">
        <f>VLOOKUP(D14,'UNSG - ALL RATES'!$A$2:$CG$83,MATCH($F14,'UNSG - ALL RATES'!$A$3:$CG$3,0),0)</f>
        <v>7</v>
      </c>
      <c r="K14" s="59">
        <f>VLOOKUP(E14,'UNSG - ALL RATES'!$A$2:$CG$83,MATCH($F14,'UNSG - ALL RATES'!$A$3:$CG$3,0),0)</f>
        <v>11.94</v>
      </c>
      <c r="M14" s="59">
        <f t="shared" ref="M14:M16" si="6">+K14-J14</f>
        <v>4.9399999999999995</v>
      </c>
      <c r="N14" s="60">
        <f t="shared" ref="N14:N16" si="7">+M14/J14</f>
        <v>0.70571428571428563</v>
      </c>
    </row>
    <row r="15" spans="1:18">
      <c r="A15" s="100">
        <f t="shared" si="4"/>
        <v>41030</v>
      </c>
      <c r="B15" s="151">
        <f>'UNSG - ALL RATES'!B$25</f>
        <v>46082</v>
      </c>
      <c r="C15" s="100" t="str">
        <f t="shared" si="5"/>
        <v/>
      </c>
      <c r="D15" s="100" t="str">
        <f t="shared" ref="D15:D17" si="8">D14</f>
        <v>41030GRRESC</v>
      </c>
      <c r="E15" s="100" t="str">
        <f t="shared" ref="E15:E17" si="9">E14</f>
        <v>46082GRRES</v>
      </c>
      <c r="F15" s="100" t="str">
        <f>IFERROR(IF(VLOOKUP(I15,Lookup!$A$1:$B$200,2,0)="","",VLOOKUP(I15,Lookup!$A$1:$B$200,2,0)),"")</f>
        <v>LFCR_FIXED_UNSG</v>
      </c>
      <c r="I15" s="57" t="s">
        <v>608</v>
      </c>
      <c r="J15" s="61">
        <f>VLOOKUP(D15,'UNSG - ALL RATES'!$A$2:$CG$83,MATCH($F15,'UNSG - ALL RATES'!$A$3:$CG$3,0),0)</f>
        <v>1.5</v>
      </c>
      <c r="K15" s="61">
        <f>VLOOKUP(E15,'UNSG - ALL RATES'!$A$2:$CG$83,MATCH($F15,'UNSG - ALL RATES'!$A$3:$CG$3,0),0)</f>
        <v>0</v>
      </c>
      <c r="M15" s="61">
        <f t="shared" si="6"/>
        <v>-1.5</v>
      </c>
      <c r="N15" s="60">
        <f t="shared" si="7"/>
        <v>-1</v>
      </c>
    </row>
    <row r="16" spans="1:18">
      <c r="A16" s="100">
        <f t="shared" si="4"/>
        <v>41030</v>
      </c>
      <c r="B16" s="151">
        <f>'UNSG - ALL RATES'!B$25</f>
        <v>46082</v>
      </c>
      <c r="C16" s="100" t="str">
        <f t="shared" si="5"/>
        <v/>
      </c>
      <c r="D16" s="100" t="str">
        <f t="shared" si="8"/>
        <v>41030GRRESC</v>
      </c>
      <c r="E16" s="100" t="str">
        <f t="shared" si="9"/>
        <v>46082GRRES</v>
      </c>
      <c r="F16" s="100" t="str">
        <f>IFERROR(IF(VLOOKUP(I16,Lookup!$A$1:$B$200,2,0)="","",VLOOKUP(I16,Lookup!$A$1:$B$200,2,0)),"")</f>
        <v>THERM_DELIVERY_TIER1</v>
      </c>
      <c r="I16" s="57" t="s">
        <v>609</v>
      </c>
      <c r="J16" s="61">
        <f>VLOOKUP(D16,'UNSG - ALL RATES'!$A$2:$CG$83,MATCH($F16,'UNSG - ALL RATES'!$A$3:$CG$3,0),0)</f>
        <v>0.34339999999999998</v>
      </c>
      <c r="K16" s="61">
        <f>VLOOKUP(E16,'UNSG - ALL RATES'!$A$2:$CG$83,MATCH($F16,'UNSG - ALL RATES'!$A$3:$CG$3,0),0)</f>
        <v>0.38009999999999999</v>
      </c>
      <c r="M16" s="61">
        <f t="shared" si="6"/>
        <v>3.670000000000001E-2</v>
      </c>
      <c r="N16" s="60">
        <f t="shared" si="7"/>
        <v>0.1068724519510775</v>
      </c>
    </row>
    <row r="17" spans="1:14">
      <c r="A17" s="100">
        <f t="shared" si="4"/>
        <v>41030</v>
      </c>
      <c r="B17" s="151">
        <f>'UNSG - ALL RATES'!B$25</f>
        <v>46082</v>
      </c>
      <c r="C17" s="100" t="str">
        <f t="shared" si="5"/>
        <v/>
      </c>
      <c r="D17" s="100" t="str">
        <f t="shared" si="8"/>
        <v>41030GRRESC</v>
      </c>
      <c r="E17" s="100" t="str">
        <f t="shared" si="9"/>
        <v>46082GRRES</v>
      </c>
      <c r="F17" s="100" t="str">
        <f>IFERROR(IF(VLOOKUP(I17,Lookup!$A$1:$B$200,2,0)="","",VLOOKUP(I17,Lookup!$A$1:$B$200,2,0)),"")</f>
        <v/>
      </c>
      <c r="I17" s="57" t="s">
        <v>610</v>
      </c>
      <c r="J17" s="102">
        <f>'PGA Calculation'!$B$3</f>
        <v>0.4405</v>
      </c>
      <c r="K17" s="102">
        <f>'PGA Calculation'!$B$13</f>
        <v>0.44669999999999999</v>
      </c>
      <c r="M17" s="61" t="s">
        <v>611</v>
      </c>
      <c r="N17" s="60" t="s">
        <v>611</v>
      </c>
    </row>
    <row r="18" spans="1:14">
      <c r="A18" s="100">
        <f t="shared" si="4"/>
        <v>41030</v>
      </c>
      <c r="B18" s="151">
        <f>'UNSG - ALL RATES'!B$25</f>
        <v>46082</v>
      </c>
      <c r="C18" s="100" t="str">
        <f t="shared" ref="C18:C27" si="10">IF(H18="","",H18)</f>
        <v/>
      </c>
      <c r="D18" s="100" t="str">
        <f>IF(C18="","",A18&amp;$C18)</f>
        <v/>
      </c>
      <c r="E18" s="100" t="str">
        <f>IF(D18="","",B18&amp;$C18)</f>
        <v/>
      </c>
      <c r="F18" s="100" t="str">
        <f>IFERROR(IF(VLOOKUP(I18,Lookup!$A$1:$B$200,2,0)="","",VLOOKUP(I18,Lookup!$A$1:$B$200,2,0)),"")</f>
        <v/>
      </c>
      <c r="I18" s="58"/>
      <c r="J18" s="102"/>
      <c r="K18" s="102"/>
      <c r="L18" s="62"/>
      <c r="M18" s="61"/>
      <c r="N18" s="60"/>
    </row>
    <row r="19" spans="1:14">
      <c r="A19" s="100">
        <f t="shared" si="4"/>
        <v>41030</v>
      </c>
      <c r="B19" s="151">
        <f>'UNSG - ALL RATES'!B$25</f>
        <v>46082</v>
      </c>
      <c r="C19" s="100" t="str">
        <f t="shared" si="10"/>
        <v>GGSVS</v>
      </c>
      <c r="D19" s="100" t="str">
        <f>IF(C19="","",A19&amp;$C19)</f>
        <v>41030GGSVS</v>
      </c>
      <c r="E19" s="100" t="str">
        <f>IF(D19="","",B19&amp;$C19)</f>
        <v>46082GGSVS</v>
      </c>
      <c r="F19" s="100" t="str">
        <f>IFERROR(IF(VLOOKUP(I19,Lookup!$A$1:$B$200,2,0)="","",VLOOKUP(I19,Lookup!$A$1:$B$200,2,0)),"")</f>
        <v/>
      </c>
      <c r="G19" s="101" t="str">
        <f>VLOOKUP($H19,'UNSG - ALL RATES'!$E$25:$F$41,2,0)</f>
        <v>5753</v>
      </c>
      <c r="H19" s="186" t="str">
        <f>Summary!B17</f>
        <v>GGSVS</v>
      </c>
      <c r="I19" s="58" t="str">
        <f>VLOOKUP($H19,'UNSG - ALL RATES'!$F$4:$G$20,2,0)</f>
        <v>Small Volume Commercial Service</v>
      </c>
    </row>
    <row r="20" spans="1:14">
      <c r="A20" s="100">
        <f t="shared" si="4"/>
        <v>41030</v>
      </c>
      <c r="B20" s="151">
        <f>'UNSG - ALL RATES'!B$25</f>
        <v>46082</v>
      </c>
      <c r="C20" s="100" t="str">
        <f t="shared" si="10"/>
        <v/>
      </c>
      <c r="D20" s="100" t="str">
        <f>D19</f>
        <v>41030GGSVS</v>
      </c>
      <c r="E20" s="100" t="str">
        <f>E19</f>
        <v>46082GGSVS</v>
      </c>
      <c r="F20" s="100" t="str">
        <f>IFERROR(IF(VLOOKUP(I20,Lookup!$A$1:$B$200,2,0)="","",VLOOKUP(I20,Lookup!$A$1:$B$200,2,0)),"")</f>
        <v>BASIC_SERVICE_CHARGE</v>
      </c>
      <c r="I20" s="57" t="s">
        <v>607</v>
      </c>
      <c r="J20" s="59">
        <f>VLOOKUP(D20,'UNSG - ALL RATES'!$A$2:$CG$83,MATCH($F20,'UNSG - ALL RATES'!$A$3:$CG$3,0),0)</f>
        <v>20</v>
      </c>
      <c r="K20" s="59">
        <f>VLOOKUP(E20,'UNSG - ALL RATES'!$A$2:$CG$83,MATCH($F20,'UNSG - ALL RATES'!$A$3:$CG$3,0),0)</f>
        <v>28.32</v>
      </c>
      <c r="M20" s="59">
        <f t="shared" ref="M20:M21" si="11">+K20-J20</f>
        <v>8.32</v>
      </c>
      <c r="N20" s="60">
        <f t="shared" ref="N20:N21" si="12">+M20/J20</f>
        <v>0.41600000000000004</v>
      </c>
    </row>
    <row r="21" spans="1:14">
      <c r="A21" s="100">
        <f t="shared" si="4"/>
        <v>41030</v>
      </c>
      <c r="B21" s="151">
        <f>'UNSG - ALL RATES'!B$25</f>
        <v>46082</v>
      </c>
      <c r="C21" s="100" t="str">
        <f t="shared" si="10"/>
        <v/>
      </c>
      <c r="D21" s="100" t="str">
        <f>D20</f>
        <v>41030GGSVS</v>
      </c>
      <c r="E21" s="100" t="str">
        <f>E20</f>
        <v>46082GGSVS</v>
      </c>
      <c r="F21" s="100" t="str">
        <f>IFERROR(IF(VLOOKUP(I21,Lookup!$A$1:$B$200,2,0)="","",VLOOKUP(I21,Lookup!$A$1:$B$200,2,0)),"")</f>
        <v>THERM_DELIVERY_TIER1</v>
      </c>
      <c r="I21" s="57" t="s">
        <v>609</v>
      </c>
      <c r="J21" s="61">
        <f>VLOOKUP(D21,'UNSG - ALL RATES'!$A$2:$CG$83,MATCH($F21,'UNSG - ALL RATES'!$A$3:$CG$3,0),0)</f>
        <v>0.28370000000000001</v>
      </c>
      <c r="K21" s="61">
        <f>VLOOKUP(E21,'UNSG - ALL RATES'!$A$2:$CG$83,MATCH($F21,'UNSG - ALL RATES'!$A$3:$CG$3,0),0)</f>
        <v>0.31340000000000001</v>
      </c>
      <c r="M21" s="61">
        <f t="shared" si="11"/>
        <v>2.9700000000000004E-2</v>
      </c>
      <c r="N21" s="60">
        <f t="shared" si="12"/>
        <v>0.10468805075784281</v>
      </c>
    </row>
    <row r="22" spans="1:14">
      <c r="A22" s="100">
        <f t="shared" si="4"/>
        <v>41030</v>
      </c>
      <c r="B22" s="151">
        <f>'UNSG - ALL RATES'!B$25</f>
        <v>46082</v>
      </c>
      <c r="C22" s="100" t="str">
        <f t="shared" si="10"/>
        <v/>
      </c>
      <c r="D22" s="100" t="str">
        <f t="shared" ref="D22" si="13">D21</f>
        <v>41030GGSVS</v>
      </c>
      <c r="E22" s="100" t="str">
        <f t="shared" ref="E22" si="14">E21</f>
        <v>46082GGSVS</v>
      </c>
      <c r="F22" s="100" t="str">
        <f>IFERROR(IF(VLOOKUP(I22,Lookup!$A$1:$B$200,2,0)="","",VLOOKUP(I22,Lookup!$A$1:$B$200,2,0)),"")</f>
        <v/>
      </c>
      <c r="I22" s="57" t="s">
        <v>610</v>
      </c>
      <c r="J22" s="102">
        <f>'PGA Calculation'!$B$3</f>
        <v>0.4405</v>
      </c>
      <c r="K22" s="102">
        <f>'PGA Calculation'!$B$13</f>
        <v>0.44669999999999999</v>
      </c>
      <c r="M22" s="61">
        <f>+K22-J22</f>
        <v>6.1999999999999833E-3</v>
      </c>
      <c r="N22" s="60">
        <f>+M22/J22</f>
        <v>1.4074914869466477E-2</v>
      </c>
    </row>
    <row r="23" spans="1:14">
      <c r="A23" s="100">
        <f t="shared" si="4"/>
        <v>41030</v>
      </c>
      <c r="B23" s="151">
        <f>'UNSG - ALL RATES'!B$25</f>
        <v>46082</v>
      </c>
      <c r="C23" s="100" t="str">
        <f t="shared" si="10"/>
        <v/>
      </c>
      <c r="D23" s="100"/>
      <c r="E23" s="100"/>
      <c r="F23" s="100" t="str">
        <f>IFERROR(IF(VLOOKUP(I23,Lookup!$A$1:$B$200,2,0)="","",VLOOKUP(I23,Lookup!$A$1:$B$200,2,0)),"")</f>
        <v/>
      </c>
    </row>
    <row r="24" spans="1:14">
      <c r="A24" s="100">
        <f t="shared" si="4"/>
        <v>41030</v>
      </c>
      <c r="B24" s="151">
        <f>'UNSG - ALL RATES'!B$25</f>
        <v>46082</v>
      </c>
      <c r="C24" s="100" t="str">
        <f t="shared" si="10"/>
        <v>GPSVS</v>
      </c>
      <c r="D24" s="100" t="str">
        <f>IF(C24="","",A24&amp;$C24)</f>
        <v>41030GPSVS</v>
      </c>
      <c r="E24" s="100" t="str">
        <f>IF(D24="","",B24&amp;$C19)</f>
        <v>46082GGSVS</v>
      </c>
      <c r="F24" s="100" t="str">
        <f>IFERROR(IF(VLOOKUP(I24,Lookup!$A$1:$B$200,2,0)="","",VLOOKUP(I24,Lookup!$A$1:$B$200,2,0)),"")</f>
        <v/>
      </c>
      <c r="G24" s="101" t="str">
        <f>VLOOKUP($H24,'UNSG - ALL RATES'!$E$25:$F$41,2,0)</f>
        <v>5765</v>
      </c>
      <c r="H24" s="57" t="str">
        <f>Summary!B19</f>
        <v>GPSVS</v>
      </c>
      <c r="I24" s="58" t="str">
        <f>VLOOKUP($H24,'UNSG - ALL RATES'!$F$4:$G$20,2,0)</f>
        <v>Small Volume Public Authority Service</v>
      </c>
    </row>
    <row r="25" spans="1:14">
      <c r="A25" s="100">
        <f t="shared" si="4"/>
        <v>41030</v>
      </c>
      <c r="B25" s="151">
        <f>'UNSG - ALL RATES'!B$25</f>
        <v>46082</v>
      </c>
      <c r="C25" s="100" t="str">
        <f t="shared" si="10"/>
        <v/>
      </c>
      <c r="D25" s="100" t="str">
        <f>D24</f>
        <v>41030GPSVS</v>
      </c>
      <c r="E25" s="100" t="str">
        <f>E24</f>
        <v>46082GGSVS</v>
      </c>
      <c r="F25" s="100" t="str">
        <f>IFERROR(IF(VLOOKUP(I25,Lookup!$A$1:$B$200,2,0)="","",VLOOKUP(I25,Lookup!$A$1:$B$200,2,0)),"")</f>
        <v>BASIC_SERVICE_CHARGE</v>
      </c>
      <c r="I25" s="57" t="s">
        <v>607</v>
      </c>
      <c r="J25" s="59">
        <f>VLOOKUP(D25,'UNSG - ALL RATES'!$A$2:$CG$83,MATCH($F25,'UNSG - ALL RATES'!$A$3:$CG$3,0),0)</f>
        <v>20</v>
      </c>
      <c r="K25" s="59">
        <f>VLOOKUP(E25,'UNSG - ALL RATES'!$A$2:$CG$83,MATCH($F25,'UNSG - ALL RATES'!$A$3:$CG$3,0),0)</f>
        <v>28.32</v>
      </c>
      <c r="M25" s="59">
        <f t="shared" ref="M25:M26" si="15">+K25-J25</f>
        <v>8.32</v>
      </c>
      <c r="N25" s="60">
        <f t="shared" ref="N25:N26" si="16">+M25/J25</f>
        <v>0.41600000000000004</v>
      </c>
    </row>
    <row r="26" spans="1:14">
      <c r="A26" s="100">
        <f t="shared" si="4"/>
        <v>41030</v>
      </c>
      <c r="B26" s="151">
        <f>'UNSG - ALL RATES'!B$25</f>
        <v>46082</v>
      </c>
      <c r="C26" s="100" t="str">
        <f t="shared" si="10"/>
        <v/>
      </c>
      <c r="D26" s="100" t="str">
        <f t="shared" ref="D26:D27" si="17">D25</f>
        <v>41030GPSVS</v>
      </c>
      <c r="E26" s="100" t="str">
        <f t="shared" ref="E26:E27" si="18">E25</f>
        <v>46082GGSVS</v>
      </c>
      <c r="F26" s="100" t="str">
        <f>IFERROR(IF(VLOOKUP(I26,Lookup!$A$1:$B$200,2,0)="","",VLOOKUP(I26,Lookup!$A$1:$B$200,2,0)),"")</f>
        <v>THERM_DELIVERY_TIER1</v>
      </c>
      <c r="I26" s="57" t="s">
        <v>609</v>
      </c>
      <c r="J26" s="61">
        <f>VLOOKUP(D26,'UNSG - ALL RATES'!$A$2:$CG$83,MATCH($F26,'UNSG - ALL RATES'!$A$3:$CG$3,0),0)</f>
        <v>0.28410000000000002</v>
      </c>
      <c r="K26" s="61">
        <f>VLOOKUP(E26,'UNSG - ALL RATES'!$A$2:$CG$83,MATCH($F26,'UNSG - ALL RATES'!$A$3:$CG$3,0),0)</f>
        <v>0.31340000000000001</v>
      </c>
      <c r="M26" s="61">
        <f t="shared" si="15"/>
        <v>2.9299999999999993E-2</v>
      </c>
      <c r="N26" s="60">
        <f t="shared" si="16"/>
        <v>0.10313269975360785</v>
      </c>
    </row>
    <row r="27" spans="1:14">
      <c r="A27" s="100">
        <f t="shared" si="4"/>
        <v>41030</v>
      </c>
      <c r="B27" s="151">
        <f>'UNSG - ALL RATES'!B$25</f>
        <v>46082</v>
      </c>
      <c r="C27" s="100" t="str">
        <f t="shared" si="10"/>
        <v/>
      </c>
      <c r="D27" s="100" t="str">
        <f t="shared" si="17"/>
        <v>41030GPSVS</v>
      </c>
      <c r="E27" s="100" t="str">
        <f t="shared" si="18"/>
        <v>46082GGSVS</v>
      </c>
      <c r="F27" s="100" t="str">
        <f>IFERROR(IF(VLOOKUP(I27,Lookup!$A$1:$B$200,2,0)="","",VLOOKUP(I27,Lookup!$A$1:$B$200,2,0)),"")</f>
        <v/>
      </c>
      <c r="I27" s="57" t="s">
        <v>610</v>
      </c>
      <c r="J27" s="102">
        <f>'PGA Calculation'!$B$3</f>
        <v>0.4405</v>
      </c>
      <c r="K27" s="102">
        <f>'PGA Calculation'!$B$13</f>
        <v>0.44669999999999999</v>
      </c>
      <c r="M27" s="61">
        <f>+K27-J27</f>
        <v>6.1999999999999833E-3</v>
      </c>
      <c r="N27" s="60">
        <f>+M27/J27</f>
        <v>1.4074914869466477E-2</v>
      </c>
    </row>
    <row r="28" spans="1:14">
      <c r="A28" s="100">
        <f t="shared" si="4"/>
        <v>41030</v>
      </c>
      <c r="B28" s="151">
        <f>'UNSG - ALL RATES'!B$25</f>
        <v>46082</v>
      </c>
      <c r="C28" s="100" t="str">
        <f t="shared" ref="C28:C47" si="19">IF(H28="","",H28)</f>
        <v/>
      </c>
      <c r="D28" s="100" t="str">
        <f>IF(C28="","",A28&amp;$C28)</f>
        <v/>
      </c>
      <c r="E28" s="100" t="str">
        <f>IF(D28="","",B28&amp;$C28)</f>
        <v/>
      </c>
      <c r="F28" s="100" t="str">
        <f>IFERROR(IF(VLOOKUP(I28,Lookup!$A$1:$B$200,2,0)="","",VLOOKUP(I28,Lookup!$A$1:$B$200,2,0)),"")</f>
        <v/>
      </c>
    </row>
    <row r="29" spans="1:14">
      <c r="A29" s="100">
        <f t="shared" si="4"/>
        <v>41030</v>
      </c>
      <c r="B29" s="151">
        <f>'UNSG - ALL RATES'!B$25</f>
        <v>46082</v>
      </c>
      <c r="C29" s="100" t="str">
        <f t="shared" si="19"/>
        <v>GISVS</v>
      </c>
      <c r="D29" s="100" t="str">
        <f>IF(C29="","",A29&amp;$C29)</f>
        <v>41030GISVS</v>
      </c>
      <c r="E29" s="100" t="str">
        <f>IF(D29="","",B29&amp;$C19)</f>
        <v>46082GGSVS</v>
      </c>
      <c r="F29" s="100" t="str">
        <f>IFERROR(IF(VLOOKUP(I29,Lookup!$A$1:$B$200,2,0)="","",VLOOKUP(I29,Lookup!$A$1:$B$200,2,0)),"")</f>
        <v/>
      </c>
      <c r="G29" s="101" t="str">
        <f>VLOOKUP($H29,'UNSG - ALL RATES'!$E$25:$F$41,2,0)</f>
        <v>5758</v>
      </c>
      <c r="H29" s="57" t="str">
        <f>Summary!B18</f>
        <v>GISVS</v>
      </c>
      <c r="I29" s="58" t="str">
        <f>VLOOKUP($H29,'UNSG - ALL RATES'!$F$4:$G$20,2,0)</f>
        <v>Small Volume Industrial Service</v>
      </c>
    </row>
    <row r="30" spans="1:14">
      <c r="A30" s="100">
        <f t="shared" si="4"/>
        <v>41030</v>
      </c>
      <c r="B30" s="151">
        <f>'UNSG - ALL RATES'!B$25</f>
        <v>46082</v>
      </c>
      <c r="C30" s="100" t="str">
        <f t="shared" si="19"/>
        <v/>
      </c>
      <c r="D30" s="100" t="str">
        <f>D29</f>
        <v>41030GISVS</v>
      </c>
      <c r="E30" s="100" t="str">
        <f>E29</f>
        <v>46082GGSVS</v>
      </c>
      <c r="F30" s="100" t="str">
        <f>IFERROR(IF(VLOOKUP(I30,Lookup!$A$1:$B$200,2,0)="","",VLOOKUP(I30,Lookup!$A$1:$B$200,2,0)),"")</f>
        <v>BASIC_SERVICE_CHARGE</v>
      </c>
      <c r="I30" s="57" t="s">
        <v>607</v>
      </c>
      <c r="J30" s="59">
        <f>VLOOKUP(D30,'UNSG - ALL RATES'!$A$2:$CG$83,MATCH($F30,'UNSG - ALL RATES'!$A$3:$CG$3,0),0)</f>
        <v>20</v>
      </c>
      <c r="K30" s="59">
        <f>VLOOKUP(E30,'UNSG - ALL RATES'!$A$2:$CG$83,MATCH($F30,'UNSG - ALL RATES'!$A$3:$CG$3,0),0)</f>
        <v>28.32</v>
      </c>
      <c r="M30" s="59">
        <f t="shared" ref="M30:M31" si="20">+K30-J30</f>
        <v>8.32</v>
      </c>
      <c r="N30" s="60">
        <f t="shared" ref="N30:N31" si="21">+M30/J30</f>
        <v>0.41600000000000004</v>
      </c>
    </row>
    <row r="31" spans="1:14">
      <c r="A31" s="100">
        <f t="shared" si="4"/>
        <v>41030</v>
      </c>
      <c r="B31" s="151">
        <f>'UNSG - ALL RATES'!B$25</f>
        <v>46082</v>
      </c>
      <c r="C31" s="100" t="str">
        <f t="shared" si="19"/>
        <v/>
      </c>
      <c r="D31" s="100" t="str">
        <f t="shared" ref="D31:D32" si="22">D30</f>
        <v>41030GISVS</v>
      </c>
      <c r="E31" s="100" t="str">
        <f t="shared" ref="E31:E32" si="23">E30</f>
        <v>46082GGSVS</v>
      </c>
      <c r="F31" s="100" t="str">
        <f>IFERROR(IF(VLOOKUP(I31,Lookup!$A$1:$B$200,2,0)="","",VLOOKUP(I31,Lookup!$A$1:$B$200,2,0)),"")</f>
        <v>THERM_DELIVERY_TIER1</v>
      </c>
      <c r="I31" s="57" t="s">
        <v>609</v>
      </c>
      <c r="J31" s="61">
        <f>VLOOKUP(D31,'UNSG - ALL RATES'!$A$2:$CG$83,MATCH($F31,'UNSG - ALL RATES'!$A$3:$CG$3,0),0)</f>
        <v>0.30609999999999998</v>
      </c>
      <c r="K31" s="61">
        <f>VLOOKUP(E31,'UNSG - ALL RATES'!$A$2:$CG$83,MATCH($F31,'UNSG - ALL RATES'!$A$3:$CG$3,0),0)</f>
        <v>0.31340000000000001</v>
      </c>
      <c r="M31" s="61">
        <f t="shared" si="20"/>
        <v>7.3000000000000287E-3</v>
      </c>
      <c r="N31" s="60">
        <f t="shared" si="21"/>
        <v>2.3848415550473796E-2</v>
      </c>
    </row>
    <row r="32" spans="1:14">
      <c r="A32" s="100">
        <f t="shared" si="4"/>
        <v>41030</v>
      </c>
      <c r="B32" s="151">
        <f>'UNSG - ALL RATES'!B$25</f>
        <v>46082</v>
      </c>
      <c r="C32" s="100" t="str">
        <f t="shared" si="19"/>
        <v/>
      </c>
      <c r="D32" s="100" t="str">
        <f t="shared" si="22"/>
        <v>41030GISVS</v>
      </c>
      <c r="E32" s="100" t="str">
        <f t="shared" si="23"/>
        <v>46082GGSVS</v>
      </c>
      <c r="F32" s="100" t="str">
        <f>IFERROR(IF(VLOOKUP(I32,Lookup!$A$1:$B$200,2,0)="","",VLOOKUP(I32,Lookup!$A$1:$B$200,2,0)),"")</f>
        <v/>
      </c>
      <c r="I32" s="57" t="s">
        <v>610</v>
      </c>
      <c r="J32" s="102">
        <f>'PGA Calculation'!$B$3</f>
        <v>0.4405</v>
      </c>
      <c r="K32" s="102">
        <f>'PGA Calculation'!$B$13</f>
        <v>0.44669999999999999</v>
      </c>
      <c r="M32" s="61">
        <f>+K32-J32</f>
        <v>6.1999999999999833E-3</v>
      </c>
      <c r="N32" s="60">
        <f>+M32/J32</f>
        <v>1.4074914869466477E-2</v>
      </c>
    </row>
    <row r="33" spans="1:14">
      <c r="A33" s="100">
        <f t="shared" si="4"/>
        <v>41030</v>
      </c>
      <c r="B33" s="151">
        <f>'UNSG - ALL RATES'!B$25</f>
        <v>46082</v>
      </c>
      <c r="C33" s="100" t="str">
        <f t="shared" si="19"/>
        <v/>
      </c>
      <c r="D33" s="100" t="str">
        <f>IF(C33="","",A33&amp;$C33)</f>
        <v/>
      </c>
      <c r="E33" s="100" t="str">
        <f>IF(D33="","",B33&amp;$C33)</f>
        <v/>
      </c>
      <c r="F33" s="100" t="str">
        <f>IFERROR(IF(VLOOKUP(I33,Lookup!$A$1:$B$200,2,0)="","",VLOOKUP(I33,Lookup!$A$1:$B$200,2,0)),"")</f>
        <v/>
      </c>
    </row>
    <row r="34" spans="1:14">
      <c r="A34" s="100">
        <f t="shared" si="4"/>
        <v>41030</v>
      </c>
      <c r="B34" s="151">
        <f>'UNSG - ALL RATES'!B$25</f>
        <v>46082</v>
      </c>
      <c r="C34" s="100" t="str">
        <f t="shared" si="19"/>
        <v>GGLVS</v>
      </c>
      <c r="D34" s="100" t="str">
        <f>IF(C34="","",A34&amp;$C34)</f>
        <v>41030GGLVS</v>
      </c>
      <c r="E34" s="100" t="str">
        <f>IF(D34="","",B34&amp;$C54)</f>
        <v>46082GILVS</v>
      </c>
      <c r="F34" s="100" t="str">
        <f>IFERROR(IF(VLOOKUP(I34,Lookup!$A$1:$B$200,2,0)="","",VLOOKUP(I34,Lookup!$A$1:$B$200,2,0)),"")</f>
        <v/>
      </c>
      <c r="G34" s="101" t="str">
        <f>VLOOKUP($H34,'UNSG - ALL RATES'!$E$25:$F$41,2,0)</f>
        <v>5754</v>
      </c>
      <c r="H34" s="57" t="str">
        <f>Summary!B20</f>
        <v>GGLVS</v>
      </c>
      <c r="I34" s="58" t="str">
        <f>VLOOKUP($H34,'UNSG - ALL RATES'!$F$4:$G$20,2,0)</f>
        <v>Large Volume Commercial Service</v>
      </c>
    </row>
    <row r="35" spans="1:14">
      <c r="A35" s="100">
        <f t="shared" si="4"/>
        <v>41030</v>
      </c>
      <c r="B35" s="151">
        <f>'UNSG - ALL RATES'!B$25</f>
        <v>46082</v>
      </c>
      <c r="C35" s="100" t="str">
        <f t="shared" si="19"/>
        <v/>
      </c>
      <c r="D35" s="100" t="str">
        <f>D34</f>
        <v>41030GGLVS</v>
      </c>
      <c r="E35" s="100" t="str">
        <f>E34</f>
        <v>46082GILVS</v>
      </c>
      <c r="F35" s="100" t="str">
        <f>IFERROR(IF(VLOOKUP(I35,Lookup!$A$1:$B$200,2,0)="","",VLOOKUP(I35,Lookup!$A$1:$B$200,2,0)),"")</f>
        <v>BASIC_SERVICE_CHARGE</v>
      </c>
      <c r="I35" s="57" t="s">
        <v>607</v>
      </c>
      <c r="J35" s="59">
        <f>VLOOKUP(D35,'UNSG - ALL RATES'!$A$2:$CG$83,MATCH($F35,'UNSG - ALL RATES'!$A$3:$CG$3,0),0)</f>
        <v>225</v>
      </c>
      <c r="K35" s="59">
        <f>VLOOKUP(E35,'UNSG - ALL RATES'!$A$2:$CG$83,MATCH($F35,'UNSG - ALL RATES'!$A$3:$CG$3,0),0)</f>
        <v>285.73</v>
      </c>
      <c r="M35" s="59">
        <f t="shared" ref="M35:M36" si="24">+K35-J35</f>
        <v>60.730000000000018</v>
      </c>
      <c r="N35" s="60">
        <f t="shared" ref="N35:N36" si="25">+M35/J35</f>
        <v>0.26991111111111121</v>
      </c>
    </row>
    <row r="36" spans="1:14">
      <c r="A36" s="100">
        <f t="shared" si="4"/>
        <v>41030</v>
      </c>
      <c r="B36" s="151">
        <f>'UNSG - ALL RATES'!B$25</f>
        <v>46082</v>
      </c>
      <c r="C36" s="100" t="str">
        <f t="shared" si="19"/>
        <v/>
      </c>
      <c r="D36" s="100" t="str">
        <f>D35</f>
        <v>41030GGLVS</v>
      </c>
      <c r="E36" s="100" t="str">
        <f>E35</f>
        <v>46082GILVS</v>
      </c>
      <c r="F36" s="100" t="str">
        <f>IFERROR(IF(VLOOKUP(I36,Lookup!$A$1:$B$200,2,0)="","",VLOOKUP(I36,Lookup!$A$1:$B$200,2,0)),"")</f>
        <v>THERM_DELIVERY_TIER1</v>
      </c>
      <c r="I36" s="57" t="s">
        <v>609</v>
      </c>
      <c r="J36" s="61">
        <f>VLOOKUP(D36,'UNSG - ALL RATES'!$A$2:$CG$83,MATCH($F36,'UNSG - ALL RATES'!$A$3:$CG$3,0),0)</f>
        <v>0.2104</v>
      </c>
      <c r="K36" s="61">
        <f>VLOOKUP(E36,'UNSG - ALL RATES'!$A$2:$CG$83,MATCH($F36,'UNSG - ALL RATES'!$A$3:$CG$3,0),0)</f>
        <v>0.16200000000000001</v>
      </c>
      <c r="M36" s="61">
        <f t="shared" si="24"/>
        <v>-4.8399999999999999E-2</v>
      </c>
      <c r="N36" s="60">
        <f t="shared" si="25"/>
        <v>-0.23003802281368821</v>
      </c>
    </row>
    <row r="37" spans="1:14">
      <c r="A37" s="100">
        <f t="shared" si="4"/>
        <v>41030</v>
      </c>
      <c r="B37" s="151">
        <f>'UNSG - ALL RATES'!B$25</f>
        <v>46082</v>
      </c>
      <c r="C37" s="100" t="str">
        <f t="shared" si="19"/>
        <v/>
      </c>
      <c r="D37" s="100" t="str">
        <f t="shared" ref="D37" si="26">D36</f>
        <v>41030GGLVS</v>
      </c>
      <c r="E37" s="100" t="str">
        <f t="shared" ref="E37" si="27">E36</f>
        <v>46082GILVS</v>
      </c>
      <c r="F37" s="100" t="str">
        <f>IFERROR(IF(VLOOKUP(I37,Lookup!$A$1:$B$200,2,0)="","",VLOOKUP(I37,Lookup!$A$1:$B$200,2,0)),"")</f>
        <v/>
      </c>
      <c r="I37" s="57" t="s">
        <v>610</v>
      </c>
      <c r="J37" s="102">
        <f>'PGA Calculation'!$B$3</f>
        <v>0.4405</v>
      </c>
      <c r="K37" s="102">
        <f>'PGA Calculation'!$B$13</f>
        <v>0.44669999999999999</v>
      </c>
      <c r="M37" s="61">
        <f>+K37-J37</f>
        <v>6.1999999999999833E-3</v>
      </c>
      <c r="N37" s="60">
        <f>+M37/J37</f>
        <v>1.4074914869466477E-2</v>
      </c>
    </row>
    <row r="38" spans="1:14">
      <c r="A38" s="100">
        <f t="shared" si="4"/>
        <v>41030</v>
      </c>
      <c r="B38" s="151">
        <f>'UNSG - ALL RATES'!B$25</f>
        <v>46082</v>
      </c>
      <c r="C38" s="100" t="str">
        <f t="shared" si="19"/>
        <v/>
      </c>
      <c r="D38" s="100"/>
      <c r="E38" s="100"/>
      <c r="F38" s="100" t="str">
        <f>IFERROR(IF(VLOOKUP(I38,Lookup!$A$1:$B$200,2,0)="","",VLOOKUP(I38,Lookup!$A$1:$B$200,2,0)),"")</f>
        <v/>
      </c>
    </row>
    <row r="39" spans="1:14">
      <c r="A39" s="100">
        <f t="shared" si="4"/>
        <v>41030</v>
      </c>
      <c r="B39" s="151">
        <f>'UNSG - ALL RATES'!B$25</f>
        <v>46082</v>
      </c>
      <c r="C39" s="100" t="str">
        <f t="shared" si="19"/>
        <v>GPLVS</v>
      </c>
      <c r="D39" s="100" t="str">
        <f>IF(C39="","",A39&amp;$C39)</f>
        <v>41030GPLVS</v>
      </c>
      <c r="E39" s="100" t="str">
        <f>IF(D39="","",B39&amp;$C54)</f>
        <v>46082GILVS</v>
      </c>
      <c r="F39" s="100" t="str">
        <f>IFERROR(IF(VLOOKUP(I39,Lookup!$A$1:$B$200,2,0)="","",VLOOKUP(I39,Lookup!$A$1:$B$200,2,0)),"")</f>
        <v/>
      </c>
      <c r="G39" s="101" t="str">
        <f>VLOOKUP($H39,'UNSG - ALL RATES'!$E$25:$F$41,2,0)</f>
        <v>5766</v>
      </c>
      <c r="H39" s="57" t="str">
        <f>Summary!B22</f>
        <v>GPLVS</v>
      </c>
      <c r="I39" s="58" t="str">
        <f>VLOOKUP($H39,'UNSG - ALL RATES'!$F$4:$G$20,2,0)</f>
        <v>Large Volume Public Authority Service</v>
      </c>
    </row>
    <row r="40" spans="1:14">
      <c r="A40" s="100">
        <f t="shared" si="4"/>
        <v>41030</v>
      </c>
      <c r="B40" s="151">
        <f>'UNSG - ALL RATES'!B$25</f>
        <v>46082</v>
      </c>
      <c r="C40" s="100" t="str">
        <f t="shared" si="19"/>
        <v/>
      </c>
      <c r="D40" s="100" t="str">
        <f>D39</f>
        <v>41030GPLVS</v>
      </c>
      <c r="E40" s="100" t="str">
        <f>E39</f>
        <v>46082GILVS</v>
      </c>
      <c r="F40" s="100" t="str">
        <f>IFERROR(IF(VLOOKUP(I40,Lookup!$A$1:$B$200,2,0)="","",VLOOKUP(I40,Lookup!$A$1:$B$200,2,0)),"")</f>
        <v>BASIC_SERVICE_CHARGE</v>
      </c>
      <c r="I40" s="57" t="s">
        <v>607</v>
      </c>
      <c r="J40" s="59">
        <f>VLOOKUP(D40,'UNSG - ALL RATES'!$A$2:$CG$83,MATCH($F40,'UNSG - ALL RATES'!$A$3:$CG$3,0),0)</f>
        <v>225</v>
      </c>
      <c r="K40" s="59">
        <f>VLOOKUP(E40,'UNSG - ALL RATES'!$A$2:$CG$83,MATCH($F40,'UNSG - ALL RATES'!$A$3:$CG$3,0),0)</f>
        <v>285.73</v>
      </c>
      <c r="M40" s="59">
        <f>+K40-J40</f>
        <v>60.730000000000018</v>
      </c>
      <c r="N40" s="60">
        <f>+M40/J40</f>
        <v>0.26991111111111121</v>
      </c>
    </row>
    <row r="41" spans="1:14">
      <c r="A41" s="100">
        <f t="shared" si="4"/>
        <v>41030</v>
      </c>
      <c r="B41" s="151">
        <f>'UNSG - ALL RATES'!B$25</f>
        <v>46082</v>
      </c>
      <c r="C41" s="100" t="str">
        <f t="shared" si="19"/>
        <v/>
      </c>
      <c r="D41" s="100" t="str">
        <f>D40</f>
        <v>41030GPLVS</v>
      </c>
      <c r="E41" s="100" t="str">
        <f>E40</f>
        <v>46082GILVS</v>
      </c>
      <c r="F41" s="100" t="str">
        <f>IFERROR(IF(VLOOKUP(I41,Lookup!$A$1:$B$200,2,0)="","",VLOOKUP(I41,Lookup!$A$1:$B$200,2,0)),"")</f>
        <v>THERM_DELIVERY_TIER1</v>
      </c>
      <c r="I41" s="57" t="s">
        <v>609</v>
      </c>
      <c r="J41" s="59">
        <f>VLOOKUP(D41,'UNSG - ALL RATES'!$A$2:$CG$83,MATCH($F41,'UNSG - ALL RATES'!$A$3:$CG$3,0),0)</f>
        <v>0.1527</v>
      </c>
      <c r="K41" s="59">
        <f>VLOOKUP(E41,'UNSG - ALL RATES'!$A$2:$CG$83,MATCH($F41,'UNSG - ALL RATES'!$A$3:$CG$3,0),0)</f>
        <v>0.16200000000000001</v>
      </c>
      <c r="M41" s="59">
        <f t="shared" ref="M41" si="28">+K41-J41</f>
        <v>9.3000000000000027E-3</v>
      </c>
      <c r="N41" s="60">
        <f t="shared" ref="N41" si="29">+M41/J41</f>
        <v>6.0903732809430275E-2</v>
      </c>
    </row>
    <row r="42" spans="1:14">
      <c r="A42" s="100">
        <f t="shared" si="4"/>
        <v>41030</v>
      </c>
      <c r="B42" s="151">
        <f>'UNSG - ALL RATES'!B$25</f>
        <v>46082</v>
      </c>
      <c r="C42" s="100" t="str">
        <f t="shared" si="19"/>
        <v/>
      </c>
      <c r="D42" s="100" t="str">
        <f t="shared" ref="D42" si="30">D41</f>
        <v>41030GPLVS</v>
      </c>
      <c r="E42" s="100" t="str">
        <f t="shared" ref="E42" si="31">E41</f>
        <v>46082GILVS</v>
      </c>
      <c r="F42" s="100" t="str">
        <f>IFERROR(IF(VLOOKUP(I42,Lookup!$A$1:$B$200,2,0)="","",VLOOKUP(I42,Lookup!$A$1:$B$200,2,0)),"")</f>
        <v/>
      </c>
      <c r="I42" s="57" t="s">
        <v>610</v>
      </c>
      <c r="J42" s="102">
        <f>'PGA Calculation'!$B$3</f>
        <v>0.4405</v>
      </c>
      <c r="K42" s="102">
        <f>'PGA Calculation'!$B$13</f>
        <v>0.44669999999999999</v>
      </c>
      <c r="M42" s="61">
        <f>+K42-J42</f>
        <v>6.1999999999999833E-3</v>
      </c>
      <c r="N42" s="60">
        <f>+M42/J42</f>
        <v>1.4074914869466477E-2</v>
      </c>
    </row>
    <row r="43" spans="1:14">
      <c r="A43" s="100">
        <f t="shared" si="4"/>
        <v>41030</v>
      </c>
      <c r="B43" s="151">
        <f>'UNSG - ALL RATES'!B$25</f>
        <v>46082</v>
      </c>
      <c r="C43" s="100" t="str">
        <f t="shared" si="19"/>
        <v/>
      </c>
      <c r="D43" s="100" t="str">
        <f>IF(C43="","",A43&amp;$C43)</f>
        <v/>
      </c>
      <c r="E43" s="100" t="str">
        <f>IF(D43="","",B43&amp;$C43)</f>
        <v/>
      </c>
      <c r="F43" s="100" t="str">
        <f>IFERROR(IF(VLOOKUP(I43,Lookup!$A$1:$B$200,2,0)="","",VLOOKUP(I43,Lookup!$A$1:$B$200,2,0)),"")</f>
        <v/>
      </c>
    </row>
    <row r="44" spans="1:14">
      <c r="A44" s="100">
        <f t="shared" si="4"/>
        <v>41030</v>
      </c>
      <c r="B44" s="151">
        <f>'UNSG - ALL RATES'!B$25</f>
        <v>46082</v>
      </c>
      <c r="C44" s="100" t="str">
        <f t="shared" si="19"/>
        <v>GPCNGSV</v>
      </c>
      <c r="D44" s="100" t="str">
        <f>IF(C44="","",A44&amp;$C44)</f>
        <v>41030GPCNGSV</v>
      </c>
      <c r="E44" s="100" t="str">
        <f>IF(D44="","",B44&amp;$C19)</f>
        <v>46082GGSVS</v>
      </c>
      <c r="F44" s="100" t="str">
        <f>IFERROR(IF(VLOOKUP(I44,Lookup!$A$1:$B$200,2,0)="","",VLOOKUP(I44,Lookup!$A$1:$B$200,2,0)),"")</f>
        <v/>
      </c>
      <c r="G44" s="101" t="str">
        <f>VLOOKUP($H44,'UNSG - ALL RATES'!$E$25:$F$41,2,0)</f>
        <v>5763</v>
      </c>
      <c r="H44" s="57" t="str">
        <f>Summary!B23</f>
        <v>GPCNGSV</v>
      </c>
      <c r="I44" s="58" t="str">
        <f>VLOOKUP($H44,'UNSG - ALL RATES'!$F$4:$G$20,2,0)</f>
        <v>Compressed Natural Gas-Public Auth</v>
      </c>
    </row>
    <row r="45" spans="1:14">
      <c r="A45" s="100">
        <f t="shared" si="4"/>
        <v>41030</v>
      </c>
      <c r="B45" s="151">
        <f>'UNSG - ALL RATES'!B$25</f>
        <v>46082</v>
      </c>
      <c r="C45" s="100" t="str">
        <f t="shared" si="19"/>
        <v/>
      </c>
      <c r="D45" s="100" t="str">
        <f t="shared" ref="D45:E47" si="32">D44</f>
        <v>41030GPCNGSV</v>
      </c>
      <c r="E45" s="100" t="str">
        <f t="shared" si="32"/>
        <v>46082GGSVS</v>
      </c>
      <c r="F45" s="100" t="str">
        <f>IFERROR(IF(VLOOKUP(I45,Lookup!$A$1:$B$200,2,0)="","",VLOOKUP(I45,Lookup!$A$1:$B$200,2,0)),"")</f>
        <v>BASIC_SERVICE_CHARGE</v>
      </c>
      <c r="I45" s="57" t="s">
        <v>607</v>
      </c>
      <c r="J45" s="59">
        <f>VLOOKUP(D45,'UNSG - ALL RATES'!$A$2:$CG$83,MATCH($F45,'UNSG - ALL RATES'!$A$3:$CG$3,0),0)</f>
        <v>20</v>
      </c>
      <c r="K45" s="59">
        <f>VLOOKUP(E45,'UNSG - ALL RATES'!$A$2:$CG$83,MATCH($F45,'UNSG - ALL RATES'!$A$3:$CG$3,0),0)</f>
        <v>28.32</v>
      </c>
      <c r="M45" s="59">
        <f t="shared" ref="M45:M46" si="33">+K45-J45</f>
        <v>8.32</v>
      </c>
      <c r="N45" s="60">
        <f t="shared" ref="N45:N46" si="34">+M45/J45</f>
        <v>0.41600000000000004</v>
      </c>
    </row>
    <row r="46" spans="1:14">
      <c r="A46" s="100">
        <f t="shared" si="4"/>
        <v>41030</v>
      </c>
      <c r="B46" s="151">
        <f>'UNSG - ALL RATES'!B$25</f>
        <v>46082</v>
      </c>
      <c r="C46" s="100" t="str">
        <f>IF(H46="","",H46)</f>
        <v/>
      </c>
      <c r="D46" s="100" t="str">
        <f t="shared" si="32"/>
        <v>41030GPCNGSV</v>
      </c>
      <c r="E46" s="100" t="str">
        <f t="shared" si="32"/>
        <v>46082GGSVS</v>
      </c>
      <c r="F46" s="100" t="str">
        <f>IFERROR(IF(VLOOKUP(I46,Lookup!$A$1:$B$200,2,0)="","",VLOOKUP(I46,Lookup!$A$1:$B$200,2,0)),"")</f>
        <v>THERM_DELIVERY_TIER1</v>
      </c>
      <c r="I46" s="57" t="s">
        <v>609</v>
      </c>
      <c r="J46" s="59">
        <f>VLOOKUP(D46,'UNSG - ALL RATES'!$A$2:$CG$83,MATCH($F46,'UNSG - ALL RATES'!$A$3:$CG$3,0),0)</f>
        <v>0.28410000000000002</v>
      </c>
      <c r="K46" s="59">
        <f>VLOOKUP(E46,'UNSG - ALL RATES'!$A$2:$CG$83,MATCH($F46,'UNSG - ALL RATES'!$A$3:$CG$3,0),0)</f>
        <v>0.31340000000000001</v>
      </c>
      <c r="M46" s="59">
        <f t="shared" si="33"/>
        <v>2.9299999999999993E-2</v>
      </c>
      <c r="N46" s="60">
        <f t="shared" si="34"/>
        <v>0.10313269975360785</v>
      </c>
    </row>
    <row r="47" spans="1:14">
      <c r="A47" s="100">
        <f t="shared" si="4"/>
        <v>41030</v>
      </c>
      <c r="B47" s="151">
        <f>'UNSG - ALL RATES'!B$25</f>
        <v>46082</v>
      </c>
      <c r="C47" s="100" t="str">
        <f t="shared" si="19"/>
        <v/>
      </c>
      <c r="D47" s="100" t="str">
        <f t="shared" si="32"/>
        <v>41030GPCNGSV</v>
      </c>
      <c r="E47" s="100" t="str">
        <f t="shared" si="32"/>
        <v>46082GGSVS</v>
      </c>
      <c r="F47" s="100" t="str">
        <f>IFERROR(IF(VLOOKUP(I47,Lookup!$A$1:$B$200,2,0)="","",VLOOKUP(I47,Lookup!$A$1:$B$200,2,0)),"")</f>
        <v/>
      </c>
      <c r="I47" s="57" t="s">
        <v>610</v>
      </c>
      <c r="J47" s="102">
        <f>'PGA Calculation'!$B$3</f>
        <v>0.4405</v>
      </c>
      <c r="K47" s="102">
        <f>'PGA Calculation'!$B$13</f>
        <v>0.44669999999999999</v>
      </c>
      <c r="M47" s="61">
        <f>+K47-J47</f>
        <v>6.1999999999999833E-3</v>
      </c>
      <c r="N47" s="60">
        <f>+M47/J47</f>
        <v>1.4074914869466477E-2</v>
      </c>
    </row>
    <row r="48" spans="1:14">
      <c r="A48" s="100">
        <f t="shared" si="4"/>
        <v>41030</v>
      </c>
      <c r="B48" s="151">
        <f>'UNSG - ALL RATES'!B$25</f>
        <v>46082</v>
      </c>
      <c r="C48" s="100" t="str">
        <f t="shared" ref="C48:C52" si="35">IF(H48="","",H48)</f>
        <v/>
      </c>
      <c r="D48" s="100" t="str">
        <f>IF(C48="","",A48&amp;$C48)</f>
        <v/>
      </c>
      <c r="E48" s="100" t="str">
        <f>IF(D48="","",B48&amp;$C48)</f>
        <v/>
      </c>
      <c r="F48" s="100" t="str">
        <f>IFERROR(IF(VLOOKUP(I48,Lookup!$A$1:$B$200,2,0)="","",VLOOKUP(I48,Lookup!$A$1:$B$200,2,0)),"")</f>
        <v/>
      </c>
    </row>
    <row r="49" spans="1:14">
      <c r="A49" s="100">
        <f t="shared" si="4"/>
        <v>41030</v>
      </c>
      <c r="B49" s="151">
        <f>'UNSG - ALL RATES'!B$25</f>
        <v>46082</v>
      </c>
      <c r="C49" s="100" t="str">
        <f t="shared" si="35"/>
        <v>GRCNG</v>
      </c>
      <c r="D49" s="100" t="str">
        <f>IF(C49="","",A49&amp;$C49)</f>
        <v>41030GRCNG</v>
      </c>
      <c r="E49" s="100" t="str">
        <f>IF(D49="","",B49&amp;$C7)</f>
        <v>46082GRRES</v>
      </c>
      <c r="F49" s="100" t="str">
        <f>IFERROR(IF(VLOOKUP(I49,Lookup!$A$1:$B$200,2,0)="","",VLOOKUP(I49,Lookup!$A$1:$B$200,2,0)),"")</f>
        <v/>
      </c>
      <c r="G49" s="101" t="str">
        <f>VLOOKUP($H49,'UNSG - ALL RATES'!$E$25:$F$41,2,0)</f>
        <v>5763</v>
      </c>
      <c r="H49" s="57" t="str">
        <f>Summary!B24</f>
        <v>GRCNG</v>
      </c>
      <c r="I49" s="58" t="str">
        <f>VLOOKUP($H49,'UNSG - ALL RATES'!$F$4:$G$20,2,0)</f>
        <v>Compressed Natural Gas-Residential Service</v>
      </c>
    </row>
    <row r="50" spans="1:14">
      <c r="A50" s="100">
        <f t="shared" si="4"/>
        <v>41030</v>
      </c>
      <c r="B50" s="151">
        <f>'UNSG - ALL RATES'!B$25</f>
        <v>46082</v>
      </c>
      <c r="C50" s="100" t="str">
        <f t="shared" si="35"/>
        <v/>
      </c>
      <c r="D50" s="100" t="str">
        <f>D49</f>
        <v>41030GRCNG</v>
      </c>
      <c r="E50" s="100" t="str">
        <f>E49</f>
        <v>46082GRRES</v>
      </c>
      <c r="F50" s="100" t="str">
        <f>IFERROR(IF(VLOOKUP(I50,Lookup!$A$1:$B$200,2,0)="","",VLOOKUP(I50,Lookup!$A$1:$B$200,2,0)),"")</f>
        <v>BASIC_SERVICE_CHARGE</v>
      </c>
      <c r="I50" s="57" t="s">
        <v>607</v>
      </c>
      <c r="J50" s="59">
        <f>VLOOKUP(D50,'UNSG - ALL RATES'!$A$2:$CG$83,MATCH($F50,'UNSG - ALL RATES'!$A$3:$CG$3,0),0)</f>
        <v>10</v>
      </c>
      <c r="K50" s="59">
        <f>VLOOKUP(E50,'UNSG - ALL RATES'!$A$2:$CG$83,MATCH($F50,'UNSG - ALL RATES'!$A$3:$CG$3,0),0)</f>
        <v>11.94</v>
      </c>
      <c r="M50" s="59">
        <f t="shared" ref="M50:M51" si="36">+K50-J50</f>
        <v>1.9399999999999995</v>
      </c>
      <c r="N50" s="60">
        <f t="shared" ref="N50:N51" si="37">+M50/J50</f>
        <v>0.19399999999999995</v>
      </c>
    </row>
    <row r="51" spans="1:14">
      <c r="A51" s="100">
        <f t="shared" si="4"/>
        <v>41030</v>
      </c>
      <c r="B51" s="151">
        <f>'UNSG - ALL RATES'!B$25</f>
        <v>46082</v>
      </c>
      <c r="C51" s="100" t="str">
        <f t="shared" si="35"/>
        <v/>
      </c>
      <c r="D51" s="100" t="str">
        <f t="shared" ref="D51:D52" si="38">D50</f>
        <v>41030GRCNG</v>
      </c>
      <c r="E51" s="100" t="str">
        <f t="shared" ref="E51:E52" si="39">E50</f>
        <v>46082GRRES</v>
      </c>
      <c r="F51" s="100" t="str">
        <f>IFERROR(IF(VLOOKUP(I51,Lookup!$A$1:$B$200,2,0)="","",VLOOKUP(I51,Lookup!$A$1:$B$200,2,0)),"")</f>
        <v>THERM_DELIVERY_TIER1</v>
      </c>
      <c r="I51" s="57" t="s">
        <v>609</v>
      </c>
      <c r="J51" s="61">
        <f>VLOOKUP(D51,'UNSG - ALL RATES'!$A$2:$CG$83,MATCH($F51,'UNSG - ALL RATES'!$A$3:$CG$3,0),0)</f>
        <v>0.34339999999999998</v>
      </c>
      <c r="K51" s="61">
        <f>VLOOKUP(E51,'UNSG - ALL RATES'!$A$2:$CG$83,MATCH($F51,'UNSG - ALL RATES'!$A$3:$CG$3,0),0)</f>
        <v>0.38009999999999999</v>
      </c>
      <c r="M51" s="61">
        <f t="shared" si="36"/>
        <v>3.670000000000001E-2</v>
      </c>
      <c r="N51" s="60">
        <f t="shared" si="37"/>
        <v>0.1068724519510775</v>
      </c>
    </row>
    <row r="52" spans="1:14">
      <c r="A52" s="100">
        <f t="shared" si="4"/>
        <v>41030</v>
      </c>
      <c r="B52" s="151">
        <f>'UNSG - ALL RATES'!B$25</f>
        <v>46082</v>
      </c>
      <c r="C52" s="100" t="str">
        <f t="shared" si="35"/>
        <v/>
      </c>
      <c r="D52" s="100" t="str">
        <f t="shared" si="38"/>
        <v>41030GRCNG</v>
      </c>
      <c r="E52" s="100" t="str">
        <f t="shared" si="39"/>
        <v>46082GRRES</v>
      </c>
      <c r="F52" s="100" t="str">
        <f>IFERROR(IF(VLOOKUP(I52,Lookup!$A$1:$B$200,2,0)="","",VLOOKUP(I52,Lookup!$A$1:$B$200,2,0)),"")</f>
        <v/>
      </c>
      <c r="I52" s="57" t="s">
        <v>610</v>
      </c>
      <c r="J52" s="102">
        <f>'PGA Calculation'!$B$3</f>
        <v>0.4405</v>
      </c>
      <c r="K52" s="102">
        <f>'PGA Calculation'!$B$13</f>
        <v>0.44669999999999999</v>
      </c>
      <c r="M52" s="61">
        <f>+K52-J52</f>
        <v>6.1999999999999833E-3</v>
      </c>
      <c r="N52" s="60">
        <f>+M52/J52</f>
        <v>1.4074914869466477E-2</v>
      </c>
    </row>
    <row r="53" spans="1:14" ht="15">
      <c r="A53" s="100">
        <f t="shared" si="4"/>
        <v>41030</v>
      </c>
      <c r="B53" s="151">
        <f>'UNSG - ALL RATES'!B$25</f>
        <v>46082</v>
      </c>
      <c r="C53" s="100" t="str">
        <f t="shared" ref="C53" si="40">IF(H53="","",H53)</f>
        <v/>
      </c>
      <c r="D53"/>
      <c r="E53"/>
      <c r="F53" s="100" t="str">
        <f>IFERROR(IF(VLOOKUP(I53,Lookup!$A$1:$B$200,2,0)="","",VLOOKUP(I53,Lookup!$A$1:$B$200,2,0)),"")</f>
        <v/>
      </c>
      <c r="J53" s="102"/>
      <c r="K53" s="102"/>
      <c r="M53" s="61"/>
      <c r="N53" s="60"/>
    </row>
    <row r="54" spans="1:14">
      <c r="A54" s="100">
        <f>A52</f>
        <v>41030</v>
      </c>
      <c r="B54" s="151">
        <f>'UNSG - ALL RATES'!B$25</f>
        <v>46082</v>
      </c>
      <c r="C54" s="100" t="str">
        <f>IF(H54="","",H54)</f>
        <v>GILVS</v>
      </c>
      <c r="D54" s="100" t="str">
        <f>IF(C54="","",A54&amp;$C54)</f>
        <v>41030GILVS</v>
      </c>
      <c r="E54" s="100" t="str">
        <f>IF(D54="","",B54&amp;$C54)</f>
        <v>46082GILVS</v>
      </c>
      <c r="F54" s="100" t="str">
        <f>IFERROR(IF(VLOOKUP(I54,Lookup!$A$1:$B$200,2,0)="","",VLOOKUP(I54,Lookup!$A$1:$B$200,2,0)),"")</f>
        <v/>
      </c>
      <c r="G54" s="101" t="str">
        <f>VLOOKUP($H54,'UNSG - ALL RATES'!$E$25:$F$41,2,0)</f>
        <v>5759</v>
      </c>
      <c r="H54" s="186" t="str">
        <f>Summary!B21</f>
        <v>GILVS</v>
      </c>
      <c r="I54" s="58" t="str">
        <f>VLOOKUP($H54,'UNSG - ALL RATES'!$F$4:$G$20,2,0)</f>
        <v>Large Volume Industrial Service</v>
      </c>
    </row>
    <row r="55" spans="1:14">
      <c r="A55" s="100">
        <f t="shared" si="4"/>
        <v>41030</v>
      </c>
      <c r="B55" s="151">
        <f>'UNSG - ALL RATES'!B$25</f>
        <v>46082</v>
      </c>
      <c r="C55" s="100" t="str">
        <f t="shared" ref="C55:C58" si="41">IF(H55="","",H55)</f>
        <v/>
      </c>
      <c r="D55" s="100" t="str">
        <f>D54</f>
        <v>41030GILVS</v>
      </c>
      <c r="E55" s="100" t="str">
        <f>E54</f>
        <v>46082GILVS</v>
      </c>
      <c r="F55" s="100" t="str">
        <f>IFERROR(IF(VLOOKUP(I55,Lookup!$A$1:$B$200,2,0)="","",VLOOKUP(I55,Lookup!$A$1:$B$200,2,0)),"")</f>
        <v>BASIC_SERVICE_CHARGE</v>
      </c>
      <c r="I55" s="57" t="s">
        <v>607</v>
      </c>
      <c r="J55" s="59">
        <f>VLOOKUP(D55,'UNSG - ALL RATES'!$A$2:$CG$83,MATCH($F55,'UNSG - ALL RATES'!$A$3:$CG$3,0),0)</f>
        <v>225</v>
      </c>
      <c r="K55" s="59">
        <f>VLOOKUP(E55,'UNSG - ALL RATES'!$A$2:$CG$83,MATCH($F55,'UNSG - ALL RATES'!$A$3:$CG$3,0),0)</f>
        <v>285.73</v>
      </c>
      <c r="M55" s="59">
        <f>+K55-J55</f>
        <v>60.730000000000018</v>
      </c>
      <c r="N55" s="60">
        <f t="shared" ref="N55:N56" si="42">+M55/J55</f>
        <v>0.26991111111111121</v>
      </c>
    </row>
    <row r="56" spans="1:14">
      <c r="A56" s="100">
        <f t="shared" si="4"/>
        <v>41030</v>
      </c>
      <c r="B56" s="151">
        <f>'UNSG - ALL RATES'!B$25</f>
        <v>46082</v>
      </c>
      <c r="C56" s="100" t="str">
        <f t="shared" si="41"/>
        <v/>
      </c>
      <c r="D56" s="100" t="str">
        <f t="shared" ref="D56:D57" si="43">D55</f>
        <v>41030GILVS</v>
      </c>
      <c r="E56" s="100" t="str">
        <f t="shared" ref="E56:E57" si="44">E55</f>
        <v>46082GILVS</v>
      </c>
      <c r="F56" s="100" t="str">
        <f>IFERROR(IF(VLOOKUP(I56,Lookup!$A$1:$B$200,2,0)="","",VLOOKUP(I56,Lookup!$A$1:$B$200,2,0)),"")</f>
        <v>THERM_DELIVERY_TIER1</v>
      </c>
      <c r="I56" s="57" t="s">
        <v>609</v>
      </c>
      <c r="J56" s="61">
        <f>VLOOKUP(D56,'UNSG - ALL RATES'!$A$2:$CG$83,MATCH($F56,'UNSG - ALL RATES'!$A$3:$CG$3,0),0)</f>
        <v>0.12479999999999999</v>
      </c>
      <c r="K56" s="61">
        <f>VLOOKUP(E56,'UNSG - ALL RATES'!$A$2:$CG$83,MATCH($F56,'UNSG - ALL RATES'!$A$3:$CG$3,0),0)</f>
        <v>0.16200000000000001</v>
      </c>
      <c r="M56" s="61">
        <f>+K56-J56</f>
        <v>3.7200000000000011E-2</v>
      </c>
      <c r="N56" s="60">
        <f t="shared" si="42"/>
        <v>0.29807692307692318</v>
      </c>
    </row>
    <row r="57" spans="1:14">
      <c r="A57" s="100">
        <f t="shared" si="4"/>
        <v>41030</v>
      </c>
      <c r="B57" s="151">
        <f>'UNSG - ALL RATES'!B$25</f>
        <v>46082</v>
      </c>
      <c r="C57" s="100" t="str">
        <f t="shared" si="41"/>
        <v/>
      </c>
      <c r="D57" s="100" t="str">
        <f t="shared" si="43"/>
        <v>41030GILVS</v>
      </c>
      <c r="E57" s="100" t="str">
        <f t="shared" si="44"/>
        <v>46082GILVS</v>
      </c>
      <c r="F57" s="100" t="str">
        <f>IFERROR(IF(VLOOKUP(I57,Lookup!$A$1:$B$200,2,0)="","",VLOOKUP(I57,Lookup!$A$1:$B$200,2,0)),"")</f>
        <v/>
      </c>
      <c r="I57" s="57" t="s">
        <v>610</v>
      </c>
      <c r="J57" s="102">
        <f>'PGA Calculation'!$B$3</f>
        <v>0.4405</v>
      </c>
      <c r="K57" s="102">
        <f>'PGA Calculation'!$B$13</f>
        <v>0.44669999999999999</v>
      </c>
      <c r="M57" s="61">
        <f>+K57-J57</f>
        <v>6.1999999999999833E-3</v>
      </c>
      <c r="N57" s="60">
        <f>+M57/J57</f>
        <v>1.4074914869466477E-2</v>
      </c>
    </row>
    <row r="58" spans="1:14">
      <c r="A58" s="100">
        <f t="shared" si="4"/>
        <v>41030</v>
      </c>
      <c r="B58" s="151">
        <f>'UNSG - ALL RATES'!B$25</f>
        <v>46082</v>
      </c>
      <c r="C58" s="100" t="str">
        <f t="shared" si="41"/>
        <v/>
      </c>
      <c r="D58" s="100"/>
      <c r="E58" s="100"/>
      <c r="F58" s="100" t="str">
        <f>IFERROR(IF(VLOOKUP(I58,Lookup!$A$1:$B$200,2,0)="","",VLOOKUP(I58,Lookup!$A$1:$B$200,2,0)),"")</f>
        <v/>
      </c>
      <c r="J58" s="102"/>
      <c r="K58" s="102"/>
      <c r="M58" s="61"/>
      <c r="N58" s="60"/>
    </row>
    <row r="59" spans="1:14">
      <c r="A59" s="100">
        <f>A57</f>
        <v>41030</v>
      </c>
      <c r="B59" s="151">
        <f>'UNSG - ALL RATES'!B$25</f>
        <v>46082</v>
      </c>
      <c r="C59" s="100" t="str">
        <f>IF(H59="","",H59)</f>
        <v>GGIRS</v>
      </c>
      <c r="D59" s="100" t="str">
        <f>IF(C59="","",A59&amp;$C59)</f>
        <v>41030GGIRS</v>
      </c>
      <c r="E59" s="100" t="str">
        <f>IF(D59="","",B59&amp;$C19)</f>
        <v>46082GGSVS</v>
      </c>
      <c r="F59" s="100" t="str">
        <f>IFERROR(IF(VLOOKUP(I59,Lookup!$A$1:$B$200,2,0)="","",VLOOKUP(I59,Lookup!$A$1:$B$200,2,0)),"")</f>
        <v/>
      </c>
      <c r="G59" s="101" t="str">
        <f>VLOOKUP($H59,'UNSG - ALL RATES'!$E$25:$F$41,2,0)</f>
        <v>5755</v>
      </c>
      <c r="H59" s="186" t="s">
        <v>541</v>
      </c>
      <c r="I59" s="58" t="str">
        <f>VLOOKUP($H59,'UNSG - ALL RATES'!$F$4:$G$20,2,0)</f>
        <v>Irrigation Service</v>
      </c>
    </row>
    <row r="60" spans="1:14">
      <c r="A60" s="100">
        <f t="shared" si="4"/>
        <v>41030</v>
      </c>
      <c r="B60" s="151">
        <f>'UNSG - ALL RATES'!B$25</f>
        <v>46082</v>
      </c>
      <c r="C60" s="100" t="str">
        <f t="shared" ref="C60:C62" si="45">IF(H60="","",H60)</f>
        <v/>
      </c>
      <c r="D60" s="100" t="str">
        <f>D59</f>
        <v>41030GGIRS</v>
      </c>
      <c r="E60" s="100" t="str">
        <f>E59</f>
        <v>46082GGSVS</v>
      </c>
      <c r="F60" s="100" t="str">
        <f>IFERROR(IF(VLOOKUP(I60,Lookup!$A$1:$B$200,2,0)="","",VLOOKUP(I60,Lookup!$A$1:$B$200,2,0)),"")</f>
        <v>BASIC_SERVICE_CHARGE</v>
      </c>
      <c r="I60" s="57" t="s">
        <v>607</v>
      </c>
      <c r="J60" s="59">
        <f>VLOOKUP(D60,'UNSG - ALL RATES'!$A$2:$CG$83,MATCH($F60,'UNSG - ALL RATES'!$A$3:$CG$3,0),0)</f>
        <v>20</v>
      </c>
      <c r="K60" s="59">
        <f>VLOOKUP(E60,'UNSG - ALL RATES'!$A$2:$CG$83,MATCH($F60,'UNSG - ALL RATES'!$A$3:$CG$3,0),0)</f>
        <v>28.32</v>
      </c>
      <c r="M60" s="59">
        <f>+K60-J60</f>
        <v>8.32</v>
      </c>
      <c r="N60" s="60">
        <f t="shared" ref="N60:N61" si="46">+M60/J60</f>
        <v>0.41600000000000004</v>
      </c>
    </row>
    <row r="61" spans="1:14">
      <c r="A61" s="100">
        <f t="shared" si="4"/>
        <v>41030</v>
      </c>
      <c r="B61" s="151">
        <f>'UNSG - ALL RATES'!B$25</f>
        <v>46082</v>
      </c>
      <c r="C61" s="100" t="str">
        <f t="shared" si="45"/>
        <v/>
      </c>
      <c r="D61" s="100" t="str">
        <f t="shared" ref="D61:D62" si="47">D60</f>
        <v>41030GGIRS</v>
      </c>
      <c r="E61" s="100" t="str">
        <f t="shared" ref="E61:E62" si="48">E60</f>
        <v>46082GGSVS</v>
      </c>
      <c r="F61" s="100" t="str">
        <f>IFERROR(IF(VLOOKUP(I61,Lookup!$A$1:$B$200,2,0)="","",VLOOKUP(I61,Lookup!$A$1:$B$200,2,0)),"")</f>
        <v>THERM_DELIVERY_TIER1</v>
      </c>
      <c r="I61" s="57" t="s">
        <v>609</v>
      </c>
      <c r="J61" s="61">
        <f>VLOOKUP(D61,'UNSG - ALL RATES'!$A$2:$CG$83,MATCH($F61,'UNSG - ALL RATES'!$A$3:$CG$3,0),0)</f>
        <v>0.35320000000000001</v>
      </c>
      <c r="K61" s="61">
        <f>VLOOKUP(E61,'UNSG - ALL RATES'!$A$2:$CG$83,MATCH($F61,'UNSG - ALL RATES'!$A$3:$CG$3,0),0)</f>
        <v>0.31340000000000001</v>
      </c>
      <c r="M61" s="61">
        <f>+K61-J61</f>
        <v>-3.9800000000000002E-2</v>
      </c>
      <c r="N61" s="60">
        <f t="shared" si="46"/>
        <v>-0.11268403171007928</v>
      </c>
    </row>
    <row r="62" spans="1:14">
      <c r="A62" s="100">
        <f t="shared" si="4"/>
        <v>41030</v>
      </c>
      <c r="B62" s="151">
        <f>'UNSG - ALL RATES'!B$25</f>
        <v>46082</v>
      </c>
      <c r="C62" s="100" t="str">
        <f t="shared" si="45"/>
        <v/>
      </c>
      <c r="D62" s="100" t="str">
        <f t="shared" si="47"/>
        <v>41030GGIRS</v>
      </c>
      <c r="E62" s="100" t="str">
        <f t="shared" si="48"/>
        <v>46082GGSVS</v>
      </c>
      <c r="F62" s="100" t="str">
        <f>IFERROR(IF(VLOOKUP(I62,Lookup!$A$1:$B$200,2,0)="","",VLOOKUP(I62,Lookup!$A$1:$B$200,2,0)),"")</f>
        <v/>
      </c>
      <c r="I62" s="57" t="s">
        <v>610</v>
      </c>
      <c r="J62" s="102">
        <f>'PGA Calculation'!$B$3</f>
        <v>0.4405</v>
      </c>
      <c r="K62" s="102">
        <f>'PGA Calculation'!$B$13</f>
        <v>0.44669999999999999</v>
      </c>
      <c r="M62" s="61">
        <f>+K62-J62</f>
        <v>6.1999999999999833E-3</v>
      </c>
      <c r="N62" s="60">
        <f>+M62/J62</f>
        <v>1.4074914869466477E-2</v>
      </c>
    </row>
    <row r="63" spans="1:14">
      <c r="A63" s="100">
        <f t="shared" si="4"/>
        <v>41030</v>
      </c>
      <c r="B63" s="151">
        <f>'UNSG - ALL RATES'!B$25</f>
        <v>46082</v>
      </c>
      <c r="C63" s="100"/>
      <c r="D63" s="100"/>
      <c r="E63" s="100"/>
      <c r="F63" s="100"/>
      <c r="J63" s="102"/>
      <c r="K63" s="102"/>
      <c r="M63" s="61"/>
      <c r="N63" s="60"/>
    </row>
    <row r="64" spans="1:14">
      <c r="A64" s="100">
        <f>A61</f>
        <v>41030</v>
      </c>
      <c r="B64" s="151">
        <f>'UNSG - ALL RATES'!B$25</f>
        <v>46082</v>
      </c>
      <c r="C64" s="100" t="str">
        <f>IF(H64="","",H64)</f>
        <v>GTNILVS</v>
      </c>
      <c r="D64" s="100" t="str">
        <f>IF(C64="","",A64&amp;$C64)</f>
        <v>41030GTNILVS</v>
      </c>
      <c r="E64" s="100" t="str">
        <f>IF(D64="","",B64&amp;$C54)</f>
        <v>46082GILVS</v>
      </c>
      <c r="F64" s="100" t="str">
        <f>IFERROR(IF(VLOOKUP(I64,Lookup!$A$1:$B$200,2,0)="","",VLOOKUP(I64,Lookup!$A$1:$B$200,2,0)),"")</f>
        <v/>
      </c>
      <c r="G64" s="101" t="str">
        <f>VLOOKUP($H64,'UNSG - ALL RATES'!$E$25:$F$43,2,0)</f>
        <v>5756</v>
      </c>
      <c r="H64" s="186" t="s">
        <v>545</v>
      </c>
      <c r="I64" s="58" t="str">
        <f>VLOOKUP($H64,'UNSG - ALL RATES'!$F$4:$G$22,2,0)</f>
        <v>Transportation NSP LV Industrial</v>
      </c>
    </row>
    <row r="65" spans="1:14">
      <c r="A65" s="100">
        <f t="shared" si="4"/>
        <v>41030</v>
      </c>
      <c r="B65" s="151">
        <f>'UNSG - ALL RATES'!B$25</f>
        <v>46082</v>
      </c>
      <c r="C65" s="100" t="str">
        <f t="shared" ref="C65:C67" si="49">IF(H65="","",H65)</f>
        <v/>
      </c>
      <c r="D65" s="100" t="str">
        <f>D64</f>
        <v>41030GTNILVS</v>
      </c>
      <c r="E65" s="100" t="str">
        <f>E64</f>
        <v>46082GILVS</v>
      </c>
      <c r="F65" s="100" t="str">
        <f>IFERROR(IF(VLOOKUP(I65,Lookup!$A$1:$B$200,2,0)="","",VLOOKUP(I65,Lookup!$A$1:$B$200,2,0)),"")</f>
        <v>BASIC_SERVICE_CHARGE</v>
      </c>
      <c r="I65" s="57" t="s">
        <v>607</v>
      </c>
      <c r="J65" s="59">
        <f>VLOOKUP(D65,'UNSG - ALL RATES'!$A$2:$CG$83,MATCH($F65,'UNSG - ALL RATES'!$A$3:$CG$3,0),0)</f>
        <v>225</v>
      </c>
      <c r="K65" s="59">
        <f>VLOOKUP(E65,'UNSG - ALL RATES'!$A$2:$CG$83,MATCH($F65,'UNSG - ALL RATES'!$A$3:$CG$3,0),0)</f>
        <v>285.73</v>
      </c>
      <c r="M65" s="59">
        <f>+K65-J65</f>
        <v>60.730000000000018</v>
      </c>
      <c r="N65" s="60">
        <f t="shared" ref="N65:N66" si="50">+M65/J65</f>
        <v>0.26991111111111121</v>
      </c>
    </row>
    <row r="66" spans="1:14">
      <c r="A66" s="100">
        <f t="shared" si="4"/>
        <v>41030</v>
      </c>
      <c r="B66" s="151">
        <f>'UNSG - ALL RATES'!B$25</f>
        <v>46082</v>
      </c>
      <c r="C66" s="100" t="str">
        <f t="shared" si="49"/>
        <v/>
      </c>
      <c r="D66" s="100" t="str">
        <f t="shared" ref="D66:E67" si="51">D65</f>
        <v>41030GTNILVS</v>
      </c>
      <c r="E66" s="100" t="str">
        <f t="shared" si="51"/>
        <v>46082GILVS</v>
      </c>
      <c r="F66" s="100" t="str">
        <f>IFERROR(IF(VLOOKUP(I66,Lookup!$A$1:$B$200,2,0)="","",VLOOKUP(I66,Lookup!$A$1:$B$200,2,0)),"")</f>
        <v>THERM_DELIVERY_TIER1</v>
      </c>
      <c r="I66" s="57" t="s">
        <v>609</v>
      </c>
      <c r="J66" s="61">
        <f>VLOOKUP(D66,'UNSG - ALL RATES'!$A$2:$CG$83,MATCH($F66,'UNSG - ALL RATES'!$A$3:$CG$3,0),0)</f>
        <v>0.12479999999999999</v>
      </c>
      <c r="K66" s="61">
        <f>VLOOKUP(E66,'UNSG - ALL RATES'!$A$2:$CG$83,MATCH($F66,'UNSG - ALL RATES'!$A$3:$CG$3,0),0)</f>
        <v>0.16200000000000001</v>
      </c>
      <c r="M66" s="61">
        <f>+K66-J66</f>
        <v>3.7200000000000011E-2</v>
      </c>
      <c r="N66" s="60">
        <f t="shared" si="50"/>
        <v>0.29807692307692318</v>
      </c>
    </row>
    <row r="67" spans="1:14">
      <c r="A67" s="100">
        <f t="shared" si="4"/>
        <v>41030</v>
      </c>
      <c r="B67" s="151">
        <f>'UNSG - ALL RATES'!B$25</f>
        <v>46082</v>
      </c>
      <c r="C67" s="100" t="str">
        <f t="shared" si="49"/>
        <v/>
      </c>
      <c r="D67" s="100" t="str">
        <f t="shared" si="51"/>
        <v>41030GTNILVS</v>
      </c>
      <c r="E67" s="100" t="str">
        <f t="shared" si="51"/>
        <v>46082GILVS</v>
      </c>
      <c r="F67" s="100" t="str">
        <f>IFERROR(IF(VLOOKUP(I67,Lookup!$A$1:$B$200,2,0)="","",VLOOKUP(I67,Lookup!$A$1:$B$200,2,0)),"")</f>
        <v/>
      </c>
      <c r="I67" s="57" t="s">
        <v>610</v>
      </c>
      <c r="J67" s="102">
        <f>'PGA Calculation'!$B$3</f>
        <v>0.4405</v>
      </c>
      <c r="K67" s="102">
        <f>'PGA Calculation'!$B$13</f>
        <v>0.44669999999999999</v>
      </c>
      <c r="M67" s="61">
        <f>+K67-J67</f>
        <v>6.1999999999999833E-3</v>
      </c>
      <c r="N67" s="60">
        <f>+M67/J67</f>
        <v>1.4074914869466477E-2</v>
      </c>
    </row>
    <row r="68" spans="1:14">
      <c r="A68" s="100">
        <f t="shared" si="4"/>
        <v>41030</v>
      </c>
      <c r="B68" s="151">
        <f>'UNSG - ALL RATES'!B$25</f>
        <v>46082</v>
      </c>
      <c r="C68" s="100"/>
      <c r="D68" s="100"/>
      <c r="E68" s="100"/>
      <c r="F68" s="100"/>
      <c r="J68" s="102"/>
      <c r="K68" s="102"/>
      <c r="M68" s="61"/>
      <c r="N68" s="60"/>
    </row>
    <row r="69" spans="1:14">
      <c r="A69" s="100">
        <f>A66</f>
        <v>41030</v>
      </c>
      <c r="B69" s="151">
        <f>'UNSG - ALL RATES'!B$25</f>
        <v>46082</v>
      </c>
      <c r="C69" s="100" t="str">
        <f>IF(H69="","",H69)</f>
        <v>GTNGLVS</v>
      </c>
      <c r="D69" s="100" t="str">
        <f>IF(C69="","",A69&amp;$C69)</f>
        <v>41030GTNGLVS</v>
      </c>
      <c r="E69" s="100" t="str">
        <f>IF(D69="","",B69&amp;$C54)</f>
        <v>46082GILVS</v>
      </c>
      <c r="F69" s="100" t="str">
        <f>IFERROR(IF(VLOOKUP(I69,Lookup!$A$1:$B$200,2,0)="","",VLOOKUP(I69,Lookup!$A$1:$B$200,2,0)),"")</f>
        <v/>
      </c>
      <c r="G69" s="101" t="str">
        <f>VLOOKUP($H69,'UNSG - ALL RATES'!$E$25:$F$43,2,0)</f>
        <v>5756</v>
      </c>
      <c r="H69" s="186" t="s">
        <v>546</v>
      </c>
      <c r="I69" s="58" t="str">
        <f>VLOOKUP($H69,'UNSG - ALL RATES'!$F$4:$G$22,2,0)</f>
        <v>Transportation NSP LV General Service</v>
      </c>
    </row>
    <row r="70" spans="1:14">
      <c r="A70" s="100">
        <f t="shared" si="4"/>
        <v>41030</v>
      </c>
      <c r="B70" s="151">
        <f>'UNSG - ALL RATES'!B$25</f>
        <v>46082</v>
      </c>
      <c r="C70" s="100" t="str">
        <f t="shared" ref="C70:C72" si="52">IF(H70="","",H70)</f>
        <v/>
      </c>
      <c r="D70" s="100" t="str">
        <f>D69</f>
        <v>41030GTNGLVS</v>
      </c>
      <c r="E70" s="100" t="str">
        <f>E69</f>
        <v>46082GILVS</v>
      </c>
      <c r="F70" s="100" t="str">
        <f>IFERROR(IF(VLOOKUP(I70,Lookup!$A$1:$B$200,2,0)="","",VLOOKUP(I70,Lookup!$A$1:$B$200,2,0)),"")</f>
        <v>BASIC_SERVICE_CHARGE</v>
      </c>
      <c r="I70" s="57" t="s">
        <v>607</v>
      </c>
      <c r="J70" s="59">
        <f>VLOOKUP(D70,'UNSG - ALL RATES'!$A$2:$CG$83,MATCH($F70,'UNSG - ALL RATES'!$A$3:$CG$3,0),0)</f>
        <v>225</v>
      </c>
      <c r="K70" s="59">
        <f>VLOOKUP(E70,'UNSG - ALL RATES'!$A$2:$CG$83,MATCH($F70,'UNSG - ALL RATES'!$A$3:$CG$3,0),0)</f>
        <v>285.73</v>
      </c>
      <c r="M70" s="59">
        <f>+K70-J70</f>
        <v>60.730000000000018</v>
      </c>
      <c r="N70" s="60">
        <f t="shared" ref="N70:N71" si="53">+M70/J70</f>
        <v>0.26991111111111121</v>
      </c>
    </row>
    <row r="71" spans="1:14">
      <c r="A71" s="100">
        <f t="shared" si="4"/>
        <v>41030</v>
      </c>
      <c r="B71" s="151">
        <f>'UNSG - ALL RATES'!B$25</f>
        <v>46082</v>
      </c>
      <c r="C71" s="100" t="str">
        <f t="shared" si="52"/>
        <v/>
      </c>
      <c r="D71" s="100" t="str">
        <f t="shared" ref="D71:E71" si="54">D70</f>
        <v>41030GTNGLVS</v>
      </c>
      <c r="E71" s="100" t="str">
        <f t="shared" si="54"/>
        <v>46082GILVS</v>
      </c>
      <c r="F71" s="100" t="str">
        <f>IFERROR(IF(VLOOKUP(I71,Lookup!$A$1:$B$200,2,0)="","",VLOOKUP(I71,Lookup!$A$1:$B$200,2,0)),"")</f>
        <v>THERM_DELIVERY_TIER1</v>
      </c>
      <c r="I71" s="57" t="s">
        <v>609</v>
      </c>
      <c r="J71" s="61">
        <f>VLOOKUP(D71,'UNSG - ALL RATES'!$A$2:$CG$83,MATCH($F71,'UNSG - ALL RATES'!$A$3:$CG$3,0),0)</f>
        <v>0.2104</v>
      </c>
      <c r="K71" s="61">
        <f>VLOOKUP(E71,'UNSG - ALL RATES'!$A$2:$CG$83,MATCH($F71,'UNSG - ALL RATES'!$A$3:$CG$3,0),0)</f>
        <v>0.16200000000000001</v>
      </c>
      <c r="M71" s="61">
        <f>+K71-J71</f>
        <v>-4.8399999999999999E-2</v>
      </c>
      <c r="N71" s="60">
        <f t="shared" si="53"/>
        <v>-0.23003802281368821</v>
      </c>
    </row>
    <row r="72" spans="1:14">
      <c r="A72" s="100">
        <f t="shared" si="4"/>
        <v>41030</v>
      </c>
      <c r="B72" s="151">
        <f>'UNSG - ALL RATES'!B$25</f>
        <v>46082</v>
      </c>
      <c r="C72" s="100" t="str">
        <f t="shared" si="52"/>
        <v/>
      </c>
      <c r="D72" s="100" t="str">
        <f t="shared" ref="D72:E72" si="55">D71</f>
        <v>41030GTNGLVS</v>
      </c>
      <c r="E72" s="100" t="str">
        <f t="shared" si="55"/>
        <v>46082GILVS</v>
      </c>
      <c r="F72" s="100" t="str">
        <f>IFERROR(IF(VLOOKUP(I72,Lookup!$A$1:$B$200,2,0)="","",VLOOKUP(I72,Lookup!$A$1:$B$200,2,0)),"")</f>
        <v/>
      </c>
      <c r="I72" s="57" t="s">
        <v>610</v>
      </c>
      <c r="J72" s="102">
        <f>'PGA Calculation'!$B$3</f>
        <v>0.4405</v>
      </c>
      <c r="K72" s="102">
        <f>'PGA Calculation'!$B$13</f>
        <v>0.44669999999999999</v>
      </c>
      <c r="M72" s="61">
        <f>+K72-J72</f>
        <v>6.1999999999999833E-3</v>
      </c>
      <c r="N72" s="60">
        <f>+M72/J72</f>
        <v>1.4074914869466477E-2</v>
      </c>
    </row>
  </sheetData>
  <mergeCells count="14">
    <mergeCell ref="A3:A5"/>
    <mergeCell ref="B3:B5"/>
    <mergeCell ref="C3:C5"/>
    <mergeCell ref="D3:D5"/>
    <mergeCell ref="E3:E5"/>
    <mergeCell ref="M4:N4"/>
    <mergeCell ref="M5:M6"/>
    <mergeCell ref="N5:N6"/>
    <mergeCell ref="K4:K6"/>
    <mergeCell ref="F3:F5"/>
    <mergeCell ref="G3:G5"/>
    <mergeCell ref="H4:H6"/>
    <mergeCell ref="I4:I6"/>
    <mergeCell ref="J4:J6"/>
  </mergeCells>
  <printOptions horizontalCentered="1"/>
  <pageMargins left="0.45" right="0.45" top="0.75" bottom="0.75" header="0.3" footer="0.3"/>
  <pageSetup scale="67" fitToHeight="0" orientation="landscape" r:id="rId1"/>
  <headerFooter>
    <oddHeader xml:space="preserve">&amp;CUNS Gas, Inc.&amp;"Arial,Regular"&amp;8
&amp;"-,Regular"&amp;9Summary of Revenues by Customer Class
Present and Proposed Revenues
Test Year Ended June 30, 2024&amp;R&amp;10
Schedule H-3
Page &amp;P of &amp;N
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4">
    <tabColor rgb="FF92D050"/>
  </sheetPr>
  <dimension ref="A1:I8"/>
  <sheetViews>
    <sheetView zoomScale="70" zoomScaleNormal="70" workbookViewId="0">
      <selection sqref="A1:B1"/>
    </sheetView>
  </sheetViews>
  <sheetFormatPr defaultRowHeight="15"/>
  <cols>
    <col min="1" max="1" width="55.42578125" bestFit="1" customWidth="1"/>
    <col min="2" max="2" width="24" customWidth="1"/>
    <col min="4" max="4" width="33.42578125" bestFit="1" customWidth="1"/>
    <col min="5" max="5" width="19.5703125" customWidth="1"/>
    <col min="6" max="6" width="1" customWidth="1"/>
    <col min="7" max="7" width="39.5703125" customWidth="1"/>
    <col min="8" max="8" width="31" bestFit="1" customWidth="1"/>
    <col min="9" max="9" width="39.5703125" bestFit="1" customWidth="1"/>
  </cols>
  <sheetData>
    <row r="1" spans="1:9">
      <c r="B1" t="s">
        <v>642</v>
      </c>
      <c r="E1" t="s">
        <v>643</v>
      </c>
      <c r="H1" t="s">
        <v>644</v>
      </c>
      <c r="I1" t="s">
        <v>645</v>
      </c>
    </row>
    <row r="2" spans="1:9">
      <c r="A2" t="s">
        <v>607</v>
      </c>
      <c r="B2" s="142" t="s">
        <v>552</v>
      </c>
      <c r="D2" t="s">
        <v>607</v>
      </c>
      <c r="E2" t="s">
        <v>584</v>
      </c>
      <c r="G2" t="s">
        <v>607</v>
      </c>
      <c r="H2" t="s">
        <v>646</v>
      </c>
      <c r="I2" t="s">
        <v>647</v>
      </c>
    </row>
    <row r="3" spans="1:9">
      <c r="A3" t="s">
        <v>608</v>
      </c>
      <c r="B3" s="183" t="s">
        <v>648</v>
      </c>
      <c r="D3" t="s">
        <v>614</v>
      </c>
      <c r="E3" t="s">
        <v>614</v>
      </c>
      <c r="G3" s="184" t="s">
        <v>609</v>
      </c>
      <c r="H3" t="s">
        <v>649</v>
      </c>
      <c r="I3" t="s">
        <v>650</v>
      </c>
    </row>
    <row r="4" spans="1:9">
      <c r="A4" s="57" t="s">
        <v>609</v>
      </c>
      <c r="B4" s="142" t="s">
        <v>553</v>
      </c>
      <c r="D4" t="s">
        <v>635</v>
      </c>
      <c r="E4" t="s">
        <v>615</v>
      </c>
      <c r="G4" s="57" t="s">
        <v>610</v>
      </c>
    </row>
    <row r="5" spans="1:9">
      <c r="A5" s="57" t="s">
        <v>610</v>
      </c>
      <c r="D5" t="s">
        <v>651</v>
      </c>
      <c r="E5" t="s">
        <v>652</v>
      </c>
    </row>
    <row r="6" spans="1:9">
      <c r="A6" s="57" t="s">
        <v>653</v>
      </c>
      <c r="B6" t="s">
        <v>654</v>
      </c>
      <c r="D6" s="57" t="s">
        <v>610</v>
      </c>
    </row>
    <row r="7" spans="1:9">
      <c r="A7" t="s">
        <v>655</v>
      </c>
      <c r="B7" s="142" t="s">
        <v>553</v>
      </c>
      <c r="G7" t="s">
        <v>656</v>
      </c>
      <c r="H7" t="s">
        <v>553</v>
      </c>
    </row>
    <row r="8" spans="1:9">
      <c r="A8" t="s">
        <v>657</v>
      </c>
      <c r="B8" s="142" t="s">
        <v>553</v>
      </c>
      <c r="G8" t="s">
        <v>658</v>
      </c>
      <c r="H8" t="s">
        <v>553</v>
      </c>
    </row>
  </sheetData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9">
    <tabColor rgb="FF92D050"/>
  </sheetPr>
  <dimension ref="A1:DF43"/>
  <sheetViews>
    <sheetView topLeftCell="AT1" zoomScale="80" zoomScaleNormal="80" workbookViewId="0">
      <selection activeCell="DC38" sqref="DC38"/>
    </sheetView>
  </sheetViews>
  <sheetFormatPr defaultColWidth="9.140625" defaultRowHeight="15"/>
  <cols>
    <col min="1" max="1" width="15.5703125" bestFit="1" customWidth="1"/>
    <col min="2" max="2" width="13.5703125" customWidth="1"/>
    <col min="3" max="3" width="13.5703125" bestFit="1" customWidth="1"/>
    <col min="4" max="4" width="45.5703125" bestFit="1" customWidth="1"/>
    <col min="5" max="5" width="13.5703125" style="152" customWidth="1"/>
    <col min="6" max="6" width="12.42578125" customWidth="1"/>
    <col min="7" max="7" width="55.5703125" bestFit="1" customWidth="1"/>
    <col min="8" max="8" width="15.7109375" bestFit="1" customWidth="1"/>
    <col min="9" max="9" width="15" bestFit="1" customWidth="1"/>
    <col min="10" max="10" width="13.28515625" bestFit="1" customWidth="1"/>
    <col min="11" max="11" width="14.140625" bestFit="1" customWidth="1"/>
    <col min="12" max="12" width="12.28515625" bestFit="1" customWidth="1"/>
    <col min="13" max="13" width="19.5703125" bestFit="1" customWidth="1"/>
    <col min="14" max="14" width="19.85546875" bestFit="1" customWidth="1"/>
    <col min="15" max="15" width="16.85546875" bestFit="1" customWidth="1"/>
    <col min="16" max="16" width="17.85546875" bestFit="1" customWidth="1"/>
    <col min="17" max="17" width="21.42578125" bestFit="1" customWidth="1"/>
    <col min="18" max="18" width="19.85546875" hidden="1" customWidth="1"/>
    <col min="19" max="19" width="20.42578125" hidden="1" customWidth="1"/>
    <col min="20" max="20" width="20.5703125" hidden="1" customWidth="1"/>
    <col min="21" max="21" width="21.42578125" hidden="1" customWidth="1"/>
    <col min="22" max="22" width="28.5703125" hidden="1" customWidth="1"/>
    <col min="23" max="23" width="34.42578125" hidden="1" customWidth="1"/>
    <col min="24" max="24" width="20" hidden="1" customWidth="1"/>
    <col min="25" max="25" width="20.5703125" hidden="1" customWidth="1"/>
    <col min="26" max="26" width="20.85546875" hidden="1" customWidth="1"/>
    <col min="27" max="27" width="21.5703125" hidden="1" customWidth="1"/>
    <col min="28" max="28" width="20" hidden="1" customWidth="1"/>
    <col min="29" max="29" width="20.5703125" hidden="1" customWidth="1"/>
    <col min="30" max="30" width="20.85546875" hidden="1" customWidth="1"/>
    <col min="31" max="31" width="21.5703125" hidden="1" customWidth="1"/>
    <col min="32" max="32" width="20" hidden="1" customWidth="1"/>
    <col min="33" max="33" width="20.5703125" hidden="1" customWidth="1"/>
    <col min="34" max="34" width="20.85546875" hidden="1" customWidth="1"/>
    <col min="35" max="39" width="21.5703125" hidden="1" customWidth="1"/>
    <col min="40" max="40" width="12.42578125" bestFit="1" customWidth="1"/>
    <col min="41" max="41" width="12.85546875" bestFit="1" customWidth="1"/>
    <col min="42" max="42" width="11.85546875" bestFit="1" customWidth="1"/>
    <col min="43" max="43" width="10.85546875" hidden="1" customWidth="1"/>
    <col min="44" max="44" width="11.42578125" hidden="1" customWidth="1"/>
    <col min="45" max="45" width="9.5703125" hidden="1" customWidth="1"/>
    <col min="46" max="46" width="24.42578125" bestFit="1" customWidth="1"/>
    <col min="47" max="47" width="15" hidden="1" customWidth="1"/>
    <col min="48" max="49" width="22.85546875" hidden="1" customWidth="1"/>
    <col min="50" max="50" width="18.85546875" hidden="1" customWidth="1"/>
    <col min="51" max="52" width="18.5703125" hidden="1" customWidth="1"/>
    <col min="53" max="53" width="18.42578125" hidden="1" customWidth="1"/>
    <col min="54" max="55" width="14.140625" hidden="1" customWidth="1"/>
    <col min="56" max="56" width="13.140625" hidden="1" customWidth="1"/>
    <col min="57" max="57" width="9.42578125" hidden="1" customWidth="1"/>
    <col min="58" max="58" width="0" hidden="1" customWidth="1"/>
    <col min="59" max="59" width="13.42578125" hidden="1" customWidth="1"/>
    <col min="60" max="60" width="0" hidden="1" customWidth="1"/>
    <col min="61" max="61" width="9.140625" hidden="1" customWidth="1"/>
    <col min="62" max="62" width="16.42578125" hidden="1" customWidth="1"/>
    <col min="63" max="63" width="20.85546875" hidden="1" customWidth="1"/>
    <col min="64" max="64" width="16.42578125" hidden="1" customWidth="1"/>
    <col min="65" max="65" width="20.85546875" hidden="1" customWidth="1"/>
    <col min="66" max="68" width="16.42578125" hidden="1" customWidth="1"/>
    <col min="69" max="69" width="20.85546875" hidden="1" customWidth="1"/>
    <col min="70" max="76" width="9.140625" customWidth="1"/>
    <col min="77" max="87" width="9.140625" hidden="1" customWidth="1"/>
    <col min="88" max="89" width="16.7109375" bestFit="1" customWidth="1"/>
    <col min="90" max="91" width="16.5703125" bestFit="1" customWidth="1"/>
    <col min="93" max="99" width="0" hidden="1" customWidth="1"/>
  </cols>
  <sheetData>
    <row r="1" spans="1:110">
      <c r="A1">
        <v>1</v>
      </c>
      <c r="B1">
        <f>A1+1</f>
        <v>2</v>
      </c>
      <c r="C1">
        <f>B1+1</f>
        <v>3</v>
      </c>
      <c r="D1">
        <f>C1+1</f>
        <v>4</v>
      </c>
      <c r="E1">
        <f>D1+1</f>
        <v>5</v>
      </c>
      <c r="F1">
        <f t="shared" ref="F1:BQ1" si="0">E1+1</f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  <c r="P1">
        <f t="shared" si="0"/>
        <v>16</v>
      </c>
      <c r="Q1">
        <f t="shared" si="0"/>
        <v>17</v>
      </c>
      <c r="R1">
        <f t="shared" si="0"/>
        <v>18</v>
      </c>
      <c r="S1">
        <f t="shared" si="0"/>
        <v>19</v>
      </c>
      <c r="T1">
        <f t="shared" si="0"/>
        <v>20</v>
      </c>
      <c r="U1">
        <f t="shared" si="0"/>
        <v>21</v>
      </c>
      <c r="V1">
        <f t="shared" si="0"/>
        <v>22</v>
      </c>
      <c r="W1">
        <f t="shared" si="0"/>
        <v>23</v>
      </c>
      <c r="X1">
        <f t="shared" si="0"/>
        <v>24</v>
      </c>
      <c r="Y1">
        <f t="shared" si="0"/>
        <v>25</v>
      </c>
      <c r="Z1">
        <f t="shared" si="0"/>
        <v>26</v>
      </c>
      <c r="AA1">
        <f t="shared" si="0"/>
        <v>27</v>
      </c>
      <c r="AB1">
        <f t="shared" si="0"/>
        <v>28</v>
      </c>
      <c r="AC1">
        <f t="shared" si="0"/>
        <v>29</v>
      </c>
      <c r="AD1">
        <f t="shared" si="0"/>
        <v>30</v>
      </c>
      <c r="AE1">
        <f t="shared" si="0"/>
        <v>31</v>
      </c>
      <c r="AF1">
        <f t="shared" si="0"/>
        <v>32</v>
      </c>
      <c r="AG1">
        <f t="shared" si="0"/>
        <v>33</v>
      </c>
      <c r="AH1">
        <f t="shared" si="0"/>
        <v>34</v>
      </c>
      <c r="AI1">
        <f t="shared" si="0"/>
        <v>35</v>
      </c>
      <c r="AJ1">
        <f t="shared" si="0"/>
        <v>36</v>
      </c>
      <c r="AK1">
        <f t="shared" si="0"/>
        <v>37</v>
      </c>
      <c r="AL1">
        <f t="shared" si="0"/>
        <v>38</v>
      </c>
      <c r="AM1">
        <f t="shared" si="0"/>
        <v>39</v>
      </c>
      <c r="AN1">
        <f t="shared" si="0"/>
        <v>40</v>
      </c>
      <c r="AO1">
        <f t="shared" si="0"/>
        <v>41</v>
      </c>
      <c r="AP1">
        <f t="shared" si="0"/>
        <v>42</v>
      </c>
      <c r="AQ1">
        <f t="shared" si="0"/>
        <v>43</v>
      </c>
      <c r="AR1">
        <f t="shared" si="0"/>
        <v>44</v>
      </c>
      <c r="AS1">
        <f t="shared" si="0"/>
        <v>45</v>
      </c>
      <c r="AT1">
        <f t="shared" si="0"/>
        <v>46</v>
      </c>
      <c r="AU1">
        <f t="shared" si="0"/>
        <v>47</v>
      </c>
      <c r="AV1">
        <f t="shared" si="0"/>
        <v>48</v>
      </c>
      <c r="AW1">
        <f t="shared" si="0"/>
        <v>49</v>
      </c>
      <c r="AX1">
        <f t="shared" si="0"/>
        <v>50</v>
      </c>
      <c r="AY1">
        <f t="shared" si="0"/>
        <v>51</v>
      </c>
      <c r="AZ1">
        <f t="shared" si="0"/>
        <v>52</v>
      </c>
      <c r="BA1">
        <f t="shared" si="0"/>
        <v>53</v>
      </c>
      <c r="BB1">
        <f t="shared" si="0"/>
        <v>54</v>
      </c>
      <c r="BC1">
        <f t="shared" si="0"/>
        <v>55</v>
      </c>
      <c r="BD1">
        <f t="shared" si="0"/>
        <v>56</v>
      </c>
      <c r="BE1">
        <f t="shared" si="0"/>
        <v>57</v>
      </c>
      <c r="BF1">
        <f t="shared" si="0"/>
        <v>58</v>
      </c>
      <c r="BG1">
        <f t="shared" si="0"/>
        <v>59</v>
      </c>
      <c r="BH1">
        <f t="shared" si="0"/>
        <v>60</v>
      </c>
      <c r="BI1">
        <f t="shared" si="0"/>
        <v>61</v>
      </c>
      <c r="BJ1">
        <f t="shared" si="0"/>
        <v>62</v>
      </c>
      <c r="BK1">
        <f t="shared" si="0"/>
        <v>63</v>
      </c>
      <c r="BL1">
        <f t="shared" si="0"/>
        <v>64</v>
      </c>
      <c r="BM1">
        <f t="shared" si="0"/>
        <v>65</v>
      </c>
      <c r="BN1">
        <f t="shared" si="0"/>
        <v>66</v>
      </c>
      <c r="BO1">
        <f t="shared" si="0"/>
        <v>67</v>
      </c>
      <c r="BP1">
        <f t="shared" si="0"/>
        <v>68</v>
      </c>
      <c r="BQ1">
        <f t="shared" si="0"/>
        <v>69</v>
      </c>
      <c r="BR1">
        <f t="shared" ref="BR1:CV1" si="1">BQ1+1</f>
        <v>70</v>
      </c>
      <c r="BS1">
        <f t="shared" si="1"/>
        <v>71</v>
      </c>
      <c r="BT1">
        <f t="shared" si="1"/>
        <v>72</v>
      </c>
      <c r="BU1">
        <f t="shared" si="1"/>
        <v>73</v>
      </c>
      <c r="BV1">
        <f t="shared" si="1"/>
        <v>74</v>
      </c>
      <c r="BW1">
        <f t="shared" si="1"/>
        <v>75</v>
      </c>
      <c r="BX1">
        <f t="shared" si="1"/>
        <v>76</v>
      </c>
      <c r="BY1">
        <f t="shared" si="1"/>
        <v>77</v>
      </c>
      <c r="BZ1">
        <f t="shared" si="1"/>
        <v>78</v>
      </c>
      <c r="CA1">
        <f t="shared" si="1"/>
        <v>79</v>
      </c>
      <c r="CB1">
        <f t="shared" si="1"/>
        <v>80</v>
      </c>
      <c r="CC1">
        <f t="shared" si="1"/>
        <v>81</v>
      </c>
      <c r="CD1">
        <f t="shared" si="1"/>
        <v>82</v>
      </c>
      <c r="CE1">
        <f t="shared" si="1"/>
        <v>83</v>
      </c>
      <c r="CF1">
        <f t="shared" si="1"/>
        <v>84</v>
      </c>
      <c r="CG1">
        <f t="shared" si="1"/>
        <v>85</v>
      </c>
      <c r="CH1">
        <f t="shared" si="1"/>
        <v>86</v>
      </c>
      <c r="CI1">
        <f t="shared" si="1"/>
        <v>87</v>
      </c>
      <c r="CJ1">
        <f t="shared" si="1"/>
        <v>88</v>
      </c>
      <c r="CK1">
        <f t="shared" si="1"/>
        <v>89</v>
      </c>
      <c r="CL1">
        <f t="shared" si="1"/>
        <v>90</v>
      </c>
      <c r="CM1">
        <f t="shared" si="1"/>
        <v>91</v>
      </c>
      <c r="CN1">
        <f t="shared" si="1"/>
        <v>92</v>
      </c>
      <c r="CO1">
        <f t="shared" si="1"/>
        <v>93</v>
      </c>
      <c r="CP1">
        <f t="shared" si="1"/>
        <v>94</v>
      </c>
      <c r="CQ1">
        <f t="shared" si="1"/>
        <v>95</v>
      </c>
      <c r="CR1">
        <f t="shared" si="1"/>
        <v>96</v>
      </c>
      <c r="CS1">
        <f t="shared" si="1"/>
        <v>97</v>
      </c>
      <c r="CT1">
        <f t="shared" si="1"/>
        <v>98</v>
      </c>
      <c r="CU1">
        <f t="shared" si="1"/>
        <v>99</v>
      </c>
      <c r="CV1">
        <f t="shared" si="1"/>
        <v>100</v>
      </c>
      <c r="CW1">
        <f t="shared" ref="CW1" si="2">CV1+1</f>
        <v>101</v>
      </c>
      <c r="CX1">
        <f t="shared" ref="CX1" si="3">CW1+1</f>
        <v>102</v>
      </c>
      <c r="CY1">
        <f t="shared" ref="CY1" si="4">CX1+1</f>
        <v>103</v>
      </c>
      <c r="CZ1">
        <f t="shared" ref="CZ1" si="5">CY1+1</f>
        <v>104</v>
      </c>
      <c r="DA1">
        <f t="shared" ref="DA1" si="6">CZ1+1</f>
        <v>105</v>
      </c>
      <c r="DB1">
        <f t="shared" ref="DB1" si="7">DA1+1</f>
        <v>106</v>
      </c>
      <c r="DC1">
        <f t="shared" ref="DC1" si="8">DB1+1</f>
        <v>107</v>
      </c>
      <c r="DD1">
        <f t="shared" ref="DD1" si="9">DC1+1</f>
        <v>108</v>
      </c>
      <c r="DE1">
        <f t="shared" ref="DE1" si="10">DD1+1</f>
        <v>109</v>
      </c>
      <c r="DF1">
        <f t="shared" ref="DF1" si="11">DE1+1</f>
        <v>110</v>
      </c>
    </row>
    <row r="2" spans="1:110">
      <c r="A2" s="165" t="s">
        <v>659</v>
      </c>
      <c r="B2" s="165" t="s">
        <v>660</v>
      </c>
      <c r="C2" s="165" t="s">
        <v>66</v>
      </c>
      <c r="D2" s="167" t="s">
        <v>661</v>
      </c>
      <c r="E2" s="167" t="s">
        <v>662</v>
      </c>
      <c r="F2" s="165" t="s">
        <v>663</v>
      </c>
      <c r="G2" s="165" t="s">
        <v>1</v>
      </c>
      <c r="H2" s="143" t="s">
        <v>664</v>
      </c>
      <c r="I2" s="173" t="s">
        <v>665</v>
      </c>
      <c r="J2" s="173" t="s">
        <v>666</v>
      </c>
      <c r="K2" s="173" t="s">
        <v>667</v>
      </c>
      <c r="L2" s="173" t="s">
        <v>668</v>
      </c>
      <c r="M2" s="141" t="s">
        <v>552</v>
      </c>
      <c r="N2" s="141" t="s">
        <v>669</v>
      </c>
      <c r="O2" s="141" t="s">
        <v>648</v>
      </c>
      <c r="P2" s="168" t="s">
        <v>670</v>
      </c>
      <c r="Q2" s="168" t="s">
        <v>671</v>
      </c>
      <c r="R2" s="168" t="s">
        <v>672</v>
      </c>
      <c r="S2" s="169" t="s">
        <v>673</v>
      </c>
      <c r="T2" s="169" t="s">
        <v>674</v>
      </c>
      <c r="U2" s="170" t="s">
        <v>675</v>
      </c>
      <c r="V2" s="169" t="s">
        <v>676</v>
      </c>
      <c r="W2" s="168" t="s">
        <v>677</v>
      </c>
      <c r="X2" s="168" t="s">
        <v>678</v>
      </c>
      <c r="Y2" s="168" t="s">
        <v>679</v>
      </c>
      <c r="Z2" s="168" t="s">
        <v>680</v>
      </c>
      <c r="AA2" s="168" t="s">
        <v>681</v>
      </c>
      <c r="AB2" s="168" t="s">
        <v>682</v>
      </c>
      <c r="AC2" s="168" t="s">
        <v>683</v>
      </c>
      <c r="AD2" s="168" t="s">
        <v>684</v>
      </c>
      <c r="AE2" s="168" t="s">
        <v>685</v>
      </c>
      <c r="AF2" s="168" t="s">
        <v>686</v>
      </c>
      <c r="AG2" s="168" t="s">
        <v>687</v>
      </c>
      <c r="AH2" s="168" t="s">
        <v>688</v>
      </c>
      <c r="AI2" s="168" t="s">
        <v>689</v>
      </c>
      <c r="AJ2" s="168" t="s">
        <v>690</v>
      </c>
      <c r="AK2" s="168" t="s">
        <v>691</v>
      </c>
      <c r="AL2" s="143" t="s">
        <v>692</v>
      </c>
      <c r="AM2" s="143" t="s">
        <v>693</v>
      </c>
      <c r="AN2" s="170" t="s">
        <v>694</v>
      </c>
      <c r="AO2" s="170" t="s">
        <v>695</v>
      </c>
      <c r="AP2" s="170" t="s">
        <v>696</v>
      </c>
      <c r="AQ2" s="171" t="s">
        <v>697</v>
      </c>
      <c r="AR2" s="171" t="s">
        <v>698</v>
      </c>
      <c r="AS2" s="171" t="s">
        <v>699</v>
      </c>
      <c r="AT2" s="171" t="s">
        <v>553</v>
      </c>
      <c r="AU2" s="171" t="s">
        <v>700</v>
      </c>
      <c r="AV2" s="171" t="s">
        <v>701</v>
      </c>
      <c r="AW2" s="171" t="s">
        <v>702</v>
      </c>
      <c r="AX2" s="171" t="s">
        <v>703</v>
      </c>
      <c r="AY2" s="171" t="s">
        <v>704</v>
      </c>
      <c r="AZ2" s="171" t="s">
        <v>705</v>
      </c>
      <c r="BA2" s="171" t="s">
        <v>654</v>
      </c>
      <c r="BB2" s="171" t="s">
        <v>706</v>
      </c>
      <c r="BC2" s="171" t="s">
        <v>707</v>
      </c>
      <c r="BD2" s="171" t="s">
        <v>708</v>
      </c>
      <c r="BE2" s="171" t="s">
        <v>709</v>
      </c>
      <c r="BF2" s="171" t="s">
        <v>710</v>
      </c>
      <c r="BG2" s="171" t="s">
        <v>711</v>
      </c>
      <c r="BH2" s="171" t="s">
        <v>712</v>
      </c>
      <c r="BI2" s="171" t="s">
        <v>713</v>
      </c>
      <c r="BJ2" s="171" t="s">
        <v>714</v>
      </c>
      <c r="BK2" s="171" t="s">
        <v>715</v>
      </c>
      <c r="BL2" s="171" t="s">
        <v>716</v>
      </c>
      <c r="BM2" s="171" t="s">
        <v>717</v>
      </c>
      <c r="BN2" s="171" t="s">
        <v>718</v>
      </c>
      <c r="BO2" s="171" t="s">
        <v>719</v>
      </c>
      <c r="BP2" s="171" t="s">
        <v>720</v>
      </c>
      <c r="BQ2" s="171" t="s">
        <v>721</v>
      </c>
      <c r="BR2" s="171" t="s">
        <v>722</v>
      </c>
      <c r="BS2" s="171" t="s">
        <v>723</v>
      </c>
      <c r="BT2" s="171" t="s">
        <v>724</v>
      </c>
      <c r="BU2" s="171" t="s">
        <v>725</v>
      </c>
      <c r="BV2" s="171" t="s">
        <v>726</v>
      </c>
      <c r="BW2" s="171" t="s">
        <v>727</v>
      </c>
      <c r="BX2" s="171" t="s">
        <v>728</v>
      </c>
      <c r="BY2" s="143" t="s">
        <v>729</v>
      </c>
      <c r="BZ2" s="143" t="s">
        <v>730</v>
      </c>
      <c r="CA2" s="171" t="s">
        <v>731</v>
      </c>
      <c r="CB2" s="171" t="s">
        <v>732</v>
      </c>
      <c r="CC2" s="171" t="s">
        <v>733</v>
      </c>
      <c r="CD2" s="171" t="s">
        <v>734</v>
      </c>
      <c r="CE2" s="171" t="s">
        <v>735</v>
      </c>
      <c r="CF2" s="171" t="s">
        <v>736</v>
      </c>
      <c r="CG2" s="171" t="s">
        <v>737</v>
      </c>
      <c r="CH2" s="171" t="s">
        <v>738</v>
      </c>
      <c r="CI2" s="143" t="s">
        <v>739</v>
      </c>
      <c r="CJ2" s="170" t="s">
        <v>740</v>
      </c>
      <c r="CK2" s="170" t="s">
        <v>741</v>
      </c>
      <c r="CL2" s="170" t="s">
        <v>742</v>
      </c>
      <c r="CM2" s="170" t="s">
        <v>743</v>
      </c>
      <c r="CN2" s="168" t="s">
        <v>744</v>
      </c>
      <c r="CO2" s="168" t="s">
        <v>745</v>
      </c>
      <c r="CP2" s="168" t="s">
        <v>746</v>
      </c>
      <c r="CQ2" s="168" t="s">
        <v>747</v>
      </c>
      <c r="CR2" s="168" t="s">
        <v>748</v>
      </c>
      <c r="CS2" s="169" t="s">
        <v>749</v>
      </c>
      <c r="CT2" s="174" t="s">
        <v>750</v>
      </c>
      <c r="CU2" s="174" t="s">
        <v>751</v>
      </c>
      <c r="CV2" s="143" t="s">
        <v>752</v>
      </c>
      <c r="CW2" s="143" t="s">
        <v>917</v>
      </c>
      <c r="CX2" s="143" t="s">
        <v>753</v>
      </c>
      <c r="CY2" s="143" t="s">
        <v>754</v>
      </c>
      <c r="CZ2" s="143" t="s">
        <v>755</v>
      </c>
      <c r="DA2" s="143" t="s">
        <v>756</v>
      </c>
      <c r="DB2" s="143" t="s">
        <v>757</v>
      </c>
      <c r="DC2" s="143" t="s">
        <v>758</v>
      </c>
      <c r="DD2" s="175" t="s">
        <v>759</v>
      </c>
      <c r="DE2" s="175" t="s">
        <v>760</v>
      </c>
      <c r="DF2" s="176" t="s">
        <v>761</v>
      </c>
    </row>
    <row r="3" spans="1:110">
      <c r="A3" t="str">
        <f>A2</f>
        <v>LOOKUP_ID</v>
      </c>
      <c r="B3" t="str">
        <f t="shared" ref="B3:BM3" si="12">B2</f>
        <v>EFFECTIVE_DATE</v>
      </c>
      <c r="C3" t="str">
        <f t="shared" si="12"/>
        <v>COMPANY</v>
      </c>
      <c r="D3" t="str">
        <f t="shared" si="12"/>
        <v>MAIN_ACCOUNT</v>
      </c>
      <c r="E3" t="str">
        <f t="shared" si="12"/>
        <v>SUB_ACCOUNT</v>
      </c>
      <c r="F3" t="str">
        <f t="shared" si="12"/>
        <v>RS_CD</v>
      </c>
      <c r="G3" t="str">
        <f t="shared" si="12"/>
        <v>DESCRIPTION</v>
      </c>
      <c r="H3" t="str">
        <f t="shared" si="12"/>
        <v>RV_CHANGE_IND</v>
      </c>
      <c r="I3" t="str">
        <f t="shared" si="12"/>
        <v>SUMMER_START</v>
      </c>
      <c r="J3" t="str">
        <f t="shared" si="12"/>
        <v>SUMMER_END</v>
      </c>
      <c r="K3" t="str">
        <f t="shared" si="12"/>
        <v>WINTER_START</v>
      </c>
      <c r="L3" t="str">
        <f t="shared" si="12"/>
        <v>WINTER_END</v>
      </c>
      <c r="M3" t="str">
        <f t="shared" si="12"/>
        <v>BASIC_SERVICE_CHARGE</v>
      </c>
      <c r="N3" t="str">
        <f t="shared" si="12"/>
        <v>THREE_PHASE_ADDER</v>
      </c>
      <c r="O3" t="str">
        <f t="shared" si="12"/>
        <v>LFCR_FIXED_UNSG</v>
      </c>
      <c r="P3" t="str">
        <f t="shared" si="12"/>
        <v>LFCR_FIXED_0_2000</v>
      </c>
      <c r="Q3" t="str">
        <f t="shared" si="12"/>
        <v>LFCR_FIXED_OVER_2000</v>
      </c>
      <c r="R3" t="str">
        <f t="shared" si="12"/>
        <v>DG_METER_CHARGE</v>
      </c>
      <c r="S3" t="str">
        <f t="shared" si="12"/>
        <v>DEMAND_OFF_PERC</v>
      </c>
      <c r="T3" t="str">
        <f t="shared" si="12"/>
        <v>DEMAND_OFFXS_PERC</v>
      </c>
      <c r="U3" t="str">
        <f t="shared" si="12"/>
        <v>DEMAND_MIN</v>
      </c>
      <c r="V3" t="str">
        <f t="shared" si="12"/>
        <v>DEMAND_RATCHET</v>
      </c>
      <c r="W3" t="str">
        <f t="shared" si="12"/>
        <v>RATCHET_BASIS</v>
      </c>
      <c r="X3" t="str">
        <f t="shared" si="12"/>
        <v>DEMAND_TOU_IND</v>
      </c>
      <c r="Y3" t="str">
        <f t="shared" si="12"/>
        <v>DEMAND_SEAS_IND</v>
      </c>
      <c r="Z3" t="str">
        <f t="shared" si="12"/>
        <v>DEMAND_TIER1_END</v>
      </c>
      <c r="AA3" t="str">
        <f t="shared" si="12"/>
        <v>DEMAND_TIER1_SON</v>
      </c>
      <c r="AB3" t="str">
        <f t="shared" si="12"/>
        <v>DEMAND_TIER1_SOFF</v>
      </c>
      <c r="AC3" t="str">
        <f t="shared" si="12"/>
        <v>DEMAND_TIER1_WON</v>
      </c>
      <c r="AD3" t="str">
        <f t="shared" si="12"/>
        <v>DEMAND_TIER1_WOFF</v>
      </c>
      <c r="AE3" t="str">
        <f t="shared" si="12"/>
        <v>DEMAND_TIER2_SON</v>
      </c>
      <c r="AF3" t="str">
        <f t="shared" si="12"/>
        <v>DEMAND_TIER2_SOFF</v>
      </c>
      <c r="AG3" t="str">
        <f t="shared" si="12"/>
        <v>DEMAND_TIER2_WON</v>
      </c>
      <c r="AH3" t="str">
        <f t="shared" si="12"/>
        <v>DEMAND_TIER2_WOFF</v>
      </c>
      <c r="AI3" t="str">
        <f t="shared" si="12"/>
        <v>DEMAND_PRIMARY_DISCOUNT</v>
      </c>
      <c r="AJ3" t="str">
        <f t="shared" si="12"/>
        <v>DEMAND_PRIMARY_DISCOUNT_UOM</v>
      </c>
      <c r="AK3" t="str">
        <f t="shared" si="12"/>
        <v>PF_ADJ_IND</v>
      </c>
      <c r="AL3" t="str">
        <f t="shared" si="12"/>
        <v>DELIVERY_TOU_IND</v>
      </c>
      <c r="AM3" t="str">
        <f t="shared" si="12"/>
        <v>DELIVERY_SEAS_IND</v>
      </c>
      <c r="AN3" t="str">
        <f t="shared" si="12"/>
        <v>DELIVERY_TIER1_END</v>
      </c>
      <c r="AO3" t="str">
        <f t="shared" si="12"/>
        <v>DELIVERY_TIER2_END</v>
      </c>
      <c r="AP3" t="str">
        <f t="shared" si="12"/>
        <v>DELIVERY_TIER3_END</v>
      </c>
      <c r="AQ3" t="str">
        <f t="shared" si="12"/>
        <v>DELIVERY_TIER1_SON</v>
      </c>
      <c r="AR3" t="str">
        <f t="shared" si="12"/>
        <v>DELIVERY_TIER1_SSHL</v>
      </c>
      <c r="AS3" t="str">
        <f t="shared" si="12"/>
        <v>DELIVERY_TIER1_SOFF</v>
      </c>
      <c r="AT3" t="str">
        <f t="shared" si="12"/>
        <v>THERM_DELIVERY_TIER1</v>
      </c>
      <c r="AU3" t="str">
        <f t="shared" si="12"/>
        <v>DISCOUNTED_DELIVERY_TIER1_W</v>
      </c>
      <c r="AV3" t="str">
        <f t="shared" si="12"/>
        <v>DELIVERY_TIER1_RON</v>
      </c>
      <c r="AW3" t="str">
        <f t="shared" si="12"/>
        <v>DELIVERY_TIER1_RSHL</v>
      </c>
      <c r="AX3" t="str">
        <f t="shared" si="12"/>
        <v>DELIVERY_TIER1_ROFF</v>
      </c>
      <c r="AY3" t="str">
        <f t="shared" si="12"/>
        <v>DELIVERY_TIER1_WON</v>
      </c>
      <c r="AZ3" t="str">
        <f t="shared" si="12"/>
        <v>DELIVERY_TIER1_WOFF</v>
      </c>
      <c r="BA3" t="str">
        <f t="shared" si="12"/>
        <v>DELIVERY_TIER2_SON</v>
      </c>
      <c r="BB3" t="str">
        <f t="shared" si="12"/>
        <v>DELIVERY_TIER2_SSHL</v>
      </c>
      <c r="BC3" t="str">
        <f t="shared" si="12"/>
        <v>DELIVERY_TIER2_SOFF</v>
      </c>
      <c r="BD3" t="str">
        <f t="shared" si="12"/>
        <v>DELIVERY_TIER2_RON</v>
      </c>
      <c r="BE3" t="str">
        <f t="shared" si="12"/>
        <v>DELIVERY_TIER2_RSHL</v>
      </c>
      <c r="BF3" t="str">
        <f t="shared" si="12"/>
        <v>DELIVERY_TIER2_ROFF</v>
      </c>
      <c r="BG3" t="str">
        <f t="shared" si="12"/>
        <v>DELIVERY_TIER2_WON</v>
      </c>
      <c r="BH3" t="str">
        <f t="shared" si="12"/>
        <v>DELIVERY_TIER2_WOFF</v>
      </c>
      <c r="BI3" t="str">
        <f t="shared" si="12"/>
        <v>DELIVERY_TIER3_SON</v>
      </c>
      <c r="BJ3" t="str">
        <f t="shared" si="12"/>
        <v>DELIVERY_TIER3_SSHL</v>
      </c>
      <c r="BK3" t="str">
        <f t="shared" si="12"/>
        <v>DELIVERY_TIER3_SOFF</v>
      </c>
      <c r="BL3" t="str">
        <f t="shared" si="12"/>
        <v>DELIVERY_TIER3_RON</v>
      </c>
      <c r="BM3" t="str">
        <f t="shared" si="12"/>
        <v>DELIVERY_TIER3_RSHL</v>
      </c>
      <c r="BN3" t="str">
        <f t="shared" ref="BN3:DF3" si="13">BN2</f>
        <v>DELIVERY_TIER3_ROFF</v>
      </c>
      <c r="BO3" t="str">
        <f t="shared" si="13"/>
        <v>DELIVERY_TIER3_WON</v>
      </c>
      <c r="BP3" t="str">
        <f t="shared" si="13"/>
        <v>DELIVERY_TIER3_WOFF</v>
      </c>
      <c r="BQ3" t="str">
        <f t="shared" si="13"/>
        <v>DELIVERY_TIER4_SON</v>
      </c>
      <c r="BR3" t="str">
        <f t="shared" si="13"/>
        <v>DELIVERY_TIER4_SSHL</v>
      </c>
      <c r="BS3" t="str">
        <f t="shared" si="13"/>
        <v>DELIVERY_TIER4_SOFF</v>
      </c>
      <c r="BT3" t="str">
        <f t="shared" si="13"/>
        <v>DELIVERY_TIER4_RON</v>
      </c>
      <c r="BU3" t="str">
        <f t="shared" si="13"/>
        <v>DELIVERY_TIER4_RSHL</v>
      </c>
      <c r="BV3" t="str">
        <f t="shared" si="13"/>
        <v>DELIVERY_TIER4_ROFF</v>
      </c>
      <c r="BW3" t="str">
        <f t="shared" si="13"/>
        <v>DELIVERY_TIER4_WON</v>
      </c>
      <c r="BX3" t="str">
        <f t="shared" si="13"/>
        <v>DELIVERY_TIER4_WOFF</v>
      </c>
      <c r="BY3" t="str">
        <f t="shared" si="13"/>
        <v>BP_TOU_IND</v>
      </c>
      <c r="BZ3" t="str">
        <f t="shared" si="13"/>
        <v>BP_SEAS_IND</v>
      </c>
      <c r="CA3" t="str">
        <f t="shared" si="13"/>
        <v>BP_SON</v>
      </c>
      <c r="CB3" t="str">
        <f t="shared" si="13"/>
        <v>BP_SSHL</v>
      </c>
      <c r="CC3" t="str">
        <f t="shared" si="13"/>
        <v>BP_SOFF</v>
      </c>
      <c r="CD3" t="str">
        <f t="shared" si="13"/>
        <v>BP_RON</v>
      </c>
      <c r="CE3" t="str">
        <f t="shared" si="13"/>
        <v>BP_RSHL</v>
      </c>
      <c r="CF3" t="str">
        <f t="shared" si="13"/>
        <v>BP_ROFF</v>
      </c>
      <c r="CG3" t="str">
        <f t="shared" si="13"/>
        <v>BP_WON</v>
      </c>
      <c r="CH3" t="str">
        <f t="shared" si="13"/>
        <v>BP_WOFF</v>
      </c>
      <c r="CI3" t="str">
        <f t="shared" si="13"/>
        <v>TCA_UOM</v>
      </c>
      <c r="CJ3" t="str">
        <f t="shared" si="13"/>
        <v>CARES_TIER1_END</v>
      </c>
      <c r="CK3" t="str">
        <f t="shared" si="13"/>
        <v>CARES_TIER2_END</v>
      </c>
      <c r="CL3" t="str">
        <f t="shared" si="13"/>
        <v>CARES_TIER3_END</v>
      </c>
      <c r="CM3" t="str">
        <f t="shared" si="13"/>
        <v>CARES_TIER4_END</v>
      </c>
      <c r="CN3" t="str">
        <f t="shared" si="13"/>
        <v>CARES_TIER1_DISCOUNT</v>
      </c>
      <c r="CO3" t="str">
        <f t="shared" si="13"/>
        <v>CARES_TIER2_DISCOUNT</v>
      </c>
      <c r="CP3" t="str">
        <f t="shared" si="13"/>
        <v>CARES_TIER3_DISCOUNT</v>
      </c>
      <c r="CQ3" t="str">
        <f t="shared" si="13"/>
        <v>CARES_TIER4_DISCOUNT</v>
      </c>
      <c r="CR3" t="str">
        <f t="shared" si="13"/>
        <v>CARES_TIER5_DISCOUNT</v>
      </c>
      <c r="CS3" t="str">
        <f t="shared" si="13"/>
        <v>EV_DISCOUNT</v>
      </c>
      <c r="CT3" t="str">
        <f t="shared" si="13"/>
        <v>TRANSITIONAL_ADJ</v>
      </c>
      <c r="CU3" t="str">
        <f t="shared" si="13"/>
        <v>WP_PRIMARY_DISCOUNT</v>
      </c>
      <c r="CV3" t="str">
        <f t="shared" si="13"/>
        <v>FORTIS_CLASS</v>
      </c>
      <c r="CW3" t="str">
        <f>CW2</f>
        <v>CEM_CLASS</v>
      </c>
      <c r="CX3" t="str">
        <f t="shared" si="13"/>
        <v>REST_CLASS</v>
      </c>
      <c r="CY3" t="str">
        <f t="shared" si="13"/>
        <v>DSM_CLASS</v>
      </c>
      <c r="CZ3" t="str">
        <f t="shared" si="13"/>
        <v>SERVICE_TYPE</v>
      </c>
      <c r="DA3" t="str">
        <f t="shared" si="13"/>
        <v>RUCO_IND</v>
      </c>
      <c r="DB3" t="str">
        <f t="shared" si="13"/>
        <v>ECA_IND</v>
      </c>
      <c r="DC3" t="str">
        <f t="shared" si="13"/>
        <v>LFCR_IND</v>
      </c>
      <c r="DD3" t="str">
        <f t="shared" si="13"/>
        <v>TRANSPORTATIONCITYD_IND</v>
      </c>
      <c r="DE3" t="str">
        <f t="shared" si="13"/>
        <v>COMPRESSEDNATGAS_IND</v>
      </c>
      <c r="DF3" t="str">
        <f t="shared" si="13"/>
        <v>TAC_IND</v>
      </c>
    </row>
    <row r="4" spans="1:110">
      <c r="A4" s="165" t="s">
        <v>762</v>
      </c>
      <c r="B4" s="166">
        <v>41030</v>
      </c>
      <c r="C4" s="165" t="s">
        <v>763</v>
      </c>
      <c r="D4" s="167" t="s">
        <v>764</v>
      </c>
      <c r="E4" s="167" t="s">
        <v>765</v>
      </c>
      <c r="F4" s="167" t="s">
        <v>521</v>
      </c>
      <c r="G4" s="165" t="s">
        <v>766</v>
      </c>
      <c r="H4" s="143" t="s">
        <v>767</v>
      </c>
      <c r="I4" s="143">
        <v>5</v>
      </c>
      <c r="J4" s="143">
        <v>10</v>
      </c>
      <c r="K4" s="143">
        <v>11</v>
      </c>
      <c r="L4" s="143">
        <v>4</v>
      </c>
      <c r="M4" s="141">
        <v>20</v>
      </c>
      <c r="N4" s="141"/>
      <c r="O4" s="141"/>
      <c r="P4" s="168"/>
      <c r="Q4" s="168"/>
      <c r="R4" s="168"/>
      <c r="S4" s="169"/>
      <c r="T4" s="169"/>
      <c r="U4" s="170"/>
      <c r="V4" s="169"/>
      <c r="W4" s="168" t="s">
        <v>768</v>
      </c>
      <c r="X4" s="168" t="s">
        <v>767</v>
      </c>
      <c r="Y4" s="168" t="s">
        <v>767</v>
      </c>
      <c r="Z4" s="168">
        <v>999999999</v>
      </c>
      <c r="AA4" s="168"/>
      <c r="AB4" s="168"/>
      <c r="AC4" s="168"/>
      <c r="AD4" s="168"/>
      <c r="AE4" s="168"/>
      <c r="AF4" s="168"/>
      <c r="AG4" s="168"/>
      <c r="AH4" s="168"/>
      <c r="AI4" s="168"/>
      <c r="AJ4" s="168" t="s">
        <v>115</v>
      </c>
      <c r="AK4" s="168" t="s">
        <v>767</v>
      </c>
      <c r="AL4" s="143" t="s">
        <v>767</v>
      </c>
      <c r="AM4" s="143" t="s">
        <v>767</v>
      </c>
      <c r="AN4" s="170">
        <v>999999999</v>
      </c>
      <c r="AO4" s="170">
        <v>999999999</v>
      </c>
      <c r="AP4" s="170">
        <v>999999999</v>
      </c>
      <c r="AQ4" s="171"/>
      <c r="AR4" s="171"/>
      <c r="AS4" s="171"/>
      <c r="AT4" s="171">
        <v>0.28370000000000001</v>
      </c>
      <c r="AU4" s="171"/>
      <c r="AV4" s="171"/>
      <c r="AW4" s="171"/>
      <c r="AX4" s="171"/>
      <c r="AY4" s="171"/>
      <c r="AZ4" s="171"/>
      <c r="BA4" s="171"/>
      <c r="BB4" s="171"/>
      <c r="BC4" s="171"/>
      <c r="BD4" s="171"/>
      <c r="BE4" s="171"/>
      <c r="BF4" s="171"/>
      <c r="BG4" s="171"/>
      <c r="BH4" s="171"/>
      <c r="BI4" s="171"/>
      <c r="BJ4" s="171"/>
      <c r="BK4" s="171"/>
      <c r="BL4" s="171"/>
      <c r="BM4" s="171"/>
      <c r="BN4" s="171"/>
      <c r="BO4" s="171"/>
      <c r="BP4" s="171"/>
      <c r="BQ4" s="171"/>
      <c r="BY4" t="s">
        <v>767</v>
      </c>
      <c r="BZ4" t="s">
        <v>767</v>
      </c>
      <c r="CI4" t="s">
        <v>115</v>
      </c>
      <c r="CJ4">
        <v>999999999</v>
      </c>
      <c r="CK4">
        <v>999999999</v>
      </c>
      <c r="CL4">
        <v>999999999</v>
      </c>
      <c r="CM4">
        <v>999999999</v>
      </c>
      <c r="CV4" t="s">
        <v>769</v>
      </c>
      <c r="CX4" t="s">
        <v>115</v>
      </c>
      <c r="CY4" t="s">
        <v>770</v>
      </c>
      <c r="CZ4" t="s">
        <v>771</v>
      </c>
      <c r="DA4" t="s">
        <v>767</v>
      </c>
      <c r="DB4" t="s">
        <v>767</v>
      </c>
      <c r="DC4" t="s">
        <v>772</v>
      </c>
      <c r="DD4" t="s">
        <v>767</v>
      </c>
      <c r="DE4" t="s">
        <v>767</v>
      </c>
      <c r="DF4" t="s">
        <v>772</v>
      </c>
    </row>
    <row r="5" spans="1:110">
      <c r="A5" s="165" t="s">
        <v>773</v>
      </c>
      <c r="B5" s="166">
        <v>41030</v>
      </c>
      <c r="C5" s="165" t="s">
        <v>763</v>
      </c>
      <c r="D5" s="167" t="s">
        <v>764</v>
      </c>
      <c r="E5" s="167" t="s">
        <v>774</v>
      </c>
      <c r="F5" s="167" t="s">
        <v>535</v>
      </c>
      <c r="G5" s="165" t="s">
        <v>775</v>
      </c>
      <c r="H5" s="143" t="s">
        <v>767</v>
      </c>
      <c r="I5" s="143">
        <v>5</v>
      </c>
      <c r="J5" s="143">
        <v>10</v>
      </c>
      <c r="K5" s="143">
        <v>11</v>
      </c>
      <c r="L5" s="143">
        <v>4</v>
      </c>
      <c r="M5" s="141">
        <v>225</v>
      </c>
      <c r="N5" s="141"/>
      <c r="O5" s="141"/>
      <c r="P5" s="168"/>
      <c r="Q5" s="168"/>
      <c r="R5" s="168"/>
      <c r="S5" s="169"/>
      <c r="T5" s="169"/>
      <c r="U5" s="170"/>
      <c r="V5" s="169"/>
      <c r="W5" s="168" t="s">
        <v>768</v>
      </c>
      <c r="X5" s="168" t="s">
        <v>767</v>
      </c>
      <c r="Y5" s="168" t="s">
        <v>767</v>
      </c>
      <c r="Z5" s="168">
        <v>999999999</v>
      </c>
      <c r="AA5" s="168"/>
      <c r="AB5" s="168"/>
      <c r="AC5" s="168"/>
      <c r="AD5" s="168"/>
      <c r="AE5" s="168"/>
      <c r="AF5" s="168"/>
      <c r="AG5" s="168"/>
      <c r="AH5" s="168"/>
      <c r="AI5" s="168"/>
      <c r="AJ5" s="168" t="s">
        <v>115</v>
      </c>
      <c r="AK5" s="168" t="s">
        <v>767</v>
      </c>
      <c r="AL5" s="143" t="s">
        <v>767</v>
      </c>
      <c r="AM5" s="143" t="s">
        <v>767</v>
      </c>
      <c r="AN5" s="170">
        <v>999999999</v>
      </c>
      <c r="AO5" s="170">
        <v>999999999</v>
      </c>
      <c r="AP5" s="170">
        <v>999999999</v>
      </c>
      <c r="AQ5" s="171"/>
      <c r="AR5" s="171"/>
      <c r="AS5" s="171"/>
      <c r="AT5" s="171">
        <v>0.2104</v>
      </c>
      <c r="AU5" s="171"/>
      <c r="AV5" s="171"/>
      <c r="AW5" s="171"/>
      <c r="AX5" s="171"/>
      <c r="AY5" s="171"/>
      <c r="AZ5" s="171"/>
      <c r="BA5" s="171"/>
      <c r="BB5" s="171"/>
      <c r="BC5" s="171"/>
      <c r="BD5" s="171"/>
      <c r="BE5" s="171"/>
      <c r="BF5" s="171"/>
      <c r="BG5" s="171"/>
      <c r="BH5" s="171"/>
      <c r="BI5" s="171"/>
      <c r="BJ5" s="171"/>
      <c r="BK5" s="171"/>
      <c r="BL5" s="171"/>
      <c r="BM5" s="171"/>
      <c r="BN5" s="171"/>
      <c r="BO5" s="171"/>
      <c r="BP5" s="171"/>
      <c r="BQ5" s="171"/>
      <c r="BY5" t="s">
        <v>767</v>
      </c>
      <c r="BZ5" t="s">
        <v>767</v>
      </c>
      <c r="CI5" t="s">
        <v>115</v>
      </c>
      <c r="CJ5">
        <v>999999999</v>
      </c>
      <c r="CK5">
        <v>999999999</v>
      </c>
      <c r="CL5">
        <v>999999999</v>
      </c>
      <c r="CM5">
        <v>999999999</v>
      </c>
      <c r="CV5" t="s">
        <v>769</v>
      </c>
      <c r="CX5" t="s">
        <v>115</v>
      </c>
      <c r="CY5" t="s">
        <v>770</v>
      </c>
      <c r="CZ5" t="s">
        <v>771</v>
      </c>
      <c r="DA5" t="s">
        <v>767</v>
      </c>
      <c r="DB5" t="s">
        <v>767</v>
      </c>
      <c r="DC5" t="s">
        <v>767</v>
      </c>
      <c r="DD5" t="s">
        <v>767</v>
      </c>
      <c r="DE5" t="s">
        <v>767</v>
      </c>
      <c r="DF5" t="s">
        <v>772</v>
      </c>
    </row>
    <row r="6" spans="1:110">
      <c r="A6" s="165" t="s">
        <v>776</v>
      </c>
      <c r="B6" s="166">
        <v>41030</v>
      </c>
      <c r="C6" s="165" t="s">
        <v>763</v>
      </c>
      <c r="D6" s="167" t="s">
        <v>764</v>
      </c>
      <c r="E6" s="167" t="s">
        <v>777</v>
      </c>
      <c r="F6" s="167" t="s">
        <v>539</v>
      </c>
      <c r="G6" s="165" t="s">
        <v>778</v>
      </c>
      <c r="H6" s="143" t="s">
        <v>767</v>
      </c>
      <c r="I6" s="143">
        <v>5</v>
      </c>
      <c r="J6" s="143">
        <v>10</v>
      </c>
      <c r="K6" s="143">
        <v>11</v>
      </c>
      <c r="L6" s="143">
        <v>4</v>
      </c>
      <c r="M6" s="141">
        <v>20</v>
      </c>
      <c r="N6" s="141"/>
      <c r="O6" s="141"/>
      <c r="P6" s="168"/>
      <c r="Q6" s="168"/>
      <c r="R6" s="168"/>
      <c r="S6" s="169"/>
      <c r="T6" s="169"/>
      <c r="U6" s="170"/>
      <c r="V6" s="169"/>
      <c r="W6" s="168" t="s">
        <v>768</v>
      </c>
      <c r="X6" s="168" t="s">
        <v>767</v>
      </c>
      <c r="Y6" s="168" t="s">
        <v>767</v>
      </c>
      <c r="Z6" s="168">
        <v>999999999</v>
      </c>
      <c r="AA6" s="168"/>
      <c r="AB6" s="168"/>
      <c r="AC6" s="168"/>
      <c r="AD6" s="168"/>
      <c r="AE6" s="168"/>
      <c r="AF6" s="168"/>
      <c r="AG6" s="168"/>
      <c r="AH6" s="168"/>
      <c r="AI6" s="168"/>
      <c r="AJ6" s="168" t="s">
        <v>115</v>
      </c>
      <c r="AK6" s="168" t="s">
        <v>767</v>
      </c>
      <c r="AL6" s="143" t="s">
        <v>767</v>
      </c>
      <c r="AM6" s="143" t="s">
        <v>767</v>
      </c>
      <c r="AN6" s="170">
        <v>999999999</v>
      </c>
      <c r="AO6" s="170">
        <v>999999999</v>
      </c>
      <c r="AP6" s="170">
        <v>999999999</v>
      </c>
      <c r="AQ6" s="171"/>
      <c r="AR6" s="171"/>
      <c r="AS6" s="171"/>
      <c r="AT6" s="171">
        <v>0.28410000000000002</v>
      </c>
      <c r="AU6" s="171"/>
      <c r="AV6" s="171"/>
      <c r="AW6" s="171"/>
      <c r="AX6" s="171"/>
      <c r="AY6" s="171"/>
      <c r="AZ6" s="171"/>
      <c r="BA6" s="171"/>
      <c r="BB6" s="171"/>
      <c r="BC6" s="171"/>
      <c r="BD6" s="171"/>
      <c r="BE6" s="171"/>
      <c r="BF6" s="171"/>
      <c r="BG6" s="171"/>
      <c r="BH6" s="171"/>
      <c r="BI6" s="171"/>
      <c r="BJ6" s="171"/>
      <c r="BK6" s="171"/>
      <c r="BL6" s="171"/>
      <c r="BM6" s="171"/>
      <c r="BN6" s="171"/>
      <c r="BO6" s="171"/>
      <c r="BP6" s="171"/>
      <c r="BQ6" s="171"/>
      <c r="BY6" t="s">
        <v>767</v>
      </c>
      <c r="BZ6" t="s">
        <v>767</v>
      </c>
      <c r="CI6" t="s">
        <v>115</v>
      </c>
      <c r="CJ6">
        <v>999999999</v>
      </c>
      <c r="CK6">
        <v>999999999</v>
      </c>
      <c r="CL6">
        <v>999999999</v>
      </c>
      <c r="CM6">
        <v>999999999</v>
      </c>
      <c r="CV6" t="s">
        <v>769</v>
      </c>
      <c r="CX6" t="s">
        <v>115</v>
      </c>
      <c r="CY6" t="s">
        <v>770</v>
      </c>
      <c r="CZ6" t="s">
        <v>771</v>
      </c>
      <c r="DA6" t="s">
        <v>767</v>
      </c>
      <c r="DB6" t="s">
        <v>767</v>
      </c>
      <c r="DC6" t="s">
        <v>767</v>
      </c>
      <c r="DD6" t="s">
        <v>767</v>
      </c>
      <c r="DE6" t="s">
        <v>772</v>
      </c>
      <c r="DF6" t="s">
        <v>772</v>
      </c>
    </row>
    <row r="7" spans="1:110">
      <c r="A7" s="165" t="s">
        <v>779</v>
      </c>
      <c r="B7" s="166">
        <v>41030</v>
      </c>
      <c r="C7" s="165" t="s">
        <v>763</v>
      </c>
      <c r="D7" s="167" t="s">
        <v>780</v>
      </c>
      <c r="E7" s="167" t="s">
        <v>777</v>
      </c>
      <c r="F7" s="167" t="s">
        <v>540</v>
      </c>
      <c r="G7" s="165" t="s">
        <v>781</v>
      </c>
      <c r="H7" s="143" t="s">
        <v>767</v>
      </c>
      <c r="I7" s="143">
        <v>5</v>
      </c>
      <c r="J7" s="143">
        <v>10</v>
      </c>
      <c r="K7" s="143">
        <v>11</v>
      </c>
      <c r="L7" s="143">
        <v>4</v>
      </c>
      <c r="M7" s="141">
        <v>10</v>
      </c>
      <c r="N7" s="141"/>
      <c r="O7" s="141"/>
      <c r="P7" s="168"/>
      <c r="Q7" s="168"/>
      <c r="R7" s="168"/>
      <c r="S7" s="169"/>
      <c r="T7" s="169"/>
      <c r="U7" s="170"/>
      <c r="V7" s="169"/>
      <c r="W7" s="168" t="s">
        <v>768</v>
      </c>
      <c r="X7" s="168" t="s">
        <v>767</v>
      </c>
      <c r="Y7" s="168" t="s">
        <v>767</v>
      </c>
      <c r="Z7" s="168">
        <v>999999999</v>
      </c>
      <c r="AA7" s="168"/>
      <c r="AB7" s="168"/>
      <c r="AC7" s="168"/>
      <c r="AD7" s="168"/>
      <c r="AE7" s="168"/>
      <c r="AF7" s="168"/>
      <c r="AG7" s="168"/>
      <c r="AH7" s="168"/>
      <c r="AI7" s="168"/>
      <c r="AJ7" s="168" t="s">
        <v>115</v>
      </c>
      <c r="AK7" s="168" t="s">
        <v>767</v>
      </c>
      <c r="AL7" s="143" t="s">
        <v>767</v>
      </c>
      <c r="AM7" s="143" t="s">
        <v>767</v>
      </c>
      <c r="AN7" s="170">
        <v>999999999</v>
      </c>
      <c r="AO7" s="170">
        <v>999999999</v>
      </c>
      <c r="AP7" s="170">
        <v>999999999</v>
      </c>
      <c r="AQ7" s="171"/>
      <c r="AR7" s="171"/>
      <c r="AS7" s="171"/>
      <c r="AT7" s="171">
        <v>0.34339999999999998</v>
      </c>
      <c r="AU7" s="171"/>
      <c r="AV7" s="171"/>
      <c r="AW7" s="171"/>
      <c r="AX7" s="171"/>
      <c r="AY7" s="171"/>
      <c r="AZ7" s="171"/>
      <c r="BA7" s="171"/>
      <c r="BB7" s="171"/>
      <c r="BC7" s="171"/>
      <c r="BD7" s="171"/>
      <c r="BE7" s="171"/>
      <c r="BF7" s="171"/>
      <c r="BG7" s="171"/>
      <c r="BH7" s="171"/>
      <c r="BI7" s="171"/>
      <c r="BJ7" s="171"/>
      <c r="BK7" s="171"/>
      <c r="BL7" s="171"/>
      <c r="BM7" s="171"/>
      <c r="BN7" s="171"/>
      <c r="BO7" s="171"/>
      <c r="BP7" s="171"/>
      <c r="BQ7" s="171"/>
      <c r="BY7" t="s">
        <v>767</v>
      </c>
      <c r="BZ7" t="s">
        <v>767</v>
      </c>
      <c r="CI7" t="s">
        <v>115</v>
      </c>
      <c r="CJ7">
        <v>999999999</v>
      </c>
      <c r="CK7">
        <v>999999999</v>
      </c>
      <c r="CL7">
        <v>999999999</v>
      </c>
      <c r="CM7">
        <v>999999999</v>
      </c>
      <c r="CV7" t="s">
        <v>782</v>
      </c>
      <c r="CX7" t="s">
        <v>115</v>
      </c>
      <c r="CY7" t="s">
        <v>782</v>
      </c>
      <c r="CZ7" t="s">
        <v>771</v>
      </c>
      <c r="DA7" t="s">
        <v>772</v>
      </c>
      <c r="DB7" t="s">
        <v>767</v>
      </c>
      <c r="DC7" t="s">
        <v>767</v>
      </c>
      <c r="DD7" t="s">
        <v>767</v>
      </c>
      <c r="DE7" t="s">
        <v>772</v>
      </c>
      <c r="DF7" t="s">
        <v>772</v>
      </c>
    </row>
    <row r="8" spans="1:110">
      <c r="A8" s="165" t="s">
        <v>783</v>
      </c>
      <c r="B8" s="166">
        <v>41030</v>
      </c>
      <c r="C8" s="165" t="s">
        <v>763</v>
      </c>
      <c r="D8" s="167" t="s">
        <v>780</v>
      </c>
      <c r="E8" s="167" t="s">
        <v>777</v>
      </c>
      <c r="F8" s="167" t="s">
        <v>547</v>
      </c>
      <c r="G8" s="165" t="s">
        <v>784</v>
      </c>
      <c r="H8" s="143" t="s">
        <v>767</v>
      </c>
      <c r="I8" s="143">
        <v>5</v>
      </c>
      <c r="J8" s="143">
        <v>10</v>
      </c>
      <c r="K8" s="143">
        <v>11</v>
      </c>
      <c r="L8" s="143">
        <v>4</v>
      </c>
      <c r="M8" s="141">
        <v>225</v>
      </c>
      <c r="N8" s="141"/>
      <c r="O8" s="141"/>
      <c r="P8" s="168"/>
      <c r="Q8" s="168"/>
      <c r="R8" s="168"/>
      <c r="S8" s="169"/>
      <c r="T8" s="169"/>
      <c r="U8" s="170"/>
      <c r="V8" s="169"/>
      <c r="W8" s="168" t="s">
        <v>768</v>
      </c>
      <c r="X8" s="168" t="s">
        <v>767</v>
      </c>
      <c r="Y8" s="168" t="s">
        <v>767</v>
      </c>
      <c r="Z8" s="168">
        <v>999999999</v>
      </c>
      <c r="AA8" s="168"/>
      <c r="AB8" s="168"/>
      <c r="AC8" s="168"/>
      <c r="AD8" s="168"/>
      <c r="AE8" s="168"/>
      <c r="AF8" s="168"/>
      <c r="AG8" s="168"/>
      <c r="AH8" s="168"/>
      <c r="AI8" s="168"/>
      <c r="AJ8" s="168" t="s">
        <v>115</v>
      </c>
      <c r="AK8" s="168" t="s">
        <v>767</v>
      </c>
      <c r="AL8" s="143" t="s">
        <v>767</v>
      </c>
      <c r="AM8" s="143" t="s">
        <v>767</v>
      </c>
      <c r="AN8" s="170">
        <v>999999999</v>
      </c>
      <c r="AO8" s="170">
        <v>999999999</v>
      </c>
      <c r="AP8" s="170">
        <v>999999999</v>
      </c>
      <c r="AQ8" s="171"/>
      <c r="AR8" s="171"/>
      <c r="AS8" s="171"/>
      <c r="AT8" s="171">
        <v>0.2104</v>
      </c>
      <c r="AU8" s="171"/>
      <c r="AV8" s="171"/>
      <c r="AW8" s="171"/>
      <c r="AX8" s="171"/>
      <c r="AY8" s="171"/>
      <c r="AZ8" s="171"/>
      <c r="BA8" s="171"/>
      <c r="BB8" s="171"/>
      <c r="BC8" s="171"/>
      <c r="BD8" s="171"/>
      <c r="BE8" s="171"/>
      <c r="BF8" s="171"/>
      <c r="BG8" s="171"/>
      <c r="BH8" s="171"/>
      <c r="BI8" s="171"/>
      <c r="BJ8" s="171"/>
      <c r="BK8" s="171"/>
      <c r="BL8" s="171"/>
      <c r="BM8" s="171"/>
      <c r="BN8" s="171"/>
      <c r="BO8" s="171"/>
      <c r="BP8" s="171"/>
      <c r="BQ8" s="171"/>
      <c r="BY8" t="s">
        <v>767</v>
      </c>
      <c r="BZ8" t="s">
        <v>767</v>
      </c>
      <c r="CI8" t="s">
        <v>115</v>
      </c>
      <c r="CJ8">
        <v>999999999</v>
      </c>
      <c r="CK8">
        <v>999999999</v>
      </c>
      <c r="CL8">
        <v>999999999</v>
      </c>
      <c r="CM8">
        <v>999999999</v>
      </c>
      <c r="CV8" t="s">
        <v>785</v>
      </c>
      <c r="CX8" t="s">
        <v>115</v>
      </c>
      <c r="CY8" t="s">
        <v>770</v>
      </c>
      <c r="CZ8" t="s">
        <v>771</v>
      </c>
      <c r="DA8" t="s">
        <v>767</v>
      </c>
      <c r="DB8" t="s">
        <v>767</v>
      </c>
      <c r="DC8" t="s">
        <v>767</v>
      </c>
      <c r="DD8" t="s">
        <v>767</v>
      </c>
      <c r="DE8" t="s">
        <v>772</v>
      </c>
      <c r="DF8" t="s">
        <v>772</v>
      </c>
    </row>
    <row r="9" spans="1:110">
      <c r="A9" s="165" t="s">
        <v>786</v>
      </c>
      <c r="B9" s="166">
        <v>41030</v>
      </c>
      <c r="C9" s="165" t="s">
        <v>763</v>
      </c>
      <c r="D9" s="167" t="s">
        <v>787</v>
      </c>
      <c r="E9" s="167" t="s">
        <v>788</v>
      </c>
      <c r="F9" s="167" t="s">
        <v>548</v>
      </c>
      <c r="G9" s="165" t="s">
        <v>789</v>
      </c>
      <c r="H9" s="143" t="s">
        <v>767</v>
      </c>
      <c r="I9" s="143">
        <v>5</v>
      </c>
      <c r="J9" s="143">
        <v>10</v>
      </c>
      <c r="K9" s="143">
        <v>11</v>
      </c>
      <c r="L9" s="143">
        <v>4</v>
      </c>
      <c r="M9" s="141">
        <v>225</v>
      </c>
      <c r="N9" s="141"/>
      <c r="O9" s="141"/>
      <c r="P9" s="168"/>
      <c r="Q9" s="168"/>
      <c r="R9" s="168"/>
      <c r="S9" s="169"/>
      <c r="T9" s="169"/>
      <c r="U9" s="170"/>
      <c r="V9" s="169"/>
      <c r="W9" s="168" t="s">
        <v>768</v>
      </c>
      <c r="X9" s="168" t="s">
        <v>767</v>
      </c>
      <c r="Y9" s="168" t="s">
        <v>767</v>
      </c>
      <c r="Z9" s="168">
        <v>999999999</v>
      </c>
      <c r="AA9" s="168"/>
      <c r="AB9" s="168"/>
      <c r="AC9" s="168"/>
      <c r="AD9" s="168"/>
      <c r="AE9" s="168"/>
      <c r="AF9" s="168"/>
      <c r="AG9" s="168"/>
      <c r="AH9" s="168"/>
      <c r="AI9" s="168"/>
      <c r="AJ9" s="168" t="s">
        <v>115</v>
      </c>
      <c r="AK9" s="168" t="s">
        <v>767</v>
      </c>
      <c r="AL9" s="143" t="s">
        <v>767</v>
      </c>
      <c r="AM9" s="143" t="s">
        <v>767</v>
      </c>
      <c r="AN9" s="170">
        <v>999999999</v>
      </c>
      <c r="AO9" s="170">
        <v>999999999</v>
      </c>
      <c r="AP9" s="170">
        <v>999999999</v>
      </c>
      <c r="AQ9" s="171"/>
      <c r="AR9" s="171"/>
      <c r="AS9" s="171"/>
      <c r="AT9" s="171">
        <v>0.2104</v>
      </c>
      <c r="AU9" s="171"/>
      <c r="AV9" s="171"/>
      <c r="AW9" s="171"/>
      <c r="AX9" s="171"/>
      <c r="AY9" s="171"/>
      <c r="AZ9" s="171"/>
      <c r="BA9" s="171"/>
      <c r="BB9" s="171"/>
      <c r="BC9" s="171"/>
      <c r="BD9" s="171"/>
      <c r="BE9" s="171"/>
      <c r="BF9" s="171"/>
      <c r="BG9" s="171"/>
      <c r="BH9" s="171"/>
      <c r="BI9" s="171"/>
      <c r="BJ9" s="171"/>
      <c r="BK9" s="171"/>
      <c r="BL9" s="171"/>
      <c r="BM9" s="171"/>
      <c r="BN9" s="171"/>
      <c r="BO9" s="171"/>
      <c r="BP9" s="171"/>
      <c r="BQ9" s="171"/>
      <c r="BY9" t="s">
        <v>767</v>
      </c>
      <c r="BZ9" t="s">
        <v>767</v>
      </c>
      <c r="CI9" t="s">
        <v>115</v>
      </c>
      <c r="CJ9">
        <v>999999999</v>
      </c>
      <c r="CK9">
        <v>999999999</v>
      </c>
      <c r="CL9">
        <v>999999999</v>
      </c>
      <c r="CM9">
        <v>999999999</v>
      </c>
      <c r="CV9" t="s">
        <v>790</v>
      </c>
      <c r="CX9" t="s">
        <v>115</v>
      </c>
      <c r="CY9" t="s">
        <v>770</v>
      </c>
      <c r="CZ9" t="s">
        <v>771</v>
      </c>
      <c r="DA9" t="s">
        <v>767</v>
      </c>
      <c r="DB9" t="s">
        <v>767</v>
      </c>
      <c r="DC9" t="s">
        <v>767</v>
      </c>
      <c r="DD9" t="s">
        <v>772</v>
      </c>
      <c r="DE9" t="s">
        <v>772</v>
      </c>
      <c r="DF9" t="s">
        <v>772</v>
      </c>
    </row>
    <row r="10" spans="1:110">
      <c r="A10" s="165" t="s">
        <v>791</v>
      </c>
      <c r="B10" s="166">
        <v>41030</v>
      </c>
      <c r="C10" s="165" t="s">
        <v>763</v>
      </c>
      <c r="D10" s="167" t="s">
        <v>792</v>
      </c>
      <c r="E10" s="167" t="s">
        <v>793</v>
      </c>
      <c r="F10" s="167" t="s">
        <v>536</v>
      </c>
      <c r="G10" s="165" t="s">
        <v>794</v>
      </c>
      <c r="H10" s="143" t="s">
        <v>767</v>
      </c>
      <c r="I10" s="143">
        <v>5</v>
      </c>
      <c r="J10" s="143">
        <v>10</v>
      </c>
      <c r="K10" s="143">
        <v>11</v>
      </c>
      <c r="L10" s="143">
        <v>4</v>
      </c>
      <c r="M10" s="141">
        <v>20</v>
      </c>
      <c r="N10" s="141"/>
      <c r="O10" s="141"/>
      <c r="P10" s="168"/>
      <c r="Q10" s="168"/>
      <c r="R10" s="168"/>
      <c r="S10" s="169"/>
      <c r="T10" s="169"/>
      <c r="U10" s="170"/>
      <c r="V10" s="169"/>
      <c r="W10" s="168" t="s">
        <v>768</v>
      </c>
      <c r="X10" s="168" t="s">
        <v>767</v>
      </c>
      <c r="Y10" s="168" t="s">
        <v>767</v>
      </c>
      <c r="Z10" s="168">
        <v>999999999</v>
      </c>
      <c r="AA10" s="168"/>
      <c r="AB10" s="168"/>
      <c r="AC10" s="168"/>
      <c r="AD10" s="168"/>
      <c r="AE10" s="168"/>
      <c r="AF10" s="168"/>
      <c r="AG10" s="168"/>
      <c r="AH10" s="168"/>
      <c r="AI10" s="168"/>
      <c r="AJ10" s="168" t="s">
        <v>115</v>
      </c>
      <c r="AK10" s="168" t="s">
        <v>767</v>
      </c>
      <c r="AL10" s="143" t="s">
        <v>767</v>
      </c>
      <c r="AM10" s="143" t="s">
        <v>767</v>
      </c>
      <c r="AN10" s="170">
        <v>999999999</v>
      </c>
      <c r="AO10" s="170">
        <v>999999999</v>
      </c>
      <c r="AP10" s="170">
        <v>999999999</v>
      </c>
      <c r="AQ10" s="171"/>
      <c r="AR10" s="171"/>
      <c r="AS10" s="171"/>
      <c r="AT10" s="171">
        <v>0.30609999999999998</v>
      </c>
      <c r="AU10" s="171"/>
      <c r="AV10" s="171"/>
      <c r="AW10" s="171"/>
      <c r="AX10" s="171"/>
      <c r="AY10" s="171"/>
      <c r="AZ10" s="171"/>
      <c r="BA10" s="171"/>
      <c r="BB10" s="171"/>
      <c r="BC10" s="171"/>
      <c r="BD10" s="171"/>
      <c r="BE10" s="171"/>
      <c r="BF10" s="171"/>
      <c r="BG10" s="171"/>
      <c r="BH10" s="171"/>
      <c r="BI10" s="171"/>
      <c r="BJ10" s="171"/>
      <c r="BK10" s="171"/>
      <c r="BL10" s="171"/>
      <c r="BM10" s="171"/>
      <c r="BN10" s="171"/>
      <c r="BO10" s="171"/>
      <c r="BP10" s="171"/>
      <c r="BQ10" s="171"/>
      <c r="BY10" t="s">
        <v>767</v>
      </c>
      <c r="BZ10" t="s">
        <v>767</v>
      </c>
      <c r="CI10" t="s">
        <v>115</v>
      </c>
      <c r="CJ10">
        <v>999999999</v>
      </c>
      <c r="CK10">
        <v>999999999</v>
      </c>
      <c r="CL10">
        <v>999999999</v>
      </c>
      <c r="CM10">
        <v>999999999</v>
      </c>
      <c r="CV10" t="s">
        <v>769</v>
      </c>
      <c r="CX10" t="s">
        <v>115</v>
      </c>
      <c r="CY10" t="s">
        <v>770</v>
      </c>
      <c r="CZ10" t="s">
        <v>771</v>
      </c>
      <c r="DA10" t="s">
        <v>767</v>
      </c>
      <c r="DB10" t="s">
        <v>767</v>
      </c>
      <c r="DC10" t="s">
        <v>767</v>
      </c>
      <c r="DD10" t="s">
        <v>767</v>
      </c>
      <c r="DE10" t="s">
        <v>767</v>
      </c>
      <c r="DF10" t="s">
        <v>772</v>
      </c>
    </row>
    <row r="11" spans="1:110">
      <c r="A11" s="165" t="s">
        <v>795</v>
      </c>
      <c r="B11" s="166">
        <v>41030</v>
      </c>
      <c r="C11" s="165" t="s">
        <v>763</v>
      </c>
      <c r="D11" s="167" t="s">
        <v>792</v>
      </c>
      <c r="E11" s="167" t="s">
        <v>796</v>
      </c>
      <c r="F11" s="167" t="s">
        <v>522</v>
      </c>
      <c r="G11" s="165" t="s">
        <v>797</v>
      </c>
      <c r="H11" s="143" t="s">
        <v>767</v>
      </c>
      <c r="I11" s="143">
        <v>5</v>
      </c>
      <c r="J11" s="143">
        <v>10</v>
      </c>
      <c r="K11" s="143">
        <v>11</v>
      </c>
      <c r="L11" s="143">
        <v>4</v>
      </c>
      <c r="M11" s="141">
        <v>225</v>
      </c>
      <c r="N11" s="141"/>
      <c r="O11" s="141"/>
      <c r="P11" s="168"/>
      <c r="Q11" s="168"/>
      <c r="R11" s="168"/>
      <c r="S11" s="169"/>
      <c r="T11" s="169"/>
      <c r="U11" s="170"/>
      <c r="V11" s="169"/>
      <c r="W11" s="168" t="s">
        <v>768</v>
      </c>
      <c r="X11" s="168" t="s">
        <v>767</v>
      </c>
      <c r="Y11" s="168" t="s">
        <v>767</v>
      </c>
      <c r="Z11" s="168">
        <v>999999999</v>
      </c>
      <c r="AA11" s="168"/>
      <c r="AB11" s="168"/>
      <c r="AC11" s="168"/>
      <c r="AD11" s="168"/>
      <c r="AE11" s="168"/>
      <c r="AF11" s="168"/>
      <c r="AG11" s="168"/>
      <c r="AH11" s="168"/>
      <c r="AI11" s="168"/>
      <c r="AJ11" s="168" t="s">
        <v>115</v>
      </c>
      <c r="AK11" s="168" t="s">
        <v>767</v>
      </c>
      <c r="AL11" s="143" t="s">
        <v>767</v>
      </c>
      <c r="AM11" s="143" t="s">
        <v>767</v>
      </c>
      <c r="AN11" s="170">
        <v>999999999</v>
      </c>
      <c r="AO11" s="170">
        <v>999999999</v>
      </c>
      <c r="AP11" s="170">
        <v>999999999</v>
      </c>
      <c r="AQ11" s="171"/>
      <c r="AR11" s="171"/>
      <c r="AS11" s="171"/>
      <c r="AT11" s="171">
        <v>0.12479999999999999</v>
      </c>
      <c r="AU11" s="171"/>
      <c r="AV11" s="171"/>
      <c r="AW11" s="171"/>
      <c r="AX11" s="171"/>
      <c r="AY11" s="171"/>
      <c r="AZ11" s="171"/>
      <c r="BA11" s="171"/>
      <c r="BB11" s="171"/>
      <c r="BC11" s="171"/>
      <c r="BD11" s="171"/>
      <c r="BE11" s="171"/>
      <c r="BF11" s="171"/>
      <c r="BG11" s="171"/>
      <c r="BH11" s="171"/>
      <c r="BI11" s="171"/>
      <c r="BJ11" s="171"/>
      <c r="BK11" s="171"/>
      <c r="BL11" s="171"/>
      <c r="BM11" s="171"/>
      <c r="BN11" s="171"/>
      <c r="BO11" s="171"/>
      <c r="BP11" s="171"/>
      <c r="BQ11" s="171"/>
      <c r="BY11" t="s">
        <v>767</v>
      </c>
      <c r="BZ11" t="s">
        <v>767</v>
      </c>
      <c r="CI11" t="s">
        <v>115</v>
      </c>
      <c r="CJ11">
        <v>999999999</v>
      </c>
      <c r="CK11">
        <v>999999999</v>
      </c>
      <c r="CL11">
        <v>999999999</v>
      </c>
      <c r="CM11">
        <v>999999999</v>
      </c>
      <c r="CV11" t="s">
        <v>785</v>
      </c>
      <c r="CX11" t="s">
        <v>115</v>
      </c>
      <c r="CY11" t="s">
        <v>770</v>
      </c>
      <c r="CZ11" t="s">
        <v>771</v>
      </c>
      <c r="DA11" t="s">
        <v>767</v>
      </c>
      <c r="DB11" t="s">
        <v>767</v>
      </c>
      <c r="DC11" t="s">
        <v>767</v>
      </c>
      <c r="DD11" t="s">
        <v>767</v>
      </c>
      <c r="DE11" t="s">
        <v>767</v>
      </c>
      <c r="DF11" t="s">
        <v>772</v>
      </c>
    </row>
    <row r="12" spans="1:110">
      <c r="A12" s="165" t="s">
        <v>798</v>
      </c>
      <c r="B12" s="166">
        <v>41030</v>
      </c>
      <c r="C12" s="165" t="s">
        <v>763</v>
      </c>
      <c r="D12" s="167" t="s">
        <v>764</v>
      </c>
      <c r="E12" s="167" t="s">
        <v>799</v>
      </c>
      <c r="F12" s="167" t="s">
        <v>541</v>
      </c>
      <c r="G12" s="165" t="s">
        <v>800</v>
      </c>
      <c r="H12" s="143" t="s">
        <v>767</v>
      </c>
      <c r="I12" s="143">
        <v>5</v>
      </c>
      <c r="J12" s="143">
        <v>10</v>
      </c>
      <c r="K12" s="143">
        <v>11</v>
      </c>
      <c r="L12" s="143">
        <v>4</v>
      </c>
      <c r="M12" s="141">
        <v>20</v>
      </c>
      <c r="N12" s="141"/>
      <c r="O12" s="141"/>
      <c r="P12" s="168"/>
      <c r="Q12" s="168"/>
      <c r="R12" s="168"/>
      <c r="S12" s="169"/>
      <c r="T12" s="169"/>
      <c r="U12" s="170"/>
      <c r="V12" s="169"/>
      <c r="W12" s="168" t="s">
        <v>768</v>
      </c>
      <c r="X12" s="168" t="s">
        <v>767</v>
      </c>
      <c r="Y12" s="168" t="s">
        <v>767</v>
      </c>
      <c r="Z12" s="168">
        <v>999999999</v>
      </c>
      <c r="AA12" s="168"/>
      <c r="AB12" s="168"/>
      <c r="AC12" s="168"/>
      <c r="AD12" s="168"/>
      <c r="AE12" s="168"/>
      <c r="AF12" s="168"/>
      <c r="AG12" s="168"/>
      <c r="AH12" s="168"/>
      <c r="AI12" s="168"/>
      <c r="AJ12" s="168" t="s">
        <v>115</v>
      </c>
      <c r="AK12" s="168" t="s">
        <v>767</v>
      </c>
      <c r="AL12" s="143" t="s">
        <v>767</v>
      </c>
      <c r="AM12" s="143" t="s">
        <v>767</v>
      </c>
      <c r="AN12" s="170">
        <v>999999999</v>
      </c>
      <c r="AO12" s="170">
        <v>999999999</v>
      </c>
      <c r="AP12" s="170">
        <v>999999999</v>
      </c>
      <c r="AQ12" s="171"/>
      <c r="AR12" s="171"/>
      <c r="AS12" s="171"/>
      <c r="AT12" s="171">
        <v>0.35320000000000001</v>
      </c>
      <c r="AU12" s="171"/>
      <c r="AV12" s="171"/>
      <c r="AW12" s="171"/>
      <c r="AX12" s="171"/>
      <c r="AY12" s="171"/>
      <c r="AZ12" s="171"/>
      <c r="BA12" s="171"/>
      <c r="BB12" s="171"/>
      <c r="BC12" s="171"/>
      <c r="BD12" s="171"/>
      <c r="BE12" s="171"/>
      <c r="BF12" s="171"/>
      <c r="BG12" s="171"/>
      <c r="BH12" s="171"/>
      <c r="BI12" s="171"/>
      <c r="BJ12" s="171"/>
      <c r="BK12" s="171"/>
      <c r="BL12" s="171"/>
      <c r="BM12" s="171"/>
      <c r="BN12" s="171"/>
      <c r="BO12" s="171"/>
      <c r="BP12" s="171"/>
      <c r="BQ12" s="171"/>
      <c r="BY12" t="s">
        <v>767</v>
      </c>
      <c r="BZ12" t="s">
        <v>767</v>
      </c>
      <c r="CI12" t="s">
        <v>115</v>
      </c>
      <c r="CJ12">
        <v>999999999</v>
      </c>
      <c r="CK12">
        <v>999999999</v>
      </c>
      <c r="CL12">
        <v>999999999</v>
      </c>
      <c r="CM12">
        <v>999999999</v>
      </c>
      <c r="CV12" t="s">
        <v>769</v>
      </c>
      <c r="CX12" t="s">
        <v>115</v>
      </c>
      <c r="CY12" t="s">
        <v>770</v>
      </c>
      <c r="CZ12" t="s">
        <v>771</v>
      </c>
      <c r="DA12" t="s">
        <v>767</v>
      </c>
      <c r="DB12" t="s">
        <v>767</v>
      </c>
      <c r="DC12" t="s">
        <v>767</v>
      </c>
      <c r="DD12" t="s">
        <v>767</v>
      </c>
      <c r="DE12" t="s">
        <v>767</v>
      </c>
      <c r="DF12" t="s">
        <v>772</v>
      </c>
    </row>
    <row r="13" spans="1:110">
      <c r="A13" s="165" t="s">
        <v>801</v>
      </c>
      <c r="B13" s="166">
        <v>41030</v>
      </c>
      <c r="C13" s="165" t="s">
        <v>763</v>
      </c>
      <c r="D13" s="167" t="s">
        <v>802</v>
      </c>
      <c r="E13" s="167" t="s">
        <v>803</v>
      </c>
      <c r="F13" s="167" t="s">
        <v>537</v>
      </c>
      <c r="G13" s="165" t="s">
        <v>804</v>
      </c>
      <c r="H13" s="143" t="s">
        <v>767</v>
      </c>
      <c r="I13" s="143">
        <v>5</v>
      </c>
      <c r="J13" s="143">
        <v>10</v>
      </c>
      <c r="K13" s="143">
        <v>11</v>
      </c>
      <c r="L13" s="143">
        <v>4</v>
      </c>
      <c r="M13" s="141">
        <v>20</v>
      </c>
      <c r="N13" s="141"/>
      <c r="O13" s="141"/>
      <c r="P13" s="168"/>
      <c r="Q13" s="168"/>
      <c r="R13" s="168"/>
      <c r="S13" s="169"/>
      <c r="T13" s="169"/>
      <c r="U13" s="170"/>
      <c r="V13" s="169"/>
      <c r="W13" s="168" t="s">
        <v>768</v>
      </c>
      <c r="X13" s="168" t="s">
        <v>767</v>
      </c>
      <c r="Y13" s="168" t="s">
        <v>767</v>
      </c>
      <c r="Z13" s="168">
        <v>999999999</v>
      </c>
      <c r="AA13" s="168"/>
      <c r="AB13" s="168"/>
      <c r="AC13" s="168"/>
      <c r="AD13" s="168"/>
      <c r="AE13" s="168"/>
      <c r="AF13" s="168"/>
      <c r="AG13" s="168"/>
      <c r="AH13" s="168"/>
      <c r="AI13" s="168"/>
      <c r="AJ13" s="168" t="s">
        <v>115</v>
      </c>
      <c r="AK13" s="168" t="s">
        <v>767</v>
      </c>
      <c r="AL13" s="143" t="s">
        <v>767</v>
      </c>
      <c r="AM13" s="143" t="s">
        <v>767</v>
      </c>
      <c r="AN13" s="170">
        <v>999999999</v>
      </c>
      <c r="AO13" s="170">
        <v>999999999</v>
      </c>
      <c r="AP13" s="170">
        <v>999999999</v>
      </c>
      <c r="AQ13" s="171"/>
      <c r="AR13" s="171"/>
      <c r="AS13" s="171"/>
      <c r="AT13" s="171">
        <v>0.28410000000000002</v>
      </c>
      <c r="AU13" s="171"/>
      <c r="AV13" s="171"/>
      <c r="AW13" s="171"/>
      <c r="AX13" s="171"/>
      <c r="AY13" s="171"/>
      <c r="AZ13" s="171"/>
      <c r="BA13" s="171"/>
      <c r="BB13" s="171"/>
      <c r="BC13" s="171"/>
      <c r="BD13" s="171"/>
      <c r="BE13" s="171"/>
      <c r="BF13" s="171"/>
      <c r="BG13" s="171"/>
      <c r="BH13" s="171"/>
      <c r="BI13" s="171"/>
      <c r="BJ13" s="171"/>
      <c r="BK13" s="171"/>
      <c r="BL13" s="171"/>
      <c r="BM13" s="171"/>
      <c r="BN13" s="171"/>
      <c r="BO13" s="171"/>
      <c r="BP13" s="171"/>
      <c r="BQ13" s="171"/>
      <c r="BY13" t="s">
        <v>767</v>
      </c>
      <c r="BZ13" t="s">
        <v>767</v>
      </c>
      <c r="CI13" t="s">
        <v>115</v>
      </c>
      <c r="CJ13">
        <v>999999999</v>
      </c>
      <c r="CK13">
        <v>999999999</v>
      </c>
      <c r="CL13">
        <v>999999999</v>
      </c>
      <c r="CM13">
        <v>999999999</v>
      </c>
      <c r="CV13" t="s">
        <v>769</v>
      </c>
      <c r="CX13" t="s">
        <v>115</v>
      </c>
      <c r="CY13" t="s">
        <v>770</v>
      </c>
      <c r="CZ13" t="s">
        <v>771</v>
      </c>
      <c r="DA13" t="s">
        <v>767</v>
      </c>
      <c r="DB13" t="s">
        <v>767</v>
      </c>
      <c r="DC13" t="s">
        <v>772</v>
      </c>
      <c r="DD13" t="s">
        <v>767</v>
      </c>
      <c r="DE13" t="s">
        <v>767</v>
      </c>
      <c r="DF13" t="s">
        <v>772</v>
      </c>
    </row>
    <row r="14" spans="1:110">
      <c r="A14" s="165" t="s">
        <v>805</v>
      </c>
      <c r="B14" s="166">
        <v>41030</v>
      </c>
      <c r="C14" s="165" t="s">
        <v>763</v>
      </c>
      <c r="D14" s="167" t="s">
        <v>802</v>
      </c>
      <c r="E14" s="167" t="s">
        <v>806</v>
      </c>
      <c r="F14" s="167" t="s">
        <v>538</v>
      </c>
      <c r="G14" s="165" t="s">
        <v>807</v>
      </c>
      <c r="H14" s="143" t="s">
        <v>767</v>
      </c>
      <c r="I14" s="143">
        <v>5</v>
      </c>
      <c r="J14" s="143">
        <v>10</v>
      </c>
      <c r="K14" s="143">
        <v>11</v>
      </c>
      <c r="L14" s="143">
        <v>4</v>
      </c>
      <c r="M14" s="141">
        <v>225</v>
      </c>
      <c r="N14" s="141"/>
      <c r="O14" s="141"/>
      <c r="P14" s="168"/>
      <c r="Q14" s="168"/>
      <c r="R14" s="168"/>
      <c r="S14" s="169"/>
      <c r="T14" s="169"/>
      <c r="U14" s="170"/>
      <c r="V14" s="169"/>
      <c r="W14" s="168" t="s">
        <v>768</v>
      </c>
      <c r="X14" s="168" t="s">
        <v>767</v>
      </c>
      <c r="Y14" s="168" t="s">
        <v>767</v>
      </c>
      <c r="Z14" s="168">
        <v>999999999</v>
      </c>
      <c r="AA14" s="168"/>
      <c r="AB14" s="168"/>
      <c r="AC14" s="168"/>
      <c r="AD14" s="168"/>
      <c r="AE14" s="168"/>
      <c r="AF14" s="168"/>
      <c r="AG14" s="168"/>
      <c r="AH14" s="168"/>
      <c r="AI14" s="168"/>
      <c r="AJ14" s="168" t="s">
        <v>115</v>
      </c>
      <c r="AK14" s="168" t="s">
        <v>767</v>
      </c>
      <c r="AL14" s="143" t="s">
        <v>767</v>
      </c>
      <c r="AM14" s="143" t="s">
        <v>767</v>
      </c>
      <c r="AN14" s="170">
        <v>999999999</v>
      </c>
      <c r="AO14" s="170">
        <v>999999999</v>
      </c>
      <c r="AP14" s="170">
        <v>999999999</v>
      </c>
      <c r="AQ14" s="171"/>
      <c r="AR14" s="171"/>
      <c r="AS14" s="171"/>
      <c r="AT14" s="171">
        <v>0.1527</v>
      </c>
      <c r="AU14" s="171"/>
      <c r="AV14" s="171"/>
      <c r="AW14" s="171"/>
      <c r="AX14" s="171"/>
      <c r="AY14" s="171"/>
      <c r="AZ14" s="171"/>
      <c r="BA14" s="171"/>
      <c r="BB14" s="171"/>
      <c r="BC14" s="171"/>
      <c r="BD14" s="171"/>
      <c r="BE14" s="171"/>
      <c r="BF14" s="171"/>
      <c r="BG14" s="171"/>
      <c r="BH14" s="171"/>
      <c r="BI14" s="171"/>
      <c r="BJ14" s="171"/>
      <c r="BK14" s="171"/>
      <c r="BL14" s="171"/>
      <c r="BM14" s="171"/>
      <c r="BN14" s="171"/>
      <c r="BO14" s="171"/>
      <c r="BP14" s="171"/>
      <c r="BQ14" s="171"/>
      <c r="BY14" t="s">
        <v>767</v>
      </c>
      <c r="BZ14" t="s">
        <v>767</v>
      </c>
      <c r="CI14" t="s">
        <v>115</v>
      </c>
      <c r="CJ14">
        <v>999999999</v>
      </c>
      <c r="CK14">
        <v>999999999</v>
      </c>
      <c r="CL14">
        <v>999999999</v>
      </c>
      <c r="CM14">
        <v>999999999</v>
      </c>
      <c r="CV14" t="s">
        <v>785</v>
      </c>
      <c r="CX14" t="s">
        <v>115</v>
      </c>
      <c r="CY14" t="s">
        <v>770</v>
      </c>
      <c r="CZ14" t="s">
        <v>771</v>
      </c>
      <c r="DA14" t="s">
        <v>767</v>
      </c>
      <c r="DB14" t="s">
        <v>767</v>
      </c>
      <c r="DC14" t="s">
        <v>767</v>
      </c>
      <c r="DD14" t="s">
        <v>767</v>
      </c>
      <c r="DE14" t="s">
        <v>767</v>
      </c>
      <c r="DF14" t="s">
        <v>772</v>
      </c>
    </row>
    <row r="15" spans="1:110">
      <c r="A15" s="165" t="s">
        <v>808</v>
      </c>
      <c r="B15" s="166">
        <v>41030</v>
      </c>
      <c r="C15" s="165" t="s">
        <v>763</v>
      </c>
      <c r="D15" s="167" t="s">
        <v>780</v>
      </c>
      <c r="E15" s="167" t="s">
        <v>809</v>
      </c>
      <c r="F15" s="167" t="s">
        <v>516</v>
      </c>
      <c r="G15" s="165" t="s">
        <v>810</v>
      </c>
      <c r="H15" s="143" t="s">
        <v>767</v>
      </c>
      <c r="I15" s="143">
        <v>5</v>
      </c>
      <c r="J15" s="143">
        <v>10</v>
      </c>
      <c r="K15" s="143">
        <v>11</v>
      </c>
      <c r="L15" s="143">
        <v>4</v>
      </c>
      <c r="M15" s="141">
        <v>10</v>
      </c>
      <c r="N15" s="141"/>
      <c r="O15" s="141">
        <v>1.5</v>
      </c>
      <c r="P15" s="168"/>
      <c r="Q15" s="168"/>
      <c r="R15" s="168"/>
      <c r="S15" s="169"/>
      <c r="T15" s="169"/>
      <c r="U15" s="170"/>
      <c r="V15" s="169"/>
      <c r="W15" s="168" t="s">
        <v>768</v>
      </c>
      <c r="X15" s="168" t="s">
        <v>767</v>
      </c>
      <c r="Y15" s="168" t="s">
        <v>767</v>
      </c>
      <c r="Z15" s="168">
        <v>999999999</v>
      </c>
      <c r="AA15" s="168"/>
      <c r="AB15" s="168"/>
      <c r="AC15" s="168"/>
      <c r="AD15" s="168"/>
      <c r="AE15" s="168"/>
      <c r="AF15" s="168"/>
      <c r="AG15" s="168"/>
      <c r="AH15" s="168"/>
      <c r="AI15" s="168"/>
      <c r="AJ15" s="168" t="s">
        <v>115</v>
      </c>
      <c r="AK15" s="168" t="s">
        <v>767</v>
      </c>
      <c r="AL15" s="143" t="s">
        <v>767</v>
      </c>
      <c r="AM15" s="143" t="s">
        <v>767</v>
      </c>
      <c r="AN15" s="170">
        <v>999999999</v>
      </c>
      <c r="AO15" s="170">
        <v>999999999</v>
      </c>
      <c r="AP15" s="170">
        <v>999999999</v>
      </c>
      <c r="AQ15" s="171"/>
      <c r="AR15" s="171"/>
      <c r="AS15" s="171"/>
      <c r="AT15" s="171">
        <v>0.34339999999999998</v>
      </c>
      <c r="AU15" s="171"/>
      <c r="AV15" s="171"/>
      <c r="AW15" s="171"/>
      <c r="AX15" s="171"/>
      <c r="AY15" s="171"/>
      <c r="AZ15" s="171"/>
      <c r="BA15" s="171"/>
      <c r="BB15" s="171"/>
      <c r="BC15" s="171"/>
      <c r="BD15" s="171"/>
      <c r="BE15" s="171"/>
      <c r="BF15" s="171"/>
      <c r="BG15" s="171"/>
      <c r="BH15" s="171"/>
      <c r="BI15" s="171"/>
      <c r="BJ15" s="171"/>
      <c r="BK15" s="171"/>
      <c r="BL15" s="171"/>
      <c r="BM15" s="171"/>
      <c r="BN15" s="171"/>
      <c r="BO15" s="171"/>
      <c r="BP15" s="171"/>
      <c r="BQ15" s="171"/>
      <c r="BY15" t="s">
        <v>767</v>
      </c>
      <c r="BZ15" t="s">
        <v>767</v>
      </c>
      <c r="CI15" t="s">
        <v>115</v>
      </c>
      <c r="CJ15">
        <v>999999999</v>
      </c>
      <c r="CK15">
        <v>999999999</v>
      </c>
      <c r="CL15">
        <v>999999999</v>
      </c>
      <c r="CM15">
        <v>999999999</v>
      </c>
      <c r="CV15" t="s">
        <v>782</v>
      </c>
      <c r="CX15" t="s">
        <v>115</v>
      </c>
      <c r="CY15" t="s">
        <v>782</v>
      </c>
      <c r="CZ15" t="s">
        <v>771</v>
      </c>
      <c r="DA15" t="s">
        <v>772</v>
      </c>
      <c r="DB15" t="s">
        <v>767</v>
      </c>
      <c r="DC15" t="s">
        <v>772</v>
      </c>
      <c r="DD15" t="s">
        <v>767</v>
      </c>
      <c r="DE15" t="s">
        <v>767</v>
      </c>
      <c r="DF15" t="s">
        <v>772</v>
      </c>
    </row>
    <row r="16" spans="1:110">
      <c r="A16" s="165" t="s">
        <v>811</v>
      </c>
      <c r="B16" s="166">
        <v>41030</v>
      </c>
      <c r="C16" s="165" t="s">
        <v>763</v>
      </c>
      <c r="D16" s="167" t="s">
        <v>780</v>
      </c>
      <c r="E16" s="167" t="s">
        <v>812</v>
      </c>
      <c r="F16" s="167" t="s">
        <v>518</v>
      </c>
      <c r="G16" s="165" t="s">
        <v>813</v>
      </c>
      <c r="H16" s="143" t="s">
        <v>767</v>
      </c>
      <c r="I16" s="143">
        <v>5</v>
      </c>
      <c r="J16" s="143">
        <v>10</v>
      </c>
      <c r="K16" s="143">
        <v>11</v>
      </c>
      <c r="L16" s="143">
        <v>4</v>
      </c>
      <c r="M16" s="141">
        <v>7</v>
      </c>
      <c r="N16" s="141"/>
      <c r="O16" s="141">
        <v>1.5</v>
      </c>
      <c r="P16" s="168"/>
      <c r="Q16" s="168"/>
      <c r="R16" s="168"/>
      <c r="S16" s="169"/>
      <c r="T16" s="169"/>
      <c r="U16" s="170"/>
      <c r="V16" s="169"/>
      <c r="W16" s="168" t="s">
        <v>768</v>
      </c>
      <c r="X16" s="168" t="s">
        <v>767</v>
      </c>
      <c r="Y16" s="168" t="s">
        <v>767</v>
      </c>
      <c r="Z16" s="168">
        <v>999999999</v>
      </c>
      <c r="AA16" s="168"/>
      <c r="AB16" s="168"/>
      <c r="AC16" s="168"/>
      <c r="AD16" s="168"/>
      <c r="AE16" s="168"/>
      <c r="AF16" s="168"/>
      <c r="AG16" s="168"/>
      <c r="AH16" s="168"/>
      <c r="AI16" s="168"/>
      <c r="AJ16" s="168" t="s">
        <v>115</v>
      </c>
      <c r="AK16" s="168" t="s">
        <v>767</v>
      </c>
      <c r="AL16" s="143" t="s">
        <v>767</v>
      </c>
      <c r="AM16" s="143" t="s">
        <v>767</v>
      </c>
      <c r="AN16" s="170">
        <v>999999999</v>
      </c>
      <c r="AO16" s="170">
        <v>999999999</v>
      </c>
      <c r="AP16" s="170">
        <v>999999999</v>
      </c>
      <c r="AQ16" s="171"/>
      <c r="AR16" s="171"/>
      <c r="AS16" s="171"/>
      <c r="AT16" s="171">
        <f>0.3434</f>
        <v>0.34339999999999998</v>
      </c>
      <c r="AU16" s="171"/>
      <c r="AV16" s="171"/>
      <c r="AW16" s="171"/>
      <c r="AX16" s="171"/>
      <c r="AY16" s="171"/>
      <c r="AZ16" s="171"/>
      <c r="BA16" s="171">
        <v>0.34339999999999998</v>
      </c>
      <c r="BB16" s="171"/>
      <c r="BC16" s="171"/>
      <c r="BD16" s="171"/>
      <c r="BE16" s="171"/>
      <c r="BF16" s="171"/>
      <c r="BG16" s="171"/>
      <c r="BH16" s="171"/>
      <c r="BI16" s="171"/>
      <c r="BJ16" s="171"/>
      <c r="BK16" s="171"/>
      <c r="BL16" s="171"/>
      <c r="BM16" s="171"/>
      <c r="BN16" s="171"/>
      <c r="BO16" s="171"/>
      <c r="BP16" s="171"/>
      <c r="BQ16" s="171"/>
      <c r="BY16" t="s">
        <v>767</v>
      </c>
      <c r="BZ16" t="s">
        <v>767</v>
      </c>
      <c r="CI16" t="s">
        <v>115</v>
      </c>
      <c r="CJ16">
        <v>100</v>
      </c>
      <c r="CK16">
        <v>999999999</v>
      </c>
      <c r="CL16">
        <v>999999999</v>
      </c>
      <c r="CM16">
        <v>999999999</v>
      </c>
      <c r="CN16">
        <v>-0.15</v>
      </c>
      <c r="CV16" t="s">
        <v>782</v>
      </c>
      <c r="CX16" t="s">
        <v>115</v>
      </c>
      <c r="CY16" t="s">
        <v>814</v>
      </c>
      <c r="CZ16" t="s">
        <v>771</v>
      </c>
      <c r="DA16" t="s">
        <v>772</v>
      </c>
      <c r="DB16" t="s">
        <v>767</v>
      </c>
      <c r="DC16" t="s">
        <v>772</v>
      </c>
      <c r="DD16" t="s">
        <v>767</v>
      </c>
      <c r="DE16" t="s">
        <v>767</v>
      </c>
      <c r="DF16" t="s">
        <v>772</v>
      </c>
    </row>
    <row r="17" spans="1:110">
      <c r="A17" s="165" t="s">
        <v>815</v>
      </c>
      <c r="B17" s="166">
        <v>41030</v>
      </c>
      <c r="C17" s="165" t="s">
        <v>763</v>
      </c>
      <c r="D17" s="167" t="s">
        <v>787</v>
      </c>
      <c r="E17" s="167" t="s">
        <v>788</v>
      </c>
      <c r="F17" s="167" t="s">
        <v>542</v>
      </c>
      <c r="G17" s="165" t="s">
        <v>816</v>
      </c>
      <c r="H17" s="143" t="s">
        <v>767</v>
      </c>
      <c r="I17" s="143">
        <v>5</v>
      </c>
      <c r="J17" s="143">
        <v>10</v>
      </c>
      <c r="K17" s="143">
        <v>11</v>
      </c>
      <c r="L17" s="143">
        <v>4</v>
      </c>
      <c r="M17" s="141">
        <v>225</v>
      </c>
      <c r="N17" s="141"/>
      <c r="O17" s="141"/>
      <c r="P17" s="168"/>
      <c r="Q17" s="168"/>
      <c r="R17" s="168"/>
      <c r="S17" s="169"/>
      <c r="T17" s="169"/>
      <c r="U17" s="170"/>
      <c r="V17" s="169"/>
      <c r="W17" s="168" t="s">
        <v>768</v>
      </c>
      <c r="X17" s="168" t="s">
        <v>767</v>
      </c>
      <c r="Y17" s="168" t="s">
        <v>767</v>
      </c>
      <c r="Z17" s="168">
        <v>999999999</v>
      </c>
      <c r="AA17" s="168"/>
      <c r="AB17" s="168"/>
      <c r="AC17" s="168"/>
      <c r="AD17" s="168"/>
      <c r="AE17" s="168"/>
      <c r="AF17" s="168"/>
      <c r="AG17" s="168"/>
      <c r="AH17" s="168"/>
      <c r="AI17" s="168"/>
      <c r="AJ17" s="168" t="s">
        <v>115</v>
      </c>
      <c r="AK17" s="168" t="s">
        <v>767</v>
      </c>
      <c r="AL17" s="143" t="s">
        <v>767</v>
      </c>
      <c r="AM17" s="143" t="s">
        <v>767</v>
      </c>
      <c r="AN17" s="170">
        <v>999999999</v>
      </c>
      <c r="AO17" s="170">
        <v>999999999</v>
      </c>
      <c r="AP17" s="170">
        <v>999999999</v>
      </c>
      <c r="AQ17" s="171"/>
      <c r="AR17" s="171"/>
      <c r="AS17" s="171"/>
      <c r="AT17" s="171">
        <v>0.2104</v>
      </c>
      <c r="AU17" s="171"/>
      <c r="AV17" s="171"/>
      <c r="AW17" s="171"/>
      <c r="AX17" s="171"/>
      <c r="AY17" s="171"/>
      <c r="AZ17" s="171"/>
      <c r="BA17" s="171"/>
      <c r="BB17" s="171"/>
      <c r="BC17" s="171"/>
      <c r="BD17" s="171"/>
      <c r="BE17" s="171"/>
      <c r="BF17" s="171"/>
      <c r="BG17" s="171"/>
      <c r="BH17" s="171"/>
      <c r="BI17" s="171"/>
      <c r="BJ17" s="171"/>
      <c r="BK17" s="171"/>
      <c r="BL17" s="171"/>
      <c r="BM17" s="171"/>
      <c r="BN17" s="171"/>
      <c r="BO17" s="171"/>
      <c r="BP17" s="171"/>
      <c r="BQ17" s="171"/>
      <c r="BY17" t="s">
        <v>767</v>
      </c>
      <c r="BZ17" t="s">
        <v>767</v>
      </c>
      <c r="CI17" t="s">
        <v>115</v>
      </c>
      <c r="CJ17">
        <v>999999999</v>
      </c>
      <c r="CK17">
        <v>999999999</v>
      </c>
      <c r="CL17">
        <v>999999999</v>
      </c>
      <c r="CM17">
        <v>999999999</v>
      </c>
      <c r="CV17" t="s">
        <v>790</v>
      </c>
      <c r="CX17" t="s">
        <v>115</v>
      </c>
      <c r="CY17" t="s">
        <v>770</v>
      </c>
      <c r="CZ17" t="s">
        <v>771</v>
      </c>
      <c r="DA17" t="s">
        <v>767</v>
      </c>
      <c r="DB17" t="s">
        <v>767</v>
      </c>
      <c r="DC17" t="s">
        <v>767</v>
      </c>
      <c r="DD17" t="s">
        <v>772</v>
      </c>
      <c r="DE17" t="s">
        <v>767</v>
      </c>
      <c r="DF17" t="s">
        <v>772</v>
      </c>
    </row>
    <row r="18" spans="1:110">
      <c r="A18" s="165" t="s">
        <v>817</v>
      </c>
      <c r="B18" s="166">
        <v>41030</v>
      </c>
      <c r="C18" s="165" t="s">
        <v>763</v>
      </c>
      <c r="D18" s="167" t="s">
        <v>787</v>
      </c>
      <c r="E18" s="167" t="s">
        <v>788</v>
      </c>
      <c r="F18" s="167" t="s">
        <v>549</v>
      </c>
      <c r="G18" s="165" t="s">
        <v>818</v>
      </c>
      <c r="H18" s="143" t="s">
        <v>767</v>
      </c>
      <c r="I18" s="143">
        <v>5</v>
      </c>
      <c r="J18" s="143">
        <v>10</v>
      </c>
      <c r="K18" s="143">
        <v>11</v>
      </c>
      <c r="L18" s="143">
        <v>4</v>
      </c>
      <c r="M18" s="141">
        <v>20</v>
      </c>
      <c r="N18" s="141"/>
      <c r="O18" s="141"/>
      <c r="P18" s="168"/>
      <c r="Q18" s="168"/>
      <c r="R18" s="168"/>
      <c r="S18" s="169"/>
      <c r="T18" s="169"/>
      <c r="U18" s="170"/>
      <c r="V18" s="169"/>
      <c r="W18" s="168" t="s">
        <v>768</v>
      </c>
      <c r="X18" s="168" t="s">
        <v>767</v>
      </c>
      <c r="Y18" s="168" t="s">
        <v>767</v>
      </c>
      <c r="Z18" s="168">
        <v>999999999</v>
      </c>
      <c r="AA18" s="168"/>
      <c r="AB18" s="168"/>
      <c r="AC18" s="168"/>
      <c r="AD18" s="168"/>
      <c r="AE18" s="168"/>
      <c r="AF18" s="168"/>
      <c r="AG18" s="168"/>
      <c r="AH18" s="168"/>
      <c r="AI18" s="168"/>
      <c r="AJ18" s="168" t="s">
        <v>115</v>
      </c>
      <c r="AK18" s="168" t="s">
        <v>767</v>
      </c>
      <c r="AL18" s="143" t="s">
        <v>767</v>
      </c>
      <c r="AM18" s="143" t="s">
        <v>767</v>
      </c>
      <c r="AN18" s="170">
        <v>999999999</v>
      </c>
      <c r="AO18" s="170">
        <v>999999999</v>
      </c>
      <c r="AP18" s="170">
        <v>999999999</v>
      </c>
      <c r="AQ18" s="171"/>
      <c r="AR18" s="171"/>
      <c r="AS18" s="171"/>
      <c r="AT18" s="171">
        <v>0.28410000000000002</v>
      </c>
      <c r="AU18" s="171"/>
      <c r="AV18" s="171"/>
      <c r="AW18" s="171"/>
      <c r="AX18" s="171"/>
      <c r="AY18" s="171"/>
      <c r="AZ18" s="171"/>
      <c r="BA18" s="171"/>
      <c r="BB18" s="171"/>
      <c r="BC18" s="171"/>
      <c r="BD18" s="171"/>
      <c r="BE18" s="171"/>
      <c r="BF18" s="171"/>
      <c r="BG18" s="171"/>
      <c r="BH18" s="171"/>
      <c r="BI18" s="171"/>
      <c r="BJ18" s="171"/>
      <c r="BK18" s="171"/>
      <c r="BL18" s="171"/>
      <c r="BM18" s="171"/>
      <c r="BN18" s="171"/>
      <c r="BO18" s="171"/>
      <c r="BP18" s="171"/>
      <c r="BQ18" s="171"/>
      <c r="BY18" t="s">
        <v>767</v>
      </c>
      <c r="BZ18" t="s">
        <v>767</v>
      </c>
      <c r="CI18" t="s">
        <v>115</v>
      </c>
      <c r="CJ18">
        <v>999999999</v>
      </c>
      <c r="CK18">
        <v>999999999</v>
      </c>
      <c r="CL18">
        <v>999999999</v>
      </c>
      <c r="CM18">
        <v>999999999</v>
      </c>
      <c r="CV18" t="s">
        <v>819</v>
      </c>
      <c r="CX18" t="s">
        <v>115</v>
      </c>
      <c r="CY18" t="s">
        <v>770</v>
      </c>
      <c r="CZ18" t="s">
        <v>771</v>
      </c>
      <c r="DA18" t="s">
        <v>767</v>
      </c>
      <c r="DB18" t="s">
        <v>767</v>
      </c>
      <c r="DC18" t="s">
        <v>767</v>
      </c>
      <c r="DD18" t="s">
        <v>772</v>
      </c>
      <c r="DE18" t="s">
        <v>767</v>
      </c>
      <c r="DF18" t="s">
        <v>772</v>
      </c>
    </row>
    <row r="19" spans="1:110">
      <c r="A19" s="165" t="s">
        <v>820</v>
      </c>
      <c r="B19" s="166">
        <v>41030</v>
      </c>
      <c r="C19" s="165" t="s">
        <v>763</v>
      </c>
      <c r="D19" s="167" t="s">
        <v>787</v>
      </c>
      <c r="E19" s="167" t="s">
        <v>788</v>
      </c>
      <c r="F19" s="167" t="s">
        <v>543</v>
      </c>
      <c r="G19" s="165" t="s">
        <v>821</v>
      </c>
      <c r="H19" s="143" t="s">
        <v>767</v>
      </c>
      <c r="I19" s="143">
        <v>5</v>
      </c>
      <c r="J19" s="143">
        <v>10</v>
      </c>
      <c r="K19" s="143">
        <v>11</v>
      </c>
      <c r="L19" s="143">
        <v>4</v>
      </c>
      <c r="M19" s="141">
        <v>225</v>
      </c>
      <c r="N19" s="141"/>
      <c r="O19" s="141"/>
      <c r="P19" s="168"/>
      <c r="Q19" s="168"/>
      <c r="R19" s="168"/>
      <c r="S19" s="169"/>
      <c r="T19" s="169"/>
      <c r="U19" s="170"/>
      <c r="V19" s="169"/>
      <c r="W19" s="168" t="s">
        <v>768</v>
      </c>
      <c r="X19" s="168" t="s">
        <v>767</v>
      </c>
      <c r="Y19" s="168" t="s">
        <v>767</v>
      </c>
      <c r="Z19" s="168">
        <v>999999999</v>
      </c>
      <c r="AA19" s="168"/>
      <c r="AB19" s="168"/>
      <c r="AC19" s="168"/>
      <c r="AD19" s="168"/>
      <c r="AE19" s="168"/>
      <c r="AF19" s="168"/>
      <c r="AG19" s="168"/>
      <c r="AH19" s="168"/>
      <c r="AI19" s="168"/>
      <c r="AJ19" s="168" t="s">
        <v>115</v>
      </c>
      <c r="AK19" s="168" t="s">
        <v>767</v>
      </c>
      <c r="AL19" s="143" t="s">
        <v>767</v>
      </c>
      <c r="AM19" s="143" t="s">
        <v>767</v>
      </c>
      <c r="AN19" s="170">
        <v>999999999</v>
      </c>
      <c r="AO19" s="170">
        <v>999999999</v>
      </c>
      <c r="AP19" s="170">
        <v>999999999</v>
      </c>
      <c r="AQ19" s="171"/>
      <c r="AR19" s="171"/>
      <c r="AS19" s="171"/>
      <c r="AT19" s="171">
        <v>0.12479999999999999</v>
      </c>
      <c r="AU19" s="172"/>
      <c r="AV19" s="171"/>
      <c r="AW19" s="171"/>
      <c r="AX19" s="171"/>
      <c r="AY19" s="171"/>
      <c r="AZ19" s="171"/>
      <c r="BA19" s="171"/>
      <c r="BB19" s="171"/>
      <c r="BC19" s="171"/>
      <c r="BD19" s="171"/>
      <c r="BE19" s="171"/>
      <c r="BF19" s="171"/>
      <c r="BG19" s="171"/>
      <c r="BH19" s="171"/>
      <c r="BI19" s="171"/>
      <c r="BJ19" s="171"/>
      <c r="BK19" s="171"/>
      <c r="BL19" s="171"/>
      <c r="BM19" s="171"/>
      <c r="BN19" s="171"/>
      <c r="BO19" s="171"/>
      <c r="BP19" s="171"/>
      <c r="BQ19" s="171"/>
      <c r="BY19" t="s">
        <v>767</v>
      </c>
      <c r="BZ19" t="s">
        <v>767</v>
      </c>
      <c r="CI19" t="s">
        <v>115</v>
      </c>
      <c r="CJ19">
        <v>999999999</v>
      </c>
      <c r="CK19">
        <v>999999999</v>
      </c>
      <c r="CL19">
        <v>999999999</v>
      </c>
      <c r="CM19">
        <v>999999999</v>
      </c>
      <c r="CV19" t="s">
        <v>790</v>
      </c>
      <c r="CX19" t="s">
        <v>115</v>
      </c>
      <c r="CY19" t="s">
        <v>770</v>
      </c>
      <c r="CZ19" t="s">
        <v>771</v>
      </c>
      <c r="DA19" t="s">
        <v>767</v>
      </c>
      <c r="DB19" t="s">
        <v>767</v>
      </c>
      <c r="DC19" t="s">
        <v>767</v>
      </c>
      <c r="DD19" t="s">
        <v>772</v>
      </c>
      <c r="DE19" t="s">
        <v>767</v>
      </c>
      <c r="DF19" t="s">
        <v>772</v>
      </c>
    </row>
    <row r="20" spans="1:110">
      <c r="A20" s="165" t="s">
        <v>822</v>
      </c>
      <c r="B20" s="166">
        <v>41030</v>
      </c>
      <c r="C20" s="165" t="s">
        <v>763</v>
      </c>
      <c r="D20" s="167" t="s">
        <v>787</v>
      </c>
      <c r="E20" s="167" t="s">
        <v>788</v>
      </c>
      <c r="F20" s="167" t="s">
        <v>544</v>
      </c>
      <c r="G20" s="165" t="s">
        <v>823</v>
      </c>
      <c r="H20" s="143" t="s">
        <v>767</v>
      </c>
      <c r="I20" s="143">
        <v>5</v>
      </c>
      <c r="J20" s="143">
        <v>10</v>
      </c>
      <c r="K20" s="143">
        <v>11</v>
      </c>
      <c r="L20" s="143">
        <v>4</v>
      </c>
      <c r="M20" s="141">
        <v>225</v>
      </c>
      <c r="N20" s="141"/>
      <c r="O20" s="141"/>
      <c r="P20" s="168"/>
      <c r="Q20" s="168"/>
      <c r="R20" s="168"/>
      <c r="S20" s="169"/>
      <c r="T20" s="169"/>
      <c r="U20" s="170"/>
      <c r="V20" s="169"/>
      <c r="W20" s="168" t="s">
        <v>768</v>
      </c>
      <c r="X20" s="168" t="s">
        <v>767</v>
      </c>
      <c r="Y20" s="168" t="s">
        <v>767</v>
      </c>
      <c r="Z20" s="168">
        <v>999999999</v>
      </c>
      <c r="AA20" s="168"/>
      <c r="AB20" s="168"/>
      <c r="AC20" s="168"/>
      <c r="AD20" s="168"/>
      <c r="AE20" s="168"/>
      <c r="AF20" s="168"/>
      <c r="AG20" s="168"/>
      <c r="AH20" s="168"/>
      <c r="AI20" s="168"/>
      <c r="AJ20" s="168" t="s">
        <v>115</v>
      </c>
      <c r="AK20" s="168" t="s">
        <v>767</v>
      </c>
      <c r="AL20" s="143" t="s">
        <v>767</v>
      </c>
      <c r="AM20" s="143" t="s">
        <v>767</v>
      </c>
      <c r="AN20" s="170">
        <v>999999999</v>
      </c>
      <c r="AO20" s="170">
        <v>999999999</v>
      </c>
      <c r="AP20" s="170">
        <v>999999999</v>
      </c>
      <c r="AQ20" s="171"/>
      <c r="AR20" s="171"/>
      <c r="AS20" s="171"/>
      <c r="AT20" s="171">
        <v>0.1527</v>
      </c>
      <c r="AU20" s="171"/>
      <c r="AV20" s="171"/>
      <c r="AW20" s="171"/>
      <c r="AX20" s="171"/>
      <c r="AY20" s="171"/>
      <c r="AZ20" s="171"/>
      <c r="BA20" s="171"/>
      <c r="BB20" s="171"/>
      <c r="BC20" s="171"/>
      <c r="BD20" s="171"/>
      <c r="BE20" s="171"/>
      <c r="BF20" s="171"/>
      <c r="BG20" s="171"/>
      <c r="BH20" s="171"/>
      <c r="BI20" s="171"/>
      <c r="BJ20" s="171"/>
      <c r="BK20" s="171"/>
      <c r="BL20" s="171"/>
      <c r="BM20" s="171"/>
      <c r="BN20" s="171"/>
      <c r="BO20" s="171"/>
      <c r="BP20" s="171"/>
      <c r="BQ20" s="171"/>
      <c r="BY20" t="s">
        <v>767</v>
      </c>
      <c r="BZ20" t="s">
        <v>767</v>
      </c>
      <c r="CI20" t="s">
        <v>115</v>
      </c>
      <c r="CJ20">
        <v>999999999</v>
      </c>
      <c r="CK20">
        <v>999999999</v>
      </c>
      <c r="CL20">
        <v>999999999</v>
      </c>
      <c r="CM20">
        <v>999999999</v>
      </c>
      <c r="CV20" t="s">
        <v>790</v>
      </c>
      <c r="CX20" t="s">
        <v>115</v>
      </c>
      <c r="CY20" t="s">
        <v>770</v>
      </c>
      <c r="CZ20" t="s">
        <v>771</v>
      </c>
      <c r="DA20" t="s">
        <v>767</v>
      </c>
      <c r="DB20" t="s">
        <v>767</v>
      </c>
      <c r="DC20" t="s">
        <v>767</v>
      </c>
      <c r="DD20" t="s">
        <v>772</v>
      </c>
      <c r="DE20" t="s">
        <v>767</v>
      </c>
      <c r="DF20" t="s">
        <v>772</v>
      </c>
    </row>
    <row r="21" spans="1:110">
      <c r="A21" s="142" t="s">
        <v>824</v>
      </c>
      <c r="B21" s="166">
        <v>41030</v>
      </c>
      <c r="C21" s="165" t="s">
        <v>763</v>
      </c>
      <c r="D21" s="167" t="s">
        <v>787</v>
      </c>
      <c r="E21" s="195" t="s">
        <v>788</v>
      </c>
      <c r="F21" s="142" t="s">
        <v>545</v>
      </c>
      <c r="G21" s="165" t="s">
        <v>825</v>
      </c>
      <c r="H21" s="143" t="s">
        <v>767</v>
      </c>
      <c r="I21" s="143">
        <v>5</v>
      </c>
      <c r="J21" s="143">
        <v>10</v>
      </c>
      <c r="K21" s="143">
        <v>11</v>
      </c>
      <c r="L21" s="143">
        <v>4</v>
      </c>
      <c r="M21" s="141">
        <v>225</v>
      </c>
      <c r="N21" s="141"/>
      <c r="O21" s="141"/>
      <c r="P21" s="168"/>
      <c r="Q21" s="168"/>
      <c r="R21" s="168"/>
      <c r="S21" s="169"/>
      <c r="T21" s="169"/>
      <c r="U21" s="170"/>
      <c r="V21" s="169"/>
      <c r="W21" s="168" t="s">
        <v>768</v>
      </c>
      <c r="X21" s="168" t="s">
        <v>767</v>
      </c>
      <c r="Y21" s="168" t="s">
        <v>767</v>
      </c>
      <c r="Z21" s="168">
        <v>999999999</v>
      </c>
      <c r="AA21" s="168"/>
      <c r="AB21" s="168"/>
      <c r="AC21" s="168"/>
      <c r="AD21" s="168"/>
      <c r="AE21" s="168"/>
      <c r="AF21" s="168"/>
      <c r="AG21" s="168"/>
      <c r="AH21" s="168"/>
      <c r="AI21" s="168"/>
      <c r="AJ21" s="168" t="s">
        <v>115</v>
      </c>
      <c r="AK21" s="168" t="s">
        <v>767</v>
      </c>
      <c r="AL21" s="143" t="s">
        <v>767</v>
      </c>
      <c r="AM21" s="143" t="s">
        <v>767</v>
      </c>
      <c r="AN21" s="170">
        <v>999999999</v>
      </c>
      <c r="AO21" s="170">
        <v>999999999</v>
      </c>
      <c r="AP21" s="170">
        <v>999999999</v>
      </c>
      <c r="AQ21" s="171"/>
      <c r="AR21" s="171"/>
      <c r="AS21" s="171"/>
      <c r="AT21" s="171">
        <v>0.12479999999999999</v>
      </c>
      <c r="AU21" s="172"/>
      <c r="AV21" s="171"/>
      <c r="AW21" s="171"/>
      <c r="AX21" s="171"/>
      <c r="AY21" s="171"/>
      <c r="AZ21" s="171"/>
      <c r="BA21" s="171"/>
      <c r="BB21" s="171"/>
      <c r="BC21" s="171"/>
      <c r="BD21" s="171"/>
      <c r="BE21" s="171"/>
      <c r="BF21" s="171"/>
      <c r="BG21" s="171"/>
      <c r="BH21" s="171"/>
      <c r="BI21" s="171"/>
      <c r="BJ21" s="171"/>
      <c r="BK21" s="171"/>
      <c r="BL21" s="171"/>
      <c r="BM21" s="171"/>
      <c r="BN21" s="171"/>
      <c r="BO21" s="171"/>
      <c r="BP21" s="171"/>
      <c r="BQ21" s="171"/>
      <c r="BY21" t="s">
        <v>767</v>
      </c>
      <c r="BZ21" t="s">
        <v>767</v>
      </c>
      <c r="CI21" t="s">
        <v>115</v>
      </c>
      <c r="CJ21">
        <v>999999999</v>
      </c>
      <c r="CK21">
        <v>999999999</v>
      </c>
      <c r="CL21">
        <v>999999999</v>
      </c>
      <c r="CM21">
        <v>999999999</v>
      </c>
      <c r="CV21" t="s">
        <v>790</v>
      </c>
      <c r="CX21" t="s">
        <v>115</v>
      </c>
      <c r="CY21" t="s">
        <v>770</v>
      </c>
      <c r="CZ21" t="s">
        <v>771</v>
      </c>
      <c r="DA21" t="s">
        <v>767</v>
      </c>
      <c r="DB21" t="s">
        <v>767</v>
      </c>
      <c r="DC21" t="s">
        <v>767</v>
      </c>
      <c r="DD21" t="s">
        <v>772</v>
      </c>
      <c r="DE21" t="s">
        <v>767</v>
      </c>
      <c r="DF21" t="s">
        <v>772</v>
      </c>
    </row>
    <row r="22" spans="1:110">
      <c r="A22" s="142" t="s">
        <v>826</v>
      </c>
      <c r="B22" s="166">
        <v>41030</v>
      </c>
      <c r="C22" s="165" t="s">
        <v>763</v>
      </c>
      <c r="D22" s="167" t="s">
        <v>787</v>
      </c>
      <c r="E22" s="195" t="s">
        <v>788</v>
      </c>
      <c r="F22" s="142" t="s">
        <v>546</v>
      </c>
      <c r="G22" s="165" t="s">
        <v>827</v>
      </c>
      <c r="H22" s="152" t="s">
        <v>767</v>
      </c>
      <c r="I22" s="152">
        <v>5</v>
      </c>
      <c r="J22" s="152">
        <v>10</v>
      </c>
      <c r="K22" s="152">
        <v>11</v>
      </c>
      <c r="L22" s="152">
        <v>4</v>
      </c>
      <c r="M22" s="196">
        <v>225</v>
      </c>
      <c r="N22" s="196"/>
      <c r="O22" s="196"/>
      <c r="P22" s="197"/>
      <c r="Q22" s="197"/>
      <c r="R22" s="197"/>
      <c r="S22" s="198"/>
      <c r="T22" s="198"/>
      <c r="U22" s="199"/>
      <c r="V22" s="198"/>
      <c r="W22" s="197" t="s">
        <v>768</v>
      </c>
      <c r="X22" s="197" t="s">
        <v>767</v>
      </c>
      <c r="Y22" s="197" t="s">
        <v>767</v>
      </c>
      <c r="Z22" s="197">
        <v>999999999</v>
      </c>
      <c r="AA22" s="197"/>
      <c r="AB22" s="197"/>
      <c r="AC22" s="197"/>
      <c r="AD22" s="197"/>
      <c r="AE22" s="197"/>
      <c r="AF22" s="197"/>
      <c r="AG22" s="197"/>
      <c r="AH22" s="197"/>
      <c r="AI22" s="197"/>
      <c r="AJ22" s="197" t="s">
        <v>115</v>
      </c>
      <c r="AK22" s="197" t="s">
        <v>767</v>
      </c>
      <c r="AL22" s="152" t="s">
        <v>767</v>
      </c>
      <c r="AM22" s="152" t="s">
        <v>767</v>
      </c>
      <c r="AN22" s="199">
        <v>999999999</v>
      </c>
      <c r="AO22" s="199">
        <v>999999999</v>
      </c>
      <c r="AP22" s="199">
        <v>999999999</v>
      </c>
      <c r="AQ22" s="144"/>
      <c r="AR22" s="144"/>
      <c r="AS22" s="144"/>
      <c r="AT22" s="144">
        <v>0.2104</v>
      </c>
      <c r="AU22" s="144"/>
      <c r="AV22" s="144"/>
      <c r="AW22" s="144"/>
      <c r="AX22" s="144"/>
      <c r="AY22" s="144"/>
      <c r="AZ22" s="144"/>
      <c r="BA22" s="144"/>
      <c r="BB22" s="144"/>
      <c r="BC22" s="144"/>
      <c r="BD22" s="144"/>
      <c r="BE22" s="144"/>
      <c r="BF22" s="144"/>
      <c r="BG22" s="144"/>
      <c r="BH22" s="144"/>
      <c r="BI22" s="144"/>
      <c r="BJ22" s="144"/>
      <c r="BK22" s="144"/>
      <c r="BL22" s="144"/>
      <c r="BM22" s="144"/>
      <c r="BN22" s="144"/>
      <c r="BO22" s="144"/>
      <c r="BP22" s="144"/>
      <c r="BQ22" s="144"/>
      <c r="BY22" t="s">
        <v>767</v>
      </c>
      <c r="BZ22" t="s">
        <v>767</v>
      </c>
      <c r="CI22" t="s">
        <v>115</v>
      </c>
      <c r="CJ22">
        <v>999999999</v>
      </c>
      <c r="CK22">
        <v>999999999</v>
      </c>
      <c r="CL22">
        <v>999999999</v>
      </c>
      <c r="CM22">
        <v>999999999</v>
      </c>
      <c r="CV22" t="s">
        <v>790</v>
      </c>
      <c r="CX22" t="s">
        <v>115</v>
      </c>
      <c r="CY22" t="s">
        <v>770</v>
      </c>
      <c r="CZ22" t="s">
        <v>771</v>
      </c>
      <c r="DA22" t="s">
        <v>767</v>
      </c>
      <c r="DB22" t="s">
        <v>767</v>
      </c>
      <c r="DC22" t="s">
        <v>767</v>
      </c>
      <c r="DD22" t="s">
        <v>772</v>
      </c>
      <c r="DE22" t="s">
        <v>767</v>
      </c>
      <c r="DF22" t="s">
        <v>772</v>
      </c>
    </row>
    <row r="23" spans="1:110">
      <c r="C23" s="142"/>
      <c r="F23" s="144"/>
      <c r="G23" s="144"/>
      <c r="H23" s="144"/>
      <c r="I23" s="152"/>
      <c r="J23" s="152"/>
      <c r="K23" s="152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86"/>
      <c r="BK23" s="86"/>
      <c r="BL23" s="86"/>
      <c r="BM23" s="86"/>
      <c r="BN23" s="86"/>
      <c r="BO23" s="86"/>
      <c r="BP23" s="86"/>
      <c r="BQ23" s="86"/>
    </row>
    <row r="24" spans="1:110">
      <c r="C24" s="142"/>
      <c r="F24" s="144"/>
      <c r="G24" s="144"/>
      <c r="H24" s="144"/>
      <c r="I24" s="152"/>
      <c r="J24" s="152"/>
      <c r="K24" s="152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86"/>
      <c r="BK24" s="86"/>
      <c r="BL24" s="86"/>
      <c r="BM24" s="86"/>
      <c r="BN24" s="86"/>
      <c r="BO24" s="86"/>
      <c r="BP24" s="86"/>
      <c r="BQ24" s="86"/>
    </row>
    <row r="25" spans="1:110">
      <c r="A25" t="str">
        <f>B25&amp;E25</f>
        <v>46082GGSVS</v>
      </c>
      <c r="B25" s="153">
        <f>'Rate Changes'!J1</f>
        <v>46082</v>
      </c>
      <c r="C25" s="165" t="s">
        <v>763</v>
      </c>
      <c r="D25" s="167" t="s">
        <v>764</v>
      </c>
      <c r="E25" s="177" t="str">
        <f t="shared" ref="E25:E41" si="14">F4</f>
        <v>GGSVS</v>
      </c>
      <c r="F25" s="167" t="s">
        <v>765</v>
      </c>
      <c r="G25" t="str">
        <f>VLOOKUP(E25,$F$2:$DF$22,2,0)</f>
        <v>Small Volume Commercial Service</v>
      </c>
      <c r="H25" s="152" t="str">
        <f t="shared" ref="H25:AM25" si="15">H4</f>
        <v>N</v>
      </c>
      <c r="I25" s="152">
        <f t="shared" si="15"/>
        <v>5</v>
      </c>
      <c r="J25" s="152">
        <f t="shared" si="15"/>
        <v>10</v>
      </c>
      <c r="K25" s="152">
        <f t="shared" si="15"/>
        <v>11</v>
      </c>
      <c r="L25" s="152">
        <f t="shared" si="15"/>
        <v>4</v>
      </c>
      <c r="M25" s="152">
        <f>VLOOKUP($A25,'Rate Changes'!$A$45:$E$63,MATCH(M$3,'Rate Changes'!$A$44:$E$44,0),0)</f>
        <v>28.32</v>
      </c>
      <c r="N25" s="152">
        <f t="shared" si="15"/>
        <v>0</v>
      </c>
      <c r="O25" s="152">
        <f t="shared" si="15"/>
        <v>0</v>
      </c>
      <c r="P25" s="152">
        <f t="shared" si="15"/>
        <v>0</v>
      </c>
      <c r="Q25" s="152">
        <f t="shared" si="15"/>
        <v>0</v>
      </c>
      <c r="R25" s="152">
        <f t="shared" si="15"/>
        <v>0</v>
      </c>
      <c r="S25" s="152">
        <f t="shared" si="15"/>
        <v>0</v>
      </c>
      <c r="T25" s="152">
        <f t="shared" si="15"/>
        <v>0</v>
      </c>
      <c r="U25" s="152">
        <f t="shared" si="15"/>
        <v>0</v>
      </c>
      <c r="V25" s="152">
        <f t="shared" si="15"/>
        <v>0</v>
      </c>
      <c r="W25" s="152" t="str">
        <f t="shared" si="15"/>
        <v>NONE</v>
      </c>
      <c r="X25" s="152" t="str">
        <f t="shared" si="15"/>
        <v>N</v>
      </c>
      <c r="Y25" s="152" t="str">
        <f t="shared" si="15"/>
        <v>N</v>
      </c>
      <c r="Z25" s="152">
        <f t="shared" si="15"/>
        <v>999999999</v>
      </c>
      <c r="AA25" s="152">
        <f t="shared" si="15"/>
        <v>0</v>
      </c>
      <c r="AB25" s="152">
        <f t="shared" si="15"/>
        <v>0</v>
      </c>
      <c r="AC25" s="152">
        <f t="shared" si="15"/>
        <v>0</v>
      </c>
      <c r="AD25" s="152">
        <f t="shared" si="15"/>
        <v>0</v>
      </c>
      <c r="AE25" s="152">
        <f t="shared" si="15"/>
        <v>0</v>
      </c>
      <c r="AF25" s="152">
        <f t="shared" si="15"/>
        <v>0</v>
      </c>
      <c r="AG25" s="152">
        <f t="shared" si="15"/>
        <v>0</v>
      </c>
      <c r="AH25" s="152">
        <f t="shared" si="15"/>
        <v>0</v>
      </c>
      <c r="AI25" s="152">
        <f t="shared" si="15"/>
        <v>0</v>
      </c>
      <c r="AJ25" s="152" t="str">
        <f t="shared" si="15"/>
        <v>N/A</v>
      </c>
      <c r="AK25" s="152" t="str">
        <f t="shared" si="15"/>
        <v>N</v>
      </c>
      <c r="AL25" s="152" t="str">
        <f t="shared" si="15"/>
        <v>N</v>
      </c>
      <c r="AM25" s="152" t="str">
        <f t="shared" si="15"/>
        <v>N</v>
      </c>
      <c r="AN25" s="152">
        <f t="shared" ref="AN25:BQ25" si="16">AN4</f>
        <v>999999999</v>
      </c>
      <c r="AO25" s="152">
        <f t="shared" si="16"/>
        <v>999999999</v>
      </c>
      <c r="AP25" s="152">
        <f t="shared" si="16"/>
        <v>999999999</v>
      </c>
      <c r="AQ25" s="152">
        <f t="shared" si="16"/>
        <v>0</v>
      </c>
      <c r="AR25" s="152">
        <f t="shared" si="16"/>
        <v>0</v>
      </c>
      <c r="AS25" s="152">
        <f t="shared" si="16"/>
        <v>0</v>
      </c>
      <c r="AT25" s="152">
        <f>VLOOKUP($A25,'Rate Changes'!$A$45:$E$63,MATCH(AT$3,'Rate Changes'!$A$44:$E$44,0),0)</f>
        <v>0.31340000000000001</v>
      </c>
      <c r="AU25" s="152">
        <f t="shared" si="16"/>
        <v>0</v>
      </c>
      <c r="AV25" s="152">
        <f t="shared" si="16"/>
        <v>0</v>
      </c>
      <c r="AW25" s="152">
        <f t="shared" si="16"/>
        <v>0</v>
      </c>
      <c r="AX25" s="152">
        <f t="shared" si="16"/>
        <v>0</v>
      </c>
      <c r="AY25" s="152">
        <f t="shared" si="16"/>
        <v>0</v>
      </c>
      <c r="AZ25" s="152">
        <f t="shared" si="16"/>
        <v>0</v>
      </c>
      <c r="BA25" s="152">
        <f t="shared" si="16"/>
        <v>0</v>
      </c>
      <c r="BB25" s="152">
        <f t="shared" si="16"/>
        <v>0</v>
      </c>
      <c r="BC25" s="152">
        <f t="shared" si="16"/>
        <v>0</v>
      </c>
      <c r="BD25" s="152">
        <f t="shared" si="16"/>
        <v>0</v>
      </c>
      <c r="BE25" s="152">
        <f t="shared" si="16"/>
        <v>0</v>
      </c>
      <c r="BF25" s="152">
        <f t="shared" si="16"/>
        <v>0</v>
      </c>
      <c r="BG25" s="152">
        <f t="shared" si="16"/>
        <v>0</v>
      </c>
      <c r="BH25" s="152">
        <f t="shared" si="16"/>
        <v>0</v>
      </c>
      <c r="BI25" s="152">
        <f t="shared" si="16"/>
        <v>0</v>
      </c>
      <c r="BJ25" s="152">
        <f t="shared" si="16"/>
        <v>0</v>
      </c>
      <c r="BK25" s="152">
        <f t="shared" si="16"/>
        <v>0</v>
      </c>
      <c r="BL25" s="152">
        <f t="shared" si="16"/>
        <v>0</v>
      </c>
      <c r="BM25" s="152">
        <f t="shared" si="16"/>
        <v>0</v>
      </c>
      <c r="BN25" s="152">
        <f t="shared" si="16"/>
        <v>0</v>
      </c>
      <c r="BO25" s="152">
        <f t="shared" si="16"/>
        <v>0</v>
      </c>
      <c r="BP25" s="152">
        <f t="shared" si="16"/>
        <v>0</v>
      </c>
      <c r="BQ25" s="152">
        <f t="shared" si="16"/>
        <v>0</v>
      </c>
      <c r="CJ25">
        <f>CJ4</f>
        <v>999999999</v>
      </c>
      <c r="CK25">
        <f t="shared" ref="CK25:DF25" si="17">CK4</f>
        <v>999999999</v>
      </c>
      <c r="CL25">
        <f t="shared" si="17"/>
        <v>999999999</v>
      </c>
      <c r="CM25">
        <f t="shared" si="17"/>
        <v>999999999</v>
      </c>
      <c r="CN25">
        <f t="shared" si="17"/>
        <v>0</v>
      </c>
      <c r="CO25">
        <f t="shared" si="17"/>
        <v>0</v>
      </c>
      <c r="CP25">
        <f t="shared" si="17"/>
        <v>0</v>
      </c>
      <c r="CQ25">
        <f t="shared" si="17"/>
        <v>0</v>
      </c>
      <c r="CR25">
        <f t="shared" si="17"/>
        <v>0</v>
      </c>
      <c r="CS25">
        <f t="shared" si="17"/>
        <v>0</v>
      </c>
      <c r="CT25">
        <f t="shared" si="17"/>
        <v>0</v>
      </c>
      <c r="CU25">
        <f t="shared" si="17"/>
        <v>0</v>
      </c>
      <c r="CV25" t="str">
        <f t="shared" si="17"/>
        <v>COM</v>
      </c>
      <c r="CW25" t="str">
        <f>CY25</f>
        <v>NONRES</v>
      </c>
      <c r="CX25" t="str">
        <f t="shared" si="17"/>
        <v>N/A</v>
      </c>
      <c r="CY25" t="str">
        <f t="shared" si="17"/>
        <v>NONRES</v>
      </c>
      <c r="CZ25" t="str">
        <f t="shared" si="17"/>
        <v>FULL</v>
      </c>
      <c r="DA25" t="str">
        <f t="shared" si="17"/>
        <v>N</v>
      </c>
      <c r="DB25" t="str">
        <f t="shared" si="17"/>
        <v>N</v>
      </c>
      <c r="DC25" t="str">
        <f t="shared" si="17"/>
        <v>Y</v>
      </c>
      <c r="DD25" t="str">
        <f t="shared" si="17"/>
        <v>N</v>
      </c>
      <c r="DE25" t="str">
        <f t="shared" si="17"/>
        <v>N</v>
      </c>
      <c r="DF25" t="str">
        <f t="shared" si="17"/>
        <v>Y</v>
      </c>
    </row>
    <row r="26" spans="1:110">
      <c r="A26" t="str">
        <f t="shared" ref="A26:A41" si="18">B26&amp;E26</f>
        <v>46082GGLVS</v>
      </c>
      <c r="B26" s="153">
        <f t="shared" ref="B26:B43" si="19">$B$25</f>
        <v>46082</v>
      </c>
      <c r="C26" s="165" t="s">
        <v>763</v>
      </c>
      <c r="D26" s="167" t="s">
        <v>764</v>
      </c>
      <c r="E26" s="177" t="str">
        <f t="shared" si="14"/>
        <v>GGLVS</v>
      </c>
      <c r="F26" s="167" t="s">
        <v>774</v>
      </c>
      <c r="G26" t="str">
        <f t="shared" ref="G26:G43" si="20">VLOOKUP(E26,$F$2:$DF$22,2,0)</f>
        <v>Large Volume Commercial Service</v>
      </c>
      <c r="H26" s="152" t="str">
        <f t="shared" ref="H26:AM26" si="21">H5</f>
        <v>N</v>
      </c>
      <c r="I26" s="152">
        <f t="shared" si="21"/>
        <v>5</v>
      </c>
      <c r="J26" s="152">
        <f t="shared" si="21"/>
        <v>10</v>
      </c>
      <c r="K26" s="152">
        <f t="shared" si="21"/>
        <v>11</v>
      </c>
      <c r="L26" s="152">
        <f t="shared" si="21"/>
        <v>4</v>
      </c>
      <c r="M26" s="152">
        <f>VLOOKUP($A26,'Rate Changes'!$A$45:$E$63,MATCH(M$3,'Rate Changes'!$A$44:$E$44,0),0)</f>
        <v>285.73</v>
      </c>
      <c r="N26" s="152">
        <f t="shared" si="21"/>
        <v>0</v>
      </c>
      <c r="O26" s="152">
        <f t="shared" si="21"/>
        <v>0</v>
      </c>
      <c r="P26" s="152">
        <f t="shared" si="21"/>
        <v>0</v>
      </c>
      <c r="Q26" s="152">
        <f t="shared" si="21"/>
        <v>0</v>
      </c>
      <c r="R26" s="152">
        <f t="shared" si="21"/>
        <v>0</v>
      </c>
      <c r="S26" s="152">
        <f t="shared" si="21"/>
        <v>0</v>
      </c>
      <c r="T26" s="152">
        <f t="shared" si="21"/>
        <v>0</v>
      </c>
      <c r="U26" s="152">
        <f t="shared" si="21"/>
        <v>0</v>
      </c>
      <c r="V26" s="152">
        <f t="shared" si="21"/>
        <v>0</v>
      </c>
      <c r="W26" s="152" t="str">
        <f t="shared" si="21"/>
        <v>NONE</v>
      </c>
      <c r="X26" s="152" t="str">
        <f t="shared" si="21"/>
        <v>N</v>
      </c>
      <c r="Y26" s="152" t="str">
        <f t="shared" si="21"/>
        <v>N</v>
      </c>
      <c r="Z26" s="152">
        <f t="shared" si="21"/>
        <v>999999999</v>
      </c>
      <c r="AA26" s="152">
        <f t="shared" si="21"/>
        <v>0</v>
      </c>
      <c r="AB26" s="152">
        <f t="shared" si="21"/>
        <v>0</v>
      </c>
      <c r="AC26" s="152">
        <f t="shared" si="21"/>
        <v>0</v>
      </c>
      <c r="AD26" s="152">
        <f t="shared" si="21"/>
        <v>0</v>
      </c>
      <c r="AE26" s="152">
        <f t="shared" si="21"/>
        <v>0</v>
      </c>
      <c r="AF26" s="152">
        <f t="shared" si="21"/>
        <v>0</v>
      </c>
      <c r="AG26" s="152">
        <f t="shared" si="21"/>
        <v>0</v>
      </c>
      <c r="AH26" s="152">
        <f t="shared" si="21"/>
        <v>0</v>
      </c>
      <c r="AI26" s="152">
        <f t="shared" si="21"/>
        <v>0</v>
      </c>
      <c r="AJ26" s="152" t="str">
        <f t="shared" si="21"/>
        <v>N/A</v>
      </c>
      <c r="AK26" s="152" t="str">
        <f t="shared" si="21"/>
        <v>N</v>
      </c>
      <c r="AL26" s="152" t="str">
        <f t="shared" si="21"/>
        <v>N</v>
      </c>
      <c r="AM26" s="152" t="str">
        <f t="shared" si="21"/>
        <v>N</v>
      </c>
      <c r="AN26" s="152">
        <f t="shared" ref="AN26:BQ26" si="22">AN5</f>
        <v>999999999</v>
      </c>
      <c r="AO26" s="152">
        <f t="shared" si="22"/>
        <v>999999999</v>
      </c>
      <c r="AP26" s="152">
        <f t="shared" si="22"/>
        <v>999999999</v>
      </c>
      <c r="AQ26" s="152">
        <f t="shared" si="22"/>
        <v>0</v>
      </c>
      <c r="AR26" s="152">
        <f t="shared" si="22"/>
        <v>0</v>
      </c>
      <c r="AS26" s="152">
        <f t="shared" si="22"/>
        <v>0</v>
      </c>
      <c r="AT26" s="152">
        <f>VLOOKUP($A26,'Rate Changes'!$A$45:$E$63,MATCH(AT$3,'Rate Changes'!$A$44:$E$44,0),0)</f>
        <v>0.16200000000000001</v>
      </c>
      <c r="AU26" s="152">
        <f t="shared" si="22"/>
        <v>0</v>
      </c>
      <c r="AV26" s="152">
        <f t="shared" si="22"/>
        <v>0</v>
      </c>
      <c r="AW26" s="152">
        <f t="shared" si="22"/>
        <v>0</v>
      </c>
      <c r="AX26" s="152">
        <f t="shared" si="22"/>
        <v>0</v>
      </c>
      <c r="AY26" s="152">
        <f t="shared" si="22"/>
        <v>0</v>
      </c>
      <c r="AZ26" s="152">
        <f t="shared" si="22"/>
        <v>0</v>
      </c>
      <c r="BA26" s="152">
        <f t="shared" si="22"/>
        <v>0</v>
      </c>
      <c r="BB26" s="152">
        <f t="shared" si="22"/>
        <v>0</v>
      </c>
      <c r="BC26" s="152">
        <f t="shared" si="22"/>
        <v>0</v>
      </c>
      <c r="BD26" s="152">
        <f t="shared" si="22"/>
        <v>0</v>
      </c>
      <c r="BE26" s="152">
        <f t="shared" si="22"/>
        <v>0</v>
      </c>
      <c r="BF26" s="152">
        <f t="shared" si="22"/>
        <v>0</v>
      </c>
      <c r="BG26" s="152">
        <f t="shared" si="22"/>
        <v>0</v>
      </c>
      <c r="BH26" s="152">
        <f t="shared" si="22"/>
        <v>0</v>
      </c>
      <c r="BI26" s="152">
        <f t="shared" si="22"/>
        <v>0</v>
      </c>
      <c r="BJ26" s="152">
        <f t="shared" si="22"/>
        <v>0</v>
      </c>
      <c r="BK26" s="152">
        <f t="shared" si="22"/>
        <v>0</v>
      </c>
      <c r="BL26" s="152">
        <f t="shared" si="22"/>
        <v>0</v>
      </c>
      <c r="BM26" s="152">
        <f t="shared" si="22"/>
        <v>0</v>
      </c>
      <c r="BN26" s="152">
        <f t="shared" si="22"/>
        <v>0</v>
      </c>
      <c r="BO26" s="152">
        <f t="shared" si="22"/>
        <v>0</v>
      </c>
      <c r="BP26" s="152">
        <f t="shared" si="22"/>
        <v>0</v>
      </c>
      <c r="BQ26" s="152">
        <f t="shared" si="22"/>
        <v>0</v>
      </c>
      <c r="CJ26">
        <f t="shared" ref="CJ26:DF26" si="23">CJ5</f>
        <v>999999999</v>
      </c>
      <c r="CK26">
        <f t="shared" si="23"/>
        <v>999999999</v>
      </c>
      <c r="CL26">
        <f t="shared" si="23"/>
        <v>999999999</v>
      </c>
      <c r="CM26">
        <f t="shared" si="23"/>
        <v>999999999</v>
      </c>
      <c r="CN26">
        <f t="shared" si="23"/>
        <v>0</v>
      </c>
      <c r="CO26">
        <f t="shared" si="23"/>
        <v>0</v>
      </c>
      <c r="CP26">
        <f t="shared" si="23"/>
        <v>0</v>
      </c>
      <c r="CQ26">
        <f t="shared" si="23"/>
        <v>0</v>
      </c>
      <c r="CR26">
        <f t="shared" si="23"/>
        <v>0</v>
      </c>
      <c r="CS26">
        <f t="shared" si="23"/>
        <v>0</v>
      </c>
      <c r="CT26">
        <f t="shared" si="23"/>
        <v>0</v>
      </c>
      <c r="CU26">
        <f t="shared" si="23"/>
        <v>0</v>
      </c>
      <c r="CV26" t="str">
        <f t="shared" si="23"/>
        <v>COM</v>
      </c>
      <c r="CW26" t="str">
        <f t="shared" ref="CW26:CW43" si="24">CY26</f>
        <v>NONRES</v>
      </c>
      <c r="CX26" t="str">
        <f t="shared" si="23"/>
        <v>N/A</v>
      </c>
      <c r="CY26" t="str">
        <f t="shared" si="23"/>
        <v>NONRES</v>
      </c>
      <c r="CZ26" t="str">
        <f t="shared" si="23"/>
        <v>FULL</v>
      </c>
      <c r="DA26" t="str">
        <f t="shared" si="23"/>
        <v>N</v>
      </c>
      <c r="DB26" t="str">
        <f t="shared" si="23"/>
        <v>N</v>
      </c>
      <c r="DC26" t="str">
        <f t="shared" si="23"/>
        <v>N</v>
      </c>
      <c r="DD26" t="str">
        <f t="shared" si="23"/>
        <v>N</v>
      </c>
      <c r="DE26" t="str">
        <f t="shared" si="23"/>
        <v>N</v>
      </c>
      <c r="DF26" t="str">
        <f t="shared" si="23"/>
        <v>Y</v>
      </c>
    </row>
    <row r="27" spans="1:110">
      <c r="A27" t="str">
        <f t="shared" si="18"/>
        <v>46082GPCNGSV</v>
      </c>
      <c r="B27" s="153">
        <f t="shared" si="19"/>
        <v>46082</v>
      </c>
      <c r="C27" s="165" t="s">
        <v>763</v>
      </c>
      <c r="D27" s="167" t="s">
        <v>764</v>
      </c>
      <c r="E27" s="177" t="str">
        <f t="shared" si="14"/>
        <v>GPCNGSV</v>
      </c>
      <c r="F27" s="167" t="s">
        <v>777</v>
      </c>
      <c r="G27" t="str">
        <f t="shared" si="20"/>
        <v>Compressed Natural Gas-Public Auth</v>
      </c>
      <c r="H27" s="152" t="str">
        <f t="shared" ref="H27:AM27" si="25">H6</f>
        <v>N</v>
      </c>
      <c r="I27" s="152">
        <f t="shared" si="25"/>
        <v>5</v>
      </c>
      <c r="J27" s="152">
        <f t="shared" si="25"/>
        <v>10</v>
      </c>
      <c r="K27" s="152">
        <f t="shared" si="25"/>
        <v>11</v>
      </c>
      <c r="L27" s="152">
        <f t="shared" si="25"/>
        <v>4</v>
      </c>
      <c r="M27" s="152">
        <f>VLOOKUP($A27,'Rate Changes'!$A$45:$E$63,MATCH(M$3,'Rate Changes'!$A$44:$E$44,0),0)</f>
        <v>28.32</v>
      </c>
      <c r="N27" s="152">
        <f t="shared" si="25"/>
        <v>0</v>
      </c>
      <c r="O27" s="152">
        <f t="shared" si="25"/>
        <v>0</v>
      </c>
      <c r="P27" s="152">
        <f t="shared" si="25"/>
        <v>0</v>
      </c>
      <c r="Q27" s="152">
        <f t="shared" si="25"/>
        <v>0</v>
      </c>
      <c r="R27" s="152">
        <f t="shared" si="25"/>
        <v>0</v>
      </c>
      <c r="S27" s="152">
        <f t="shared" si="25"/>
        <v>0</v>
      </c>
      <c r="T27" s="152">
        <f t="shared" si="25"/>
        <v>0</v>
      </c>
      <c r="U27" s="152">
        <f t="shared" si="25"/>
        <v>0</v>
      </c>
      <c r="V27" s="152">
        <f t="shared" si="25"/>
        <v>0</v>
      </c>
      <c r="W27" s="152" t="str">
        <f t="shared" si="25"/>
        <v>NONE</v>
      </c>
      <c r="X27" s="152" t="str">
        <f t="shared" si="25"/>
        <v>N</v>
      </c>
      <c r="Y27" s="152" t="str">
        <f t="shared" si="25"/>
        <v>N</v>
      </c>
      <c r="Z27" s="152">
        <f t="shared" si="25"/>
        <v>999999999</v>
      </c>
      <c r="AA27" s="152">
        <f t="shared" si="25"/>
        <v>0</v>
      </c>
      <c r="AB27" s="152">
        <f t="shared" si="25"/>
        <v>0</v>
      </c>
      <c r="AC27" s="152">
        <f t="shared" si="25"/>
        <v>0</v>
      </c>
      <c r="AD27" s="152">
        <f t="shared" si="25"/>
        <v>0</v>
      </c>
      <c r="AE27" s="152">
        <f t="shared" si="25"/>
        <v>0</v>
      </c>
      <c r="AF27" s="152">
        <f t="shared" si="25"/>
        <v>0</v>
      </c>
      <c r="AG27" s="152">
        <f t="shared" si="25"/>
        <v>0</v>
      </c>
      <c r="AH27" s="152">
        <f t="shared" si="25"/>
        <v>0</v>
      </c>
      <c r="AI27" s="152">
        <f t="shared" si="25"/>
        <v>0</v>
      </c>
      <c r="AJ27" s="152" t="str">
        <f t="shared" si="25"/>
        <v>N/A</v>
      </c>
      <c r="AK27" s="152" t="str">
        <f t="shared" si="25"/>
        <v>N</v>
      </c>
      <c r="AL27" s="152" t="str">
        <f t="shared" si="25"/>
        <v>N</v>
      </c>
      <c r="AM27" s="152" t="str">
        <f t="shared" si="25"/>
        <v>N</v>
      </c>
      <c r="AN27" s="152">
        <f t="shared" ref="AN27:BQ27" si="26">AN6</f>
        <v>999999999</v>
      </c>
      <c r="AO27" s="152">
        <f t="shared" si="26"/>
        <v>999999999</v>
      </c>
      <c r="AP27" s="152">
        <f t="shared" si="26"/>
        <v>999999999</v>
      </c>
      <c r="AQ27" s="152">
        <f t="shared" si="26"/>
        <v>0</v>
      </c>
      <c r="AR27" s="152">
        <f t="shared" si="26"/>
        <v>0</v>
      </c>
      <c r="AS27" s="152">
        <f t="shared" si="26"/>
        <v>0</v>
      </c>
      <c r="AT27" s="152">
        <f>VLOOKUP($A27,'Rate Changes'!$A$45:$E$63,MATCH(AT$3,'Rate Changes'!$A$44:$E$44,0),0)</f>
        <v>0.31340000000000001</v>
      </c>
      <c r="AU27" s="152">
        <f t="shared" si="26"/>
        <v>0</v>
      </c>
      <c r="AV27" s="152">
        <f t="shared" si="26"/>
        <v>0</v>
      </c>
      <c r="AW27" s="152">
        <f t="shared" si="26"/>
        <v>0</v>
      </c>
      <c r="AX27" s="152">
        <f t="shared" si="26"/>
        <v>0</v>
      </c>
      <c r="AY27" s="152">
        <f t="shared" si="26"/>
        <v>0</v>
      </c>
      <c r="AZ27" s="152">
        <f t="shared" si="26"/>
        <v>0</v>
      </c>
      <c r="BA27" s="152">
        <f t="shared" si="26"/>
        <v>0</v>
      </c>
      <c r="BB27" s="152">
        <f t="shared" si="26"/>
        <v>0</v>
      </c>
      <c r="BC27" s="152">
        <f t="shared" si="26"/>
        <v>0</v>
      </c>
      <c r="BD27" s="152">
        <f t="shared" si="26"/>
        <v>0</v>
      </c>
      <c r="BE27" s="152">
        <f t="shared" si="26"/>
        <v>0</v>
      </c>
      <c r="BF27" s="152">
        <f t="shared" si="26"/>
        <v>0</v>
      </c>
      <c r="BG27" s="152">
        <f t="shared" si="26"/>
        <v>0</v>
      </c>
      <c r="BH27" s="152">
        <f t="shared" si="26"/>
        <v>0</v>
      </c>
      <c r="BI27" s="152">
        <f t="shared" si="26"/>
        <v>0</v>
      </c>
      <c r="BJ27" s="152">
        <f t="shared" si="26"/>
        <v>0</v>
      </c>
      <c r="BK27" s="152">
        <f t="shared" si="26"/>
        <v>0</v>
      </c>
      <c r="BL27" s="152">
        <f t="shared" si="26"/>
        <v>0</v>
      </c>
      <c r="BM27" s="152">
        <f t="shared" si="26"/>
        <v>0</v>
      </c>
      <c r="BN27" s="152">
        <f t="shared" si="26"/>
        <v>0</v>
      </c>
      <c r="BO27" s="152">
        <f t="shared" si="26"/>
        <v>0</v>
      </c>
      <c r="BP27" s="152">
        <f t="shared" si="26"/>
        <v>0</v>
      </c>
      <c r="BQ27" s="152">
        <f t="shared" si="26"/>
        <v>0</v>
      </c>
      <c r="CJ27">
        <f t="shared" ref="CJ27:DF27" si="27">CJ6</f>
        <v>999999999</v>
      </c>
      <c r="CK27">
        <f t="shared" si="27"/>
        <v>999999999</v>
      </c>
      <c r="CL27">
        <f t="shared" si="27"/>
        <v>999999999</v>
      </c>
      <c r="CM27">
        <f t="shared" si="27"/>
        <v>999999999</v>
      </c>
      <c r="CN27">
        <f t="shared" si="27"/>
        <v>0</v>
      </c>
      <c r="CO27">
        <f t="shared" si="27"/>
        <v>0</v>
      </c>
      <c r="CP27">
        <f t="shared" si="27"/>
        <v>0</v>
      </c>
      <c r="CQ27">
        <f t="shared" si="27"/>
        <v>0</v>
      </c>
      <c r="CR27">
        <f t="shared" si="27"/>
        <v>0</v>
      </c>
      <c r="CS27">
        <f t="shared" si="27"/>
        <v>0</v>
      </c>
      <c r="CT27">
        <f t="shared" si="27"/>
        <v>0</v>
      </c>
      <c r="CU27">
        <f t="shared" si="27"/>
        <v>0</v>
      </c>
      <c r="CV27" t="str">
        <f t="shared" si="27"/>
        <v>COM</v>
      </c>
      <c r="CW27" t="str">
        <f t="shared" si="24"/>
        <v>NONRES</v>
      </c>
      <c r="CX27" t="str">
        <f t="shared" si="27"/>
        <v>N/A</v>
      </c>
      <c r="CY27" t="str">
        <f t="shared" si="27"/>
        <v>NONRES</v>
      </c>
      <c r="CZ27" t="str">
        <f t="shared" si="27"/>
        <v>FULL</v>
      </c>
      <c r="DA27" t="str">
        <f t="shared" si="27"/>
        <v>N</v>
      </c>
      <c r="DB27" t="str">
        <f t="shared" si="27"/>
        <v>N</v>
      </c>
      <c r="DC27" t="str">
        <f t="shared" si="27"/>
        <v>N</v>
      </c>
      <c r="DD27" t="str">
        <f t="shared" si="27"/>
        <v>N</v>
      </c>
      <c r="DE27" t="str">
        <f t="shared" si="27"/>
        <v>Y</v>
      </c>
      <c r="DF27" t="str">
        <f t="shared" si="27"/>
        <v>Y</v>
      </c>
    </row>
    <row r="28" spans="1:110">
      <c r="A28" t="str">
        <f t="shared" si="18"/>
        <v>46082GRCNG</v>
      </c>
      <c r="B28" s="153">
        <f t="shared" si="19"/>
        <v>46082</v>
      </c>
      <c r="C28" s="165" t="s">
        <v>763</v>
      </c>
      <c r="D28" s="167" t="s">
        <v>780</v>
      </c>
      <c r="E28" s="177" t="str">
        <f t="shared" si="14"/>
        <v>GRCNG</v>
      </c>
      <c r="F28" s="167" t="s">
        <v>777</v>
      </c>
      <c r="G28" t="str">
        <f t="shared" si="20"/>
        <v>Compressed Natural Gas-Residential Service</v>
      </c>
      <c r="H28" s="152" t="str">
        <f t="shared" ref="H28:AM28" si="28">H7</f>
        <v>N</v>
      </c>
      <c r="I28" s="152">
        <f t="shared" si="28"/>
        <v>5</v>
      </c>
      <c r="J28" s="152">
        <f t="shared" si="28"/>
        <v>10</v>
      </c>
      <c r="K28" s="152">
        <f t="shared" si="28"/>
        <v>11</v>
      </c>
      <c r="L28" s="152">
        <f t="shared" si="28"/>
        <v>4</v>
      </c>
      <c r="M28" s="152">
        <f>VLOOKUP($A28,'Rate Changes'!$A$45:$E$63,MATCH(M$3,'Rate Changes'!$A$44:$E$44,0),0)</f>
        <v>11.94</v>
      </c>
      <c r="N28" s="152">
        <f t="shared" si="28"/>
        <v>0</v>
      </c>
      <c r="O28" s="152">
        <f t="shared" si="28"/>
        <v>0</v>
      </c>
      <c r="P28" s="152">
        <f t="shared" si="28"/>
        <v>0</v>
      </c>
      <c r="Q28" s="152">
        <f t="shared" si="28"/>
        <v>0</v>
      </c>
      <c r="R28" s="152">
        <f t="shared" si="28"/>
        <v>0</v>
      </c>
      <c r="S28" s="152">
        <f t="shared" si="28"/>
        <v>0</v>
      </c>
      <c r="T28" s="152">
        <f t="shared" si="28"/>
        <v>0</v>
      </c>
      <c r="U28" s="152">
        <f t="shared" si="28"/>
        <v>0</v>
      </c>
      <c r="V28" s="152">
        <f t="shared" si="28"/>
        <v>0</v>
      </c>
      <c r="W28" s="152" t="str">
        <f t="shared" si="28"/>
        <v>NONE</v>
      </c>
      <c r="X28" s="152" t="str">
        <f t="shared" si="28"/>
        <v>N</v>
      </c>
      <c r="Y28" s="152" t="str">
        <f t="shared" si="28"/>
        <v>N</v>
      </c>
      <c r="Z28" s="152">
        <f t="shared" si="28"/>
        <v>999999999</v>
      </c>
      <c r="AA28" s="152">
        <f t="shared" si="28"/>
        <v>0</v>
      </c>
      <c r="AB28" s="152">
        <f t="shared" si="28"/>
        <v>0</v>
      </c>
      <c r="AC28" s="152">
        <f t="shared" si="28"/>
        <v>0</v>
      </c>
      <c r="AD28" s="152">
        <f t="shared" si="28"/>
        <v>0</v>
      </c>
      <c r="AE28" s="152">
        <f t="shared" si="28"/>
        <v>0</v>
      </c>
      <c r="AF28" s="152">
        <f t="shared" si="28"/>
        <v>0</v>
      </c>
      <c r="AG28" s="152">
        <f t="shared" si="28"/>
        <v>0</v>
      </c>
      <c r="AH28" s="152">
        <f t="shared" si="28"/>
        <v>0</v>
      </c>
      <c r="AI28" s="152">
        <f t="shared" si="28"/>
        <v>0</v>
      </c>
      <c r="AJ28" s="152" t="str">
        <f t="shared" si="28"/>
        <v>N/A</v>
      </c>
      <c r="AK28" s="152" t="str">
        <f t="shared" si="28"/>
        <v>N</v>
      </c>
      <c r="AL28" s="152" t="str">
        <f t="shared" si="28"/>
        <v>N</v>
      </c>
      <c r="AM28" s="152" t="str">
        <f t="shared" si="28"/>
        <v>N</v>
      </c>
      <c r="AN28" s="152">
        <f t="shared" ref="AN28:BQ28" si="29">AN7</f>
        <v>999999999</v>
      </c>
      <c r="AO28" s="152">
        <f t="shared" si="29"/>
        <v>999999999</v>
      </c>
      <c r="AP28" s="152">
        <f t="shared" si="29"/>
        <v>999999999</v>
      </c>
      <c r="AQ28" s="152">
        <f t="shared" si="29"/>
        <v>0</v>
      </c>
      <c r="AR28" s="152">
        <f t="shared" si="29"/>
        <v>0</v>
      </c>
      <c r="AS28" s="152">
        <f t="shared" si="29"/>
        <v>0</v>
      </c>
      <c r="AT28" s="152">
        <f>VLOOKUP($A28,'Rate Changes'!$A$45:$E$63,MATCH(AT$3,'Rate Changes'!$A$44:$E$44,0),0)</f>
        <v>0.38009999999999999</v>
      </c>
      <c r="AU28" s="152">
        <f t="shared" si="29"/>
        <v>0</v>
      </c>
      <c r="AV28" s="152">
        <f t="shared" si="29"/>
        <v>0</v>
      </c>
      <c r="AW28" s="152">
        <f t="shared" si="29"/>
        <v>0</v>
      </c>
      <c r="AX28" s="152">
        <f t="shared" si="29"/>
        <v>0</v>
      </c>
      <c r="AY28" s="152">
        <f t="shared" si="29"/>
        <v>0</v>
      </c>
      <c r="AZ28" s="152">
        <f t="shared" si="29"/>
        <v>0</v>
      </c>
      <c r="BA28" s="152">
        <f t="shared" si="29"/>
        <v>0</v>
      </c>
      <c r="BB28" s="152">
        <f t="shared" si="29"/>
        <v>0</v>
      </c>
      <c r="BC28" s="152">
        <f t="shared" si="29"/>
        <v>0</v>
      </c>
      <c r="BD28" s="152">
        <f t="shared" si="29"/>
        <v>0</v>
      </c>
      <c r="BE28" s="152">
        <f t="shared" si="29"/>
        <v>0</v>
      </c>
      <c r="BF28" s="152">
        <f t="shared" si="29"/>
        <v>0</v>
      </c>
      <c r="BG28" s="152">
        <f t="shared" si="29"/>
        <v>0</v>
      </c>
      <c r="BH28" s="152">
        <f t="shared" si="29"/>
        <v>0</v>
      </c>
      <c r="BI28" s="152">
        <f t="shared" si="29"/>
        <v>0</v>
      </c>
      <c r="BJ28" s="152">
        <f t="shared" si="29"/>
        <v>0</v>
      </c>
      <c r="BK28" s="152">
        <f t="shared" si="29"/>
        <v>0</v>
      </c>
      <c r="BL28" s="152">
        <f t="shared" si="29"/>
        <v>0</v>
      </c>
      <c r="BM28" s="152">
        <f t="shared" si="29"/>
        <v>0</v>
      </c>
      <c r="BN28" s="152">
        <f t="shared" si="29"/>
        <v>0</v>
      </c>
      <c r="BO28" s="152">
        <f t="shared" si="29"/>
        <v>0</v>
      </c>
      <c r="BP28" s="152">
        <f t="shared" si="29"/>
        <v>0</v>
      </c>
      <c r="BQ28" s="152">
        <f t="shared" si="29"/>
        <v>0</v>
      </c>
      <c r="CJ28">
        <f t="shared" ref="CJ28:DF28" si="30">CJ7</f>
        <v>999999999</v>
      </c>
      <c r="CK28">
        <f t="shared" si="30"/>
        <v>999999999</v>
      </c>
      <c r="CL28">
        <f t="shared" si="30"/>
        <v>999999999</v>
      </c>
      <c r="CM28">
        <f t="shared" si="30"/>
        <v>999999999</v>
      </c>
      <c r="CN28">
        <f t="shared" si="30"/>
        <v>0</v>
      </c>
      <c r="CO28">
        <f t="shared" si="30"/>
        <v>0</v>
      </c>
      <c r="CP28">
        <f t="shared" si="30"/>
        <v>0</v>
      </c>
      <c r="CQ28">
        <f t="shared" si="30"/>
        <v>0</v>
      </c>
      <c r="CR28">
        <f t="shared" si="30"/>
        <v>0</v>
      </c>
      <c r="CS28">
        <f t="shared" si="30"/>
        <v>0</v>
      </c>
      <c r="CT28">
        <f t="shared" si="30"/>
        <v>0</v>
      </c>
      <c r="CU28">
        <f t="shared" si="30"/>
        <v>0</v>
      </c>
      <c r="CV28" t="str">
        <f t="shared" si="30"/>
        <v>RES</v>
      </c>
      <c r="CW28" t="str">
        <f t="shared" si="24"/>
        <v>RES</v>
      </c>
      <c r="CX28" t="str">
        <f t="shared" si="30"/>
        <v>N/A</v>
      </c>
      <c r="CY28" t="str">
        <f t="shared" si="30"/>
        <v>RES</v>
      </c>
      <c r="CZ28" t="str">
        <f t="shared" si="30"/>
        <v>FULL</v>
      </c>
      <c r="DA28" t="str">
        <f t="shared" si="30"/>
        <v>Y</v>
      </c>
      <c r="DB28" t="str">
        <f t="shared" si="30"/>
        <v>N</v>
      </c>
      <c r="DC28" t="str">
        <f t="shared" si="30"/>
        <v>N</v>
      </c>
      <c r="DD28" t="str">
        <f t="shared" si="30"/>
        <v>N</v>
      </c>
      <c r="DE28" t="str">
        <f t="shared" si="30"/>
        <v>Y</v>
      </c>
      <c r="DF28" t="str">
        <f t="shared" si="30"/>
        <v>Y</v>
      </c>
    </row>
    <row r="29" spans="1:110">
      <c r="A29" t="str">
        <f t="shared" si="18"/>
        <v>46082GCNGLVS</v>
      </c>
      <c r="B29" s="153">
        <f t="shared" si="19"/>
        <v>46082</v>
      </c>
      <c r="C29" s="165" t="s">
        <v>763</v>
      </c>
      <c r="D29" s="167" t="s">
        <v>780</v>
      </c>
      <c r="E29" s="177" t="str">
        <f t="shared" si="14"/>
        <v>GCNGLVS</v>
      </c>
      <c r="F29" s="167" t="s">
        <v>777</v>
      </c>
      <c r="G29" t="str">
        <f t="shared" si="20"/>
        <v>Compressed Natural Gas-Large Volume Service</v>
      </c>
      <c r="H29" s="152" t="str">
        <f t="shared" ref="H29:AM29" si="31">H8</f>
        <v>N</v>
      </c>
      <c r="I29" s="152">
        <f t="shared" si="31"/>
        <v>5</v>
      </c>
      <c r="J29" s="152">
        <f t="shared" si="31"/>
        <v>10</v>
      </c>
      <c r="K29" s="152">
        <f t="shared" si="31"/>
        <v>11</v>
      </c>
      <c r="L29" s="152">
        <f t="shared" si="31"/>
        <v>4</v>
      </c>
      <c r="M29" s="152">
        <f>VLOOKUP($A29,'Rate Changes'!$A$45:$E$63,MATCH(M$3,'Rate Changes'!$A$44:$E$44,0),0)</f>
        <v>285.73</v>
      </c>
      <c r="N29" s="152">
        <f t="shared" si="31"/>
        <v>0</v>
      </c>
      <c r="O29" s="152">
        <f t="shared" si="31"/>
        <v>0</v>
      </c>
      <c r="P29" s="152">
        <f t="shared" si="31"/>
        <v>0</v>
      </c>
      <c r="Q29" s="152">
        <f t="shared" si="31"/>
        <v>0</v>
      </c>
      <c r="R29" s="152">
        <f t="shared" si="31"/>
        <v>0</v>
      </c>
      <c r="S29" s="152">
        <f t="shared" si="31"/>
        <v>0</v>
      </c>
      <c r="T29" s="152">
        <f t="shared" si="31"/>
        <v>0</v>
      </c>
      <c r="U29" s="152">
        <f t="shared" si="31"/>
        <v>0</v>
      </c>
      <c r="V29" s="152">
        <f t="shared" si="31"/>
        <v>0</v>
      </c>
      <c r="W29" s="152" t="str">
        <f t="shared" si="31"/>
        <v>NONE</v>
      </c>
      <c r="X29" s="152" t="str">
        <f t="shared" si="31"/>
        <v>N</v>
      </c>
      <c r="Y29" s="152" t="str">
        <f t="shared" si="31"/>
        <v>N</v>
      </c>
      <c r="Z29" s="152">
        <f t="shared" si="31"/>
        <v>999999999</v>
      </c>
      <c r="AA29" s="152">
        <f t="shared" si="31"/>
        <v>0</v>
      </c>
      <c r="AB29" s="152">
        <f t="shared" si="31"/>
        <v>0</v>
      </c>
      <c r="AC29" s="152">
        <f t="shared" si="31"/>
        <v>0</v>
      </c>
      <c r="AD29" s="152">
        <f t="shared" si="31"/>
        <v>0</v>
      </c>
      <c r="AE29" s="152">
        <f t="shared" si="31"/>
        <v>0</v>
      </c>
      <c r="AF29" s="152">
        <f t="shared" si="31"/>
        <v>0</v>
      </c>
      <c r="AG29" s="152">
        <f t="shared" si="31"/>
        <v>0</v>
      </c>
      <c r="AH29" s="152">
        <f t="shared" si="31"/>
        <v>0</v>
      </c>
      <c r="AI29" s="152">
        <f t="shared" si="31"/>
        <v>0</v>
      </c>
      <c r="AJ29" s="152" t="str">
        <f t="shared" si="31"/>
        <v>N/A</v>
      </c>
      <c r="AK29" s="152" t="str">
        <f t="shared" si="31"/>
        <v>N</v>
      </c>
      <c r="AL29" s="152" t="str">
        <f t="shared" si="31"/>
        <v>N</v>
      </c>
      <c r="AM29" s="152" t="str">
        <f t="shared" si="31"/>
        <v>N</v>
      </c>
      <c r="AN29" s="152">
        <f t="shared" ref="AN29:BQ29" si="32">AN8</f>
        <v>999999999</v>
      </c>
      <c r="AO29" s="152">
        <f t="shared" si="32"/>
        <v>999999999</v>
      </c>
      <c r="AP29" s="152">
        <f t="shared" si="32"/>
        <v>999999999</v>
      </c>
      <c r="AQ29" s="152">
        <f t="shared" si="32"/>
        <v>0</v>
      </c>
      <c r="AR29" s="152">
        <f t="shared" si="32"/>
        <v>0</v>
      </c>
      <c r="AS29" s="152">
        <f t="shared" si="32"/>
        <v>0</v>
      </c>
      <c r="AT29" s="152">
        <f>VLOOKUP($A29,'Rate Changes'!$A$45:$E$63,MATCH(AT$3,'Rate Changes'!$A$44:$E$44,0),0)</f>
        <v>0.16200000000000001</v>
      </c>
      <c r="AU29" s="152">
        <f t="shared" si="32"/>
        <v>0</v>
      </c>
      <c r="AV29" s="152">
        <f t="shared" si="32"/>
        <v>0</v>
      </c>
      <c r="AW29" s="152">
        <f t="shared" si="32"/>
        <v>0</v>
      </c>
      <c r="AX29" s="152">
        <f t="shared" si="32"/>
        <v>0</v>
      </c>
      <c r="AY29" s="152">
        <f t="shared" si="32"/>
        <v>0</v>
      </c>
      <c r="AZ29" s="152">
        <f t="shared" si="32"/>
        <v>0</v>
      </c>
      <c r="BA29" s="152">
        <f t="shared" si="32"/>
        <v>0</v>
      </c>
      <c r="BB29" s="152">
        <f t="shared" si="32"/>
        <v>0</v>
      </c>
      <c r="BC29" s="152">
        <f t="shared" si="32"/>
        <v>0</v>
      </c>
      <c r="BD29" s="152">
        <f t="shared" si="32"/>
        <v>0</v>
      </c>
      <c r="BE29" s="152">
        <f t="shared" si="32"/>
        <v>0</v>
      </c>
      <c r="BF29" s="152">
        <f t="shared" si="32"/>
        <v>0</v>
      </c>
      <c r="BG29" s="152">
        <f t="shared" si="32"/>
        <v>0</v>
      </c>
      <c r="BH29" s="152">
        <f t="shared" si="32"/>
        <v>0</v>
      </c>
      <c r="BI29" s="152">
        <f t="shared" si="32"/>
        <v>0</v>
      </c>
      <c r="BJ29" s="152">
        <f t="shared" si="32"/>
        <v>0</v>
      </c>
      <c r="BK29" s="152">
        <f t="shared" si="32"/>
        <v>0</v>
      </c>
      <c r="BL29" s="152">
        <f t="shared" si="32"/>
        <v>0</v>
      </c>
      <c r="BM29" s="152">
        <f t="shared" si="32"/>
        <v>0</v>
      </c>
      <c r="BN29" s="152">
        <f t="shared" si="32"/>
        <v>0</v>
      </c>
      <c r="BO29" s="152">
        <f t="shared" si="32"/>
        <v>0</v>
      </c>
      <c r="BP29" s="152">
        <f t="shared" si="32"/>
        <v>0</v>
      </c>
      <c r="BQ29" s="152">
        <f t="shared" si="32"/>
        <v>0</v>
      </c>
      <c r="CJ29">
        <f t="shared" ref="CJ29:DF29" si="33">CJ8</f>
        <v>999999999</v>
      </c>
      <c r="CK29">
        <f t="shared" si="33"/>
        <v>999999999</v>
      </c>
      <c r="CL29">
        <f t="shared" si="33"/>
        <v>999999999</v>
      </c>
      <c r="CM29">
        <f t="shared" si="33"/>
        <v>999999999</v>
      </c>
      <c r="CN29">
        <f t="shared" si="33"/>
        <v>0</v>
      </c>
      <c r="CO29">
        <f t="shared" si="33"/>
        <v>0</v>
      </c>
      <c r="CP29">
        <f t="shared" si="33"/>
        <v>0</v>
      </c>
      <c r="CQ29">
        <f t="shared" si="33"/>
        <v>0</v>
      </c>
      <c r="CR29">
        <f t="shared" si="33"/>
        <v>0</v>
      </c>
      <c r="CS29">
        <f t="shared" si="33"/>
        <v>0</v>
      </c>
      <c r="CT29">
        <f t="shared" si="33"/>
        <v>0</v>
      </c>
      <c r="CU29">
        <f t="shared" si="33"/>
        <v>0</v>
      </c>
      <c r="CV29" t="str">
        <f t="shared" si="33"/>
        <v>IND</v>
      </c>
      <c r="CW29" t="str">
        <f t="shared" si="24"/>
        <v>NONRES</v>
      </c>
      <c r="CX29" t="str">
        <f t="shared" si="33"/>
        <v>N/A</v>
      </c>
      <c r="CY29" t="str">
        <f t="shared" si="33"/>
        <v>NONRES</v>
      </c>
      <c r="CZ29" t="str">
        <f t="shared" si="33"/>
        <v>FULL</v>
      </c>
      <c r="DA29" t="str">
        <f t="shared" si="33"/>
        <v>N</v>
      </c>
      <c r="DB29" t="str">
        <f t="shared" si="33"/>
        <v>N</v>
      </c>
      <c r="DC29" t="str">
        <f t="shared" si="33"/>
        <v>N</v>
      </c>
      <c r="DD29" t="str">
        <f t="shared" si="33"/>
        <v>N</v>
      </c>
      <c r="DE29" t="str">
        <f t="shared" si="33"/>
        <v>Y</v>
      </c>
      <c r="DF29" t="str">
        <f t="shared" si="33"/>
        <v>Y</v>
      </c>
    </row>
    <row r="30" spans="1:110">
      <c r="A30" t="str">
        <f t="shared" si="18"/>
        <v>46082GTCNGGLV</v>
      </c>
      <c r="B30" s="153">
        <f t="shared" si="19"/>
        <v>46082</v>
      </c>
      <c r="C30" s="165" t="s">
        <v>763</v>
      </c>
      <c r="D30" s="167" t="s">
        <v>787</v>
      </c>
      <c r="E30" s="177" t="str">
        <f t="shared" si="14"/>
        <v>GTCNGGLV</v>
      </c>
      <c r="F30" s="167" t="s">
        <v>788</v>
      </c>
      <c r="G30" t="str">
        <f t="shared" si="20"/>
        <v>Transportation Compressed Natural Gas-Large Volume Service</v>
      </c>
      <c r="H30" s="152" t="str">
        <f t="shared" ref="H30:AM30" si="34">H9</f>
        <v>N</v>
      </c>
      <c r="I30" s="152">
        <f t="shared" si="34"/>
        <v>5</v>
      </c>
      <c r="J30" s="152">
        <f t="shared" si="34"/>
        <v>10</v>
      </c>
      <c r="K30" s="152">
        <f t="shared" si="34"/>
        <v>11</v>
      </c>
      <c r="L30" s="152">
        <f t="shared" si="34"/>
        <v>4</v>
      </c>
      <c r="M30" s="152">
        <f>VLOOKUP($A30,'Rate Changes'!$A$45:$E$63,MATCH(M$3,'Rate Changes'!$A$44:$E$44,0),0)</f>
        <v>285.73</v>
      </c>
      <c r="N30" s="152">
        <f t="shared" si="34"/>
        <v>0</v>
      </c>
      <c r="O30" s="152">
        <f t="shared" si="34"/>
        <v>0</v>
      </c>
      <c r="P30" s="152">
        <f t="shared" si="34"/>
        <v>0</v>
      </c>
      <c r="Q30" s="152">
        <f t="shared" si="34"/>
        <v>0</v>
      </c>
      <c r="R30" s="152">
        <f t="shared" si="34"/>
        <v>0</v>
      </c>
      <c r="S30" s="152">
        <f t="shared" si="34"/>
        <v>0</v>
      </c>
      <c r="T30" s="152">
        <f t="shared" si="34"/>
        <v>0</v>
      </c>
      <c r="U30" s="152">
        <f t="shared" si="34"/>
        <v>0</v>
      </c>
      <c r="V30" s="152">
        <f t="shared" si="34"/>
        <v>0</v>
      </c>
      <c r="W30" s="152" t="str">
        <f t="shared" si="34"/>
        <v>NONE</v>
      </c>
      <c r="X30" s="152" t="str">
        <f t="shared" si="34"/>
        <v>N</v>
      </c>
      <c r="Y30" s="152" t="str">
        <f t="shared" si="34"/>
        <v>N</v>
      </c>
      <c r="Z30" s="152">
        <f t="shared" si="34"/>
        <v>999999999</v>
      </c>
      <c r="AA30" s="152">
        <f t="shared" si="34"/>
        <v>0</v>
      </c>
      <c r="AB30" s="152">
        <f t="shared" si="34"/>
        <v>0</v>
      </c>
      <c r="AC30" s="152">
        <f t="shared" si="34"/>
        <v>0</v>
      </c>
      <c r="AD30" s="152">
        <f t="shared" si="34"/>
        <v>0</v>
      </c>
      <c r="AE30" s="152">
        <f t="shared" si="34"/>
        <v>0</v>
      </c>
      <c r="AF30" s="152">
        <f t="shared" si="34"/>
        <v>0</v>
      </c>
      <c r="AG30" s="152">
        <f t="shared" si="34"/>
        <v>0</v>
      </c>
      <c r="AH30" s="152">
        <f t="shared" si="34"/>
        <v>0</v>
      </c>
      <c r="AI30" s="152">
        <f t="shared" si="34"/>
        <v>0</v>
      </c>
      <c r="AJ30" s="152" t="str">
        <f t="shared" si="34"/>
        <v>N/A</v>
      </c>
      <c r="AK30" s="152" t="str">
        <f t="shared" si="34"/>
        <v>N</v>
      </c>
      <c r="AL30" s="152" t="str">
        <f t="shared" si="34"/>
        <v>N</v>
      </c>
      <c r="AM30" s="152" t="str">
        <f t="shared" si="34"/>
        <v>N</v>
      </c>
      <c r="AN30" s="152">
        <f t="shared" ref="AN30:BQ30" si="35">AN9</f>
        <v>999999999</v>
      </c>
      <c r="AO30" s="152">
        <f t="shared" si="35"/>
        <v>999999999</v>
      </c>
      <c r="AP30" s="152">
        <f t="shared" si="35"/>
        <v>999999999</v>
      </c>
      <c r="AQ30" s="152">
        <f t="shared" si="35"/>
        <v>0</v>
      </c>
      <c r="AR30" s="152">
        <f t="shared" si="35"/>
        <v>0</v>
      </c>
      <c r="AS30" s="152">
        <f t="shared" si="35"/>
        <v>0</v>
      </c>
      <c r="AT30" s="152">
        <f>VLOOKUP($A30,'Rate Changes'!$A$45:$E$63,MATCH(AT$3,'Rate Changes'!$A$44:$E$44,0),0)</f>
        <v>0.16200000000000001</v>
      </c>
      <c r="AU30" s="152">
        <f t="shared" si="35"/>
        <v>0</v>
      </c>
      <c r="AV30" s="152">
        <f t="shared" si="35"/>
        <v>0</v>
      </c>
      <c r="AW30" s="152">
        <f t="shared" si="35"/>
        <v>0</v>
      </c>
      <c r="AX30" s="152">
        <f t="shared" si="35"/>
        <v>0</v>
      </c>
      <c r="AY30" s="152">
        <f t="shared" si="35"/>
        <v>0</v>
      </c>
      <c r="AZ30" s="152">
        <f t="shared" si="35"/>
        <v>0</v>
      </c>
      <c r="BA30" s="152">
        <f t="shared" si="35"/>
        <v>0</v>
      </c>
      <c r="BB30" s="152">
        <f t="shared" si="35"/>
        <v>0</v>
      </c>
      <c r="BC30" s="152">
        <f t="shared" si="35"/>
        <v>0</v>
      </c>
      <c r="BD30" s="152">
        <f t="shared" si="35"/>
        <v>0</v>
      </c>
      <c r="BE30" s="152">
        <f t="shared" si="35"/>
        <v>0</v>
      </c>
      <c r="BF30" s="152">
        <f t="shared" si="35"/>
        <v>0</v>
      </c>
      <c r="BG30" s="152">
        <f t="shared" si="35"/>
        <v>0</v>
      </c>
      <c r="BH30" s="152">
        <f t="shared" si="35"/>
        <v>0</v>
      </c>
      <c r="BI30" s="152">
        <f t="shared" si="35"/>
        <v>0</v>
      </c>
      <c r="BJ30" s="152">
        <f t="shared" si="35"/>
        <v>0</v>
      </c>
      <c r="BK30" s="152">
        <f t="shared" si="35"/>
        <v>0</v>
      </c>
      <c r="BL30" s="152">
        <f t="shared" si="35"/>
        <v>0</v>
      </c>
      <c r="BM30" s="152">
        <f t="shared" si="35"/>
        <v>0</v>
      </c>
      <c r="BN30" s="152">
        <f t="shared" si="35"/>
        <v>0</v>
      </c>
      <c r="BO30" s="152">
        <f t="shared" si="35"/>
        <v>0</v>
      </c>
      <c r="BP30" s="152">
        <f t="shared" si="35"/>
        <v>0</v>
      </c>
      <c r="BQ30" s="152">
        <f t="shared" si="35"/>
        <v>0</v>
      </c>
      <c r="CJ30">
        <f t="shared" ref="CJ30:DF30" si="36">CJ9</f>
        <v>999999999</v>
      </c>
      <c r="CK30">
        <f t="shared" si="36"/>
        <v>999999999</v>
      </c>
      <c r="CL30">
        <f t="shared" si="36"/>
        <v>999999999</v>
      </c>
      <c r="CM30">
        <f t="shared" si="36"/>
        <v>999999999</v>
      </c>
      <c r="CN30">
        <f t="shared" si="36"/>
        <v>0</v>
      </c>
      <c r="CO30">
        <f t="shared" si="36"/>
        <v>0</v>
      </c>
      <c r="CP30">
        <f t="shared" si="36"/>
        <v>0</v>
      </c>
      <c r="CQ30">
        <f t="shared" si="36"/>
        <v>0</v>
      </c>
      <c r="CR30">
        <f t="shared" si="36"/>
        <v>0</v>
      </c>
      <c r="CS30">
        <f t="shared" si="36"/>
        <v>0</v>
      </c>
      <c r="CT30">
        <f t="shared" si="36"/>
        <v>0</v>
      </c>
      <c r="CU30">
        <f t="shared" si="36"/>
        <v>0</v>
      </c>
      <c r="CV30" t="str">
        <f t="shared" si="36"/>
        <v>TIND</v>
      </c>
      <c r="CW30" t="str">
        <f t="shared" si="24"/>
        <v>NONRES</v>
      </c>
      <c r="CX30" t="str">
        <f t="shared" si="36"/>
        <v>N/A</v>
      </c>
      <c r="CY30" t="str">
        <f t="shared" si="36"/>
        <v>NONRES</v>
      </c>
      <c r="CZ30" t="str">
        <f t="shared" si="36"/>
        <v>FULL</v>
      </c>
      <c r="DA30" t="str">
        <f t="shared" si="36"/>
        <v>N</v>
      </c>
      <c r="DB30" t="str">
        <f t="shared" si="36"/>
        <v>N</v>
      </c>
      <c r="DC30" t="str">
        <f t="shared" si="36"/>
        <v>N</v>
      </c>
      <c r="DD30" t="str">
        <f t="shared" si="36"/>
        <v>Y</v>
      </c>
      <c r="DE30" t="str">
        <f t="shared" si="36"/>
        <v>Y</v>
      </c>
      <c r="DF30" t="str">
        <f t="shared" si="36"/>
        <v>Y</v>
      </c>
    </row>
    <row r="31" spans="1:110">
      <c r="A31" t="str">
        <f t="shared" si="18"/>
        <v>46082GISVS</v>
      </c>
      <c r="B31" s="153">
        <f t="shared" si="19"/>
        <v>46082</v>
      </c>
      <c r="C31" s="165" t="s">
        <v>763</v>
      </c>
      <c r="D31" s="167" t="s">
        <v>792</v>
      </c>
      <c r="E31" s="177" t="str">
        <f t="shared" si="14"/>
        <v>GISVS</v>
      </c>
      <c r="F31" s="167" t="s">
        <v>793</v>
      </c>
      <c r="G31" t="str">
        <f t="shared" si="20"/>
        <v>Small Volume Industrial Service</v>
      </c>
      <c r="H31" s="152" t="str">
        <f t="shared" ref="H31:AM31" si="37">H10</f>
        <v>N</v>
      </c>
      <c r="I31" s="152">
        <f t="shared" si="37"/>
        <v>5</v>
      </c>
      <c r="J31" s="152">
        <f t="shared" si="37"/>
        <v>10</v>
      </c>
      <c r="K31" s="152">
        <f t="shared" si="37"/>
        <v>11</v>
      </c>
      <c r="L31" s="152">
        <f t="shared" si="37"/>
        <v>4</v>
      </c>
      <c r="M31" s="152">
        <f>VLOOKUP($A31,'Rate Changes'!$A$45:$E$63,MATCH(M$3,'Rate Changes'!$A$44:$E$44,0),0)</f>
        <v>28.32</v>
      </c>
      <c r="N31" s="152">
        <f t="shared" si="37"/>
        <v>0</v>
      </c>
      <c r="O31" s="152">
        <f t="shared" si="37"/>
        <v>0</v>
      </c>
      <c r="P31" s="152">
        <f t="shared" si="37"/>
        <v>0</v>
      </c>
      <c r="Q31" s="152">
        <f t="shared" si="37"/>
        <v>0</v>
      </c>
      <c r="R31" s="152">
        <f t="shared" si="37"/>
        <v>0</v>
      </c>
      <c r="S31" s="152">
        <f t="shared" si="37"/>
        <v>0</v>
      </c>
      <c r="T31" s="152">
        <f t="shared" si="37"/>
        <v>0</v>
      </c>
      <c r="U31" s="152">
        <f t="shared" si="37"/>
        <v>0</v>
      </c>
      <c r="V31" s="152">
        <f t="shared" si="37"/>
        <v>0</v>
      </c>
      <c r="W31" s="152" t="str">
        <f t="shared" si="37"/>
        <v>NONE</v>
      </c>
      <c r="X31" s="152" t="str">
        <f t="shared" si="37"/>
        <v>N</v>
      </c>
      <c r="Y31" s="152" t="str">
        <f t="shared" si="37"/>
        <v>N</v>
      </c>
      <c r="Z31" s="152">
        <f t="shared" si="37"/>
        <v>999999999</v>
      </c>
      <c r="AA31" s="152">
        <f t="shared" si="37"/>
        <v>0</v>
      </c>
      <c r="AB31" s="152">
        <f t="shared" si="37"/>
        <v>0</v>
      </c>
      <c r="AC31" s="152">
        <f t="shared" si="37"/>
        <v>0</v>
      </c>
      <c r="AD31" s="152">
        <f t="shared" si="37"/>
        <v>0</v>
      </c>
      <c r="AE31" s="152">
        <f t="shared" si="37"/>
        <v>0</v>
      </c>
      <c r="AF31" s="152">
        <f t="shared" si="37"/>
        <v>0</v>
      </c>
      <c r="AG31" s="152">
        <f t="shared" si="37"/>
        <v>0</v>
      </c>
      <c r="AH31" s="152">
        <f t="shared" si="37"/>
        <v>0</v>
      </c>
      <c r="AI31" s="152">
        <f t="shared" si="37"/>
        <v>0</v>
      </c>
      <c r="AJ31" s="152" t="str">
        <f t="shared" si="37"/>
        <v>N/A</v>
      </c>
      <c r="AK31" s="152" t="str">
        <f t="shared" si="37"/>
        <v>N</v>
      </c>
      <c r="AL31" s="152" t="str">
        <f t="shared" si="37"/>
        <v>N</v>
      </c>
      <c r="AM31" s="152" t="str">
        <f t="shared" si="37"/>
        <v>N</v>
      </c>
      <c r="AN31" s="152">
        <f t="shared" ref="AN31:BQ31" si="38">AN10</f>
        <v>999999999</v>
      </c>
      <c r="AO31" s="152">
        <f t="shared" si="38"/>
        <v>999999999</v>
      </c>
      <c r="AP31" s="152">
        <f t="shared" si="38"/>
        <v>999999999</v>
      </c>
      <c r="AQ31" s="152">
        <f t="shared" si="38"/>
        <v>0</v>
      </c>
      <c r="AR31" s="152">
        <f t="shared" si="38"/>
        <v>0</v>
      </c>
      <c r="AS31" s="152">
        <f t="shared" si="38"/>
        <v>0</v>
      </c>
      <c r="AT31" s="152">
        <f>VLOOKUP($A31,'Rate Changes'!$A$45:$E$63,MATCH(AT$3,'Rate Changes'!$A$44:$E$44,0),0)</f>
        <v>0.31340000000000001</v>
      </c>
      <c r="AU31" s="152">
        <f t="shared" si="38"/>
        <v>0</v>
      </c>
      <c r="AV31" s="152">
        <f t="shared" si="38"/>
        <v>0</v>
      </c>
      <c r="AW31" s="152">
        <f t="shared" si="38"/>
        <v>0</v>
      </c>
      <c r="AX31" s="152">
        <f t="shared" si="38"/>
        <v>0</v>
      </c>
      <c r="AY31" s="152">
        <f t="shared" si="38"/>
        <v>0</v>
      </c>
      <c r="AZ31" s="152">
        <f t="shared" si="38"/>
        <v>0</v>
      </c>
      <c r="BA31" s="152">
        <f t="shared" si="38"/>
        <v>0</v>
      </c>
      <c r="BB31" s="152">
        <f t="shared" si="38"/>
        <v>0</v>
      </c>
      <c r="BC31" s="152">
        <f t="shared" si="38"/>
        <v>0</v>
      </c>
      <c r="BD31" s="152">
        <f t="shared" si="38"/>
        <v>0</v>
      </c>
      <c r="BE31" s="152">
        <f t="shared" si="38"/>
        <v>0</v>
      </c>
      <c r="BF31" s="152">
        <f t="shared" si="38"/>
        <v>0</v>
      </c>
      <c r="BG31" s="152">
        <f t="shared" si="38"/>
        <v>0</v>
      </c>
      <c r="BH31" s="152">
        <f t="shared" si="38"/>
        <v>0</v>
      </c>
      <c r="BI31" s="152">
        <f t="shared" si="38"/>
        <v>0</v>
      </c>
      <c r="BJ31" s="152">
        <f t="shared" si="38"/>
        <v>0</v>
      </c>
      <c r="BK31" s="152">
        <f t="shared" si="38"/>
        <v>0</v>
      </c>
      <c r="BL31" s="152">
        <f t="shared" si="38"/>
        <v>0</v>
      </c>
      <c r="BM31" s="152">
        <f t="shared" si="38"/>
        <v>0</v>
      </c>
      <c r="BN31" s="152">
        <f t="shared" si="38"/>
        <v>0</v>
      </c>
      <c r="BO31" s="152">
        <f t="shared" si="38"/>
        <v>0</v>
      </c>
      <c r="BP31" s="152">
        <f t="shared" si="38"/>
        <v>0</v>
      </c>
      <c r="BQ31" s="152">
        <f t="shared" si="38"/>
        <v>0</v>
      </c>
      <c r="CJ31">
        <f t="shared" ref="CJ31:DF31" si="39">CJ10</f>
        <v>999999999</v>
      </c>
      <c r="CK31">
        <f t="shared" si="39"/>
        <v>999999999</v>
      </c>
      <c r="CL31">
        <f t="shared" si="39"/>
        <v>999999999</v>
      </c>
      <c r="CM31">
        <f t="shared" si="39"/>
        <v>999999999</v>
      </c>
      <c r="CN31">
        <f t="shared" si="39"/>
        <v>0</v>
      </c>
      <c r="CO31">
        <f t="shared" si="39"/>
        <v>0</v>
      </c>
      <c r="CP31">
        <f t="shared" si="39"/>
        <v>0</v>
      </c>
      <c r="CQ31">
        <f t="shared" si="39"/>
        <v>0</v>
      </c>
      <c r="CR31">
        <f t="shared" si="39"/>
        <v>0</v>
      </c>
      <c r="CS31">
        <f t="shared" si="39"/>
        <v>0</v>
      </c>
      <c r="CT31">
        <f t="shared" si="39"/>
        <v>0</v>
      </c>
      <c r="CU31">
        <f t="shared" si="39"/>
        <v>0</v>
      </c>
      <c r="CV31" t="str">
        <f t="shared" si="39"/>
        <v>COM</v>
      </c>
      <c r="CW31" t="str">
        <f t="shared" si="24"/>
        <v>NONRES</v>
      </c>
      <c r="CX31" t="str">
        <f t="shared" si="39"/>
        <v>N/A</v>
      </c>
      <c r="CY31" t="str">
        <f t="shared" si="39"/>
        <v>NONRES</v>
      </c>
      <c r="CZ31" t="str">
        <f t="shared" si="39"/>
        <v>FULL</v>
      </c>
      <c r="DA31" t="str">
        <f t="shared" si="39"/>
        <v>N</v>
      </c>
      <c r="DB31" t="str">
        <f t="shared" si="39"/>
        <v>N</v>
      </c>
      <c r="DC31" t="str">
        <f t="shared" si="39"/>
        <v>N</v>
      </c>
      <c r="DD31" t="str">
        <f t="shared" si="39"/>
        <v>N</v>
      </c>
      <c r="DE31" t="str">
        <f t="shared" si="39"/>
        <v>N</v>
      </c>
      <c r="DF31" t="str">
        <f t="shared" si="39"/>
        <v>Y</v>
      </c>
    </row>
    <row r="32" spans="1:110">
      <c r="A32" t="str">
        <f t="shared" si="18"/>
        <v>46082GILVS</v>
      </c>
      <c r="B32" s="153">
        <f t="shared" si="19"/>
        <v>46082</v>
      </c>
      <c r="C32" s="165" t="s">
        <v>763</v>
      </c>
      <c r="D32" s="167" t="s">
        <v>792</v>
      </c>
      <c r="E32" s="177" t="str">
        <f t="shared" si="14"/>
        <v>GILVS</v>
      </c>
      <c r="F32" s="167" t="s">
        <v>796</v>
      </c>
      <c r="G32" t="str">
        <f t="shared" si="20"/>
        <v>Large Volume Industrial Service</v>
      </c>
      <c r="H32" s="152" t="str">
        <f t="shared" ref="H32:AM32" si="40">H11</f>
        <v>N</v>
      </c>
      <c r="I32" s="152">
        <f t="shared" si="40"/>
        <v>5</v>
      </c>
      <c r="J32" s="152">
        <f t="shared" si="40"/>
        <v>10</v>
      </c>
      <c r="K32" s="152">
        <f t="shared" si="40"/>
        <v>11</v>
      </c>
      <c r="L32" s="152">
        <f t="shared" si="40"/>
        <v>4</v>
      </c>
      <c r="M32" s="152">
        <f>VLOOKUP($A32,'Rate Changes'!$A$45:$E$63,MATCH(M$3,'Rate Changes'!$A$44:$E$44,0),0)</f>
        <v>285.73</v>
      </c>
      <c r="N32" s="152">
        <f t="shared" si="40"/>
        <v>0</v>
      </c>
      <c r="O32" s="152">
        <f t="shared" si="40"/>
        <v>0</v>
      </c>
      <c r="P32" s="152">
        <f t="shared" si="40"/>
        <v>0</v>
      </c>
      <c r="Q32" s="152">
        <f t="shared" si="40"/>
        <v>0</v>
      </c>
      <c r="R32" s="152">
        <f t="shared" si="40"/>
        <v>0</v>
      </c>
      <c r="S32" s="152">
        <f t="shared" si="40"/>
        <v>0</v>
      </c>
      <c r="T32" s="152">
        <f t="shared" si="40"/>
        <v>0</v>
      </c>
      <c r="U32" s="152">
        <f t="shared" si="40"/>
        <v>0</v>
      </c>
      <c r="V32" s="152">
        <f t="shared" si="40"/>
        <v>0</v>
      </c>
      <c r="W32" s="152" t="str">
        <f t="shared" si="40"/>
        <v>NONE</v>
      </c>
      <c r="X32" s="152" t="str">
        <f t="shared" si="40"/>
        <v>N</v>
      </c>
      <c r="Y32" s="152" t="str">
        <f t="shared" si="40"/>
        <v>N</v>
      </c>
      <c r="Z32" s="152">
        <f t="shared" si="40"/>
        <v>999999999</v>
      </c>
      <c r="AA32" s="152">
        <f t="shared" si="40"/>
        <v>0</v>
      </c>
      <c r="AB32" s="152">
        <f t="shared" si="40"/>
        <v>0</v>
      </c>
      <c r="AC32" s="152">
        <f t="shared" si="40"/>
        <v>0</v>
      </c>
      <c r="AD32" s="152">
        <f t="shared" si="40"/>
        <v>0</v>
      </c>
      <c r="AE32" s="152">
        <f t="shared" si="40"/>
        <v>0</v>
      </c>
      <c r="AF32" s="152">
        <f t="shared" si="40"/>
        <v>0</v>
      </c>
      <c r="AG32" s="152">
        <f t="shared" si="40"/>
        <v>0</v>
      </c>
      <c r="AH32" s="152">
        <f t="shared" si="40"/>
        <v>0</v>
      </c>
      <c r="AI32" s="152">
        <f t="shared" si="40"/>
        <v>0</v>
      </c>
      <c r="AJ32" s="152" t="str">
        <f t="shared" si="40"/>
        <v>N/A</v>
      </c>
      <c r="AK32" s="152" t="str">
        <f t="shared" si="40"/>
        <v>N</v>
      </c>
      <c r="AL32" s="152" t="str">
        <f t="shared" si="40"/>
        <v>N</v>
      </c>
      <c r="AM32" s="152" t="str">
        <f t="shared" si="40"/>
        <v>N</v>
      </c>
      <c r="AN32" s="152">
        <f t="shared" ref="AN32:BQ32" si="41">AN11</f>
        <v>999999999</v>
      </c>
      <c r="AO32" s="152">
        <f t="shared" si="41"/>
        <v>999999999</v>
      </c>
      <c r="AP32" s="152">
        <f t="shared" si="41"/>
        <v>999999999</v>
      </c>
      <c r="AQ32" s="152">
        <f t="shared" si="41"/>
        <v>0</v>
      </c>
      <c r="AR32" s="152">
        <f t="shared" si="41"/>
        <v>0</v>
      </c>
      <c r="AS32" s="152">
        <f t="shared" si="41"/>
        <v>0</v>
      </c>
      <c r="AT32" s="152">
        <f>VLOOKUP($A32,'Rate Changes'!$A$45:$E$63,MATCH(AT$3,'Rate Changes'!$A$44:$E$44,0),0)</f>
        <v>0.16200000000000001</v>
      </c>
      <c r="AU32" s="152">
        <f t="shared" si="41"/>
        <v>0</v>
      </c>
      <c r="AV32" s="152">
        <f t="shared" si="41"/>
        <v>0</v>
      </c>
      <c r="AW32" s="152">
        <f t="shared" si="41"/>
        <v>0</v>
      </c>
      <c r="AX32" s="152">
        <f t="shared" si="41"/>
        <v>0</v>
      </c>
      <c r="AY32" s="152">
        <f t="shared" si="41"/>
        <v>0</v>
      </c>
      <c r="AZ32" s="152">
        <f t="shared" si="41"/>
        <v>0</v>
      </c>
      <c r="BA32" s="152">
        <f t="shared" si="41"/>
        <v>0</v>
      </c>
      <c r="BB32" s="152">
        <f t="shared" si="41"/>
        <v>0</v>
      </c>
      <c r="BC32" s="152">
        <f t="shared" si="41"/>
        <v>0</v>
      </c>
      <c r="BD32" s="152">
        <f t="shared" si="41"/>
        <v>0</v>
      </c>
      <c r="BE32" s="152">
        <f t="shared" si="41"/>
        <v>0</v>
      </c>
      <c r="BF32" s="152">
        <f t="shared" si="41"/>
        <v>0</v>
      </c>
      <c r="BG32" s="152">
        <f t="shared" si="41"/>
        <v>0</v>
      </c>
      <c r="BH32" s="152">
        <f t="shared" si="41"/>
        <v>0</v>
      </c>
      <c r="BI32" s="152">
        <f t="shared" si="41"/>
        <v>0</v>
      </c>
      <c r="BJ32" s="152">
        <f t="shared" si="41"/>
        <v>0</v>
      </c>
      <c r="BK32" s="152">
        <f t="shared" si="41"/>
        <v>0</v>
      </c>
      <c r="BL32" s="152">
        <f t="shared" si="41"/>
        <v>0</v>
      </c>
      <c r="BM32" s="152">
        <f t="shared" si="41"/>
        <v>0</v>
      </c>
      <c r="BN32" s="152">
        <f t="shared" si="41"/>
        <v>0</v>
      </c>
      <c r="BO32" s="152">
        <f t="shared" si="41"/>
        <v>0</v>
      </c>
      <c r="BP32" s="152">
        <f t="shared" si="41"/>
        <v>0</v>
      </c>
      <c r="BQ32" s="152">
        <f t="shared" si="41"/>
        <v>0</v>
      </c>
      <c r="CJ32">
        <f t="shared" ref="CJ32:DF32" si="42">CJ11</f>
        <v>999999999</v>
      </c>
      <c r="CK32">
        <f t="shared" si="42"/>
        <v>999999999</v>
      </c>
      <c r="CL32">
        <f t="shared" si="42"/>
        <v>999999999</v>
      </c>
      <c r="CM32">
        <f t="shared" si="42"/>
        <v>999999999</v>
      </c>
      <c r="CN32">
        <f t="shared" si="42"/>
        <v>0</v>
      </c>
      <c r="CO32">
        <f t="shared" si="42"/>
        <v>0</v>
      </c>
      <c r="CP32">
        <f t="shared" si="42"/>
        <v>0</v>
      </c>
      <c r="CQ32">
        <f t="shared" si="42"/>
        <v>0</v>
      </c>
      <c r="CR32">
        <f t="shared" si="42"/>
        <v>0</v>
      </c>
      <c r="CS32">
        <f t="shared" si="42"/>
        <v>0</v>
      </c>
      <c r="CT32">
        <f t="shared" si="42"/>
        <v>0</v>
      </c>
      <c r="CU32">
        <f t="shared" si="42"/>
        <v>0</v>
      </c>
      <c r="CV32" t="str">
        <f t="shared" si="42"/>
        <v>IND</v>
      </c>
      <c r="CW32" t="str">
        <f t="shared" si="24"/>
        <v>NONRES</v>
      </c>
      <c r="CX32" t="str">
        <f t="shared" si="42"/>
        <v>N/A</v>
      </c>
      <c r="CY32" t="str">
        <f t="shared" si="42"/>
        <v>NONRES</v>
      </c>
      <c r="CZ32" t="str">
        <f t="shared" si="42"/>
        <v>FULL</v>
      </c>
      <c r="DA32" t="str">
        <f t="shared" si="42"/>
        <v>N</v>
      </c>
      <c r="DB32" t="str">
        <f t="shared" si="42"/>
        <v>N</v>
      </c>
      <c r="DC32" t="str">
        <f t="shared" si="42"/>
        <v>N</v>
      </c>
      <c r="DD32" t="str">
        <f t="shared" si="42"/>
        <v>N</v>
      </c>
      <c r="DE32" t="str">
        <f t="shared" si="42"/>
        <v>N</v>
      </c>
      <c r="DF32" t="str">
        <f t="shared" si="42"/>
        <v>Y</v>
      </c>
    </row>
    <row r="33" spans="1:110">
      <c r="A33" t="str">
        <f t="shared" si="18"/>
        <v>46082GGIRS</v>
      </c>
      <c r="B33" s="153">
        <f t="shared" si="19"/>
        <v>46082</v>
      </c>
      <c r="C33" s="165" t="s">
        <v>763</v>
      </c>
      <c r="D33" s="167" t="s">
        <v>764</v>
      </c>
      <c r="E33" s="177" t="str">
        <f t="shared" si="14"/>
        <v>GGIRS</v>
      </c>
      <c r="F33" s="167" t="s">
        <v>799</v>
      </c>
      <c r="G33" t="str">
        <f t="shared" si="20"/>
        <v>Irrigation Service</v>
      </c>
      <c r="H33" s="152" t="str">
        <f t="shared" ref="H33:AM33" si="43">H12</f>
        <v>N</v>
      </c>
      <c r="I33" s="152">
        <f t="shared" si="43"/>
        <v>5</v>
      </c>
      <c r="J33" s="152">
        <f t="shared" si="43"/>
        <v>10</v>
      </c>
      <c r="K33" s="152">
        <f t="shared" si="43"/>
        <v>11</v>
      </c>
      <c r="L33" s="152">
        <f t="shared" si="43"/>
        <v>4</v>
      </c>
      <c r="M33" s="152">
        <f>VLOOKUP($A33,'Rate Changes'!$A$45:$E$63,MATCH(M$3,'Rate Changes'!$A$44:$E$44,0),0)</f>
        <v>28.32</v>
      </c>
      <c r="N33" s="152">
        <f t="shared" si="43"/>
        <v>0</v>
      </c>
      <c r="O33" s="152">
        <f t="shared" si="43"/>
        <v>0</v>
      </c>
      <c r="P33" s="152">
        <f t="shared" si="43"/>
        <v>0</v>
      </c>
      <c r="Q33" s="152">
        <f t="shared" si="43"/>
        <v>0</v>
      </c>
      <c r="R33" s="152">
        <f t="shared" si="43"/>
        <v>0</v>
      </c>
      <c r="S33" s="152">
        <f t="shared" si="43"/>
        <v>0</v>
      </c>
      <c r="T33" s="152">
        <f t="shared" si="43"/>
        <v>0</v>
      </c>
      <c r="U33" s="152">
        <f t="shared" si="43"/>
        <v>0</v>
      </c>
      <c r="V33" s="152">
        <f t="shared" si="43"/>
        <v>0</v>
      </c>
      <c r="W33" s="152" t="str">
        <f t="shared" si="43"/>
        <v>NONE</v>
      </c>
      <c r="X33" s="152" t="str">
        <f t="shared" si="43"/>
        <v>N</v>
      </c>
      <c r="Y33" s="152" t="str">
        <f t="shared" si="43"/>
        <v>N</v>
      </c>
      <c r="Z33" s="152">
        <f t="shared" si="43"/>
        <v>999999999</v>
      </c>
      <c r="AA33" s="152">
        <f t="shared" si="43"/>
        <v>0</v>
      </c>
      <c r="AB33" s="152">
        <f t="shared" si="43"/>
        <v>0</v>
      </c>
      <c r="AC33" s="152">
        <f t="shared" si="43"/>
        <v>0</v>
      </c>
      <c r="AD33" s="152">
        <f t="shared" si="43"/>
        <v>0</v>
      </c>
      <c r="AE33" s="152">
        <f t="shared" si="43"/>
        <v>0</v>
      </c>
      <c r="AF33" s="152">
        <f t="shared" si="43"/>
        <v>0</v>
      </c>
      <c r="AG33" s="152">
        <f t="shared" si="43"/>
        <v>0</v>
      </c>
      <c r="AH33" s="152">
        <f t="shared" si="43"/>
        <v>0</v>
      </c>
      <c r="AI33" s="152">
        <f t="shared" si="43"/>
        <v>0</v>
      </c>
      <c r="AJ33" s="152" t="str">
        <f t="shared" si="43"/>
        <v>N/A</v>
      </c>
      <c r="AK33" s="152" t="str">
        <f t="shared" si="43"/>
        <v>N</v>
      </c>
      <c r="AL33" s="152" t="str">
        <f t="shared" si="43"/>
        <v>N</v>
      </c>
      <c r="AM33" s="152" t="str">
        <f t="shared" si="43"/>
        <v>N</v>
      </c>
      <c r="AN33" s="152">
        <f t="shared" ref="AN33:BQ33" si="44">AN12</f>
        <v>999999999</v>
      </c>
      <c r="AO33" s="152">
        <f t="shared" si="44"/>
        <v>999999999</v>
      </c>
      <c r="AP33" s="152">
        <f t="shared" si="44"/>
        <v>999999999</v>
      </c>
      <c r="AQ33" s="152">
        <f t="shared" si="44"/>
        <v>0</v>
      </c>
      <c r="AR33" s="152">
        <f t="shared" si="44"/>
        <v>0</v>
      </c>
      <c r="AS33" s="152">
        <f t="shared" si="44"/>
        <v>0</v>
      </c>
      <c r="AT33" s="152">
        <f>VLOOKUP($A33,'Rate Changes'!$A$45:$E$63,MATCH(AT$3,'Rate Changes'!$A$44:$E$44,0),0)</f>
        <v>0.31340000000000001</v>
      </c>
      <c r="AU33" s="152">
        <f t="shared" si="44"/>
        <v>0</v>
      </c>
      <c r="AV33" s="152">
        <f t="shared" si="44"/>
        <v>0</v>
      </c>
      <c r="AW33" s="152">
        <f t="shared" si="44"/>
        <v>0</v>
      </c>
      <c r="AX33" s="152">
        <f t="shared" si="44"/>
        <v>0</v>
      </c>
      <c r="AY33" s="152">
        <f t="shared" si="44"/>
        <v>0</v>
      </c>
      <c r="AZ33" s="152">
        <f t="shared" si="44"/>
        <v>0</v>
      </c>
      <c r="BA33" s="152">
        <f t="shared" si="44"/>
        <v>0</v>
      </c>
      <c r="BB33" s="152">
        <f t="shared" si="44"/>
        <v>0</v>
      </c>
      <c r="BC33" s="152">
        <f t="shared" si="44"/>
        <v>0</v>
      </c>
      <c r="BD33" s="152">
        <f t="shared" si="44"/>
        <v>0</v>
      </c>
      <c r="BE33" s="152">
        <f t="shared" si="44"/>
        <v>0</v>
      </c>
      <c r="BF33" s="152">
        <f t="shared" si="44"/>
        <v>0</v>
      </c>
      <c r="BG33" s="152">
        <f t="shared" si="44"/>
        <v>0</v>
      </c>
      <c r="BH33" s="152">
        <f t="shared" si="44"/>
        <v>0</v>
      </c>
      <c r="BI33" s="152">
        <f t="shared" si="44"/>
        <v>0</v>
      </c>
      <c r="BJ33" s="152">
        <f t="shared" si="44"/>
        <v>0</v>
      </c>
      <c r="BK33" s="152">
        <f t="shared" si="44"/>
        <v>0</v>
      </c>
      <c r="BL33" s="152">
        <f t="shared" si="44"/>
        <v>0</v>
      </c>
      <c r="BM33" s="152">
        <f t="shared" si="44"/>
        <v>0</v>
      </c>
      <c r="BN33" s="152">
        <f t="shared" si="44"/>
        <v>0</v>
      </c>
      <c r="BO33" s="152">
        <f t="shared" si="44"/>
        <v>0</v>
      </c>
      <c r="BP33" s="152">
        <f t="shared" si="44"/>
        <v>0</v>
      </c>
      <c r="BQ33" s="152">
        <f t="shared" si="44"/>
        <v>0</v>
      </c>
      <c r="CJ33">
        <f t="shared" ref="CJ33:DF33" si="45">CJ12</f>
        <v>999999999</v>
      </c>
      <c r="CK33">
        <f t="shared" si="45"/>
        <v>999999999</v>
      </c>
      <c r="CL33">
        <f t="shared" si="45"/>
        <v>999999999</v>
      </c>
      <c r="CM33">
        <f t="shared" si="45"/>
        <v>999999999</v>
      </c>
      <c r="CN33">
        <f t="shared" si="45"/>
        <v>0</v>
      </c>
      <c r="CO33">
        <f t="shared" si="45"/>
        <v>0</v>
      </c>
      <c r="CP33">
        <f t="shared" si="45"/>
        <v>0</v>
      </c>
      <c r="CQ33">
        <f t="shared" si="45"/>
        <v>0</v>
      </c>
      <c r="CR33">
        <f t="shared" si="45"/>
        <v>0</v>
      </c>
      <c r="CS33">
        <f t="shared" si="45"/>
        <v>0</v>
      </c>
      <c r="CT33">
        <f t="shared" si="45"/>
        <v>0</v>
      </c>
      <c r="CU33">
        <f t="shared" si="45"/>
        <v>0</v>
      </c>
      <c r="CV33" t="str">
        <f t="shared" si="45"/>
        <v>COM</v>
      </c>
      <c r="CW33" t="str">
        <f t="shared" si="24"/>
        <v>NONRES</v>
      </c>
      <c r="CX33" t="str">
        <f t="shared" si="45"/>
        <v>N/A</v>
      </c>
      <c r="CY33" t="str">
        <f t="shared" si="45"/>
        <v>NONRES</v>
      </c>
      <c r="CZ33" t="str">
        <f t="shared" si="45"/>
        <v>FULL</v>
      </c>
      <c r="DA33" t="str">
        <f t="shared" si="45"/>
        <v>N</v>
      </c>
      <c r="DB33" t="str">
        <f t="shared" si="45"/>
        <v>N</v>
      </c>
      <c r="DC33" t="str">
        <f t="shared" si="45"/>
        <v>N</v>
      </c>
      <c r="DD33" t="str">
        <f t="shared" si="45"/>
        <v>N</v>
      </c>
      <c r="DE33" t="str">
        <f t="shared" si="45"/>
        <v>N</v>
      </c>
      <c r="DF33" t="str">
        <f t="shared" si="45"/>
        <v>Y</v>
      </c>
    </row>
    <row r="34" spans="1:110">
      <c r="A34" t="str">
        <f t="shared" si="18"/>
        <v>46082GPSVS</v>
      </c>
      <c r="B34" s="153">
        <f t="shared" si="19"/>
        <v>46082</v>
      </c>
      <c r="C34" s="165" t="s">
        <v>763</v>
      </c>
      <c r="D34" s="167" t="s">
        <v>802</v>
      </c>
      <c r="E34" s="177" t="str">
        <f t="shared" si="14"/>
        <v>GPSVS</v>
      </c>
      <c r="F34" s="167" t="s">
        <v>803</v>
      </c>
      <c r="G34" t="str">
        <f t="shared" si="20"/>
        <v>Small Volume Public Authority Service</v>
      </c>
      <c r="H34" s="152" t="str">
        <f t="shared" ref="H34:AM34" si="46">H13</f>
        <v>N</v>
      </c>
      <c r="I34" s="152">
        <f t="shared" si="46"/>
        <v>5</v>
      </c>
      <c r="J34" s="152">
        <f t="shared" si="46"/>
        <v>10</v>
      </c>
      <c r="K34" s="152">
        <f t="shared" si="46"/>
        <v>11</v>
      </c>
      <c r="L34" s="152">
        <f t="shared" si="46"/>
        <v>4</v>
      </c>
      <c r="M34" s="152">
        <f>VLOOKUP($A34,'Rate Changes'!$A$45:$E$63,MATCH(M$3,'Rate Changes'!$A$44:$E$44,0),0)</f>
        <v>28.32</v>
      </c>
      <c r="N34" s="152">
        <f t="shared" si="46"/>
        <v>0</v>
      </c>
      <c r="O34" s="152">
        <f t="shared" si="46"/>
        <v>0</v>
      </c>
      <c r="P34" s="152">
        <f t="shared" si="46"/>
        <v>0</v>
      </c>
      <c r="Q34" s="152">
        <f t="shared" si="46"/>
        <v>0</v>
      </c>
      <c r="R34" s="152">
        <f t="shared" si="46"/>
        <v>0</v>
      </c>
      <c r="S34" s="152">
        <f t="shared" si="46"/>
        <v>0</v>
      </c>
      <c r="T34" s="152">
        <f t="shared" si="46"/>
        <v>0</v>
      </c>
      <c r="U34" s="152">
        <f t="shared" si="46"/>
        <v>0</v>
      </c>
      <c r="V34" s="152">
        <f t="shared" si="46"/>
        <v>0</v>
      </c>
      <c r="W34" s="152" t="str">
        <f t="shared" si="46"/>
        <v>NONE</v>
      </c>
      <c r="X34" s="152" t="str">
        <f t="shared" si="46"/>
        <v>N</v>
      </c>
      <c r="Y34" s="152" t="str">
        <f t="shared" si="46"/>
        <v>N</v>
      </c>
      <c r="Z34" s="152">
        <f t="shared" si="46"/>
        <v>999999999</v>
      </c>
      <c r="AA34" s="152">
        <f t="shared" si="46"/>
        <v>0</v>
      </c>
      <c r="AB34" s="152">
        <f t="shared" si="46"/>
        <v>0</v>
      </c>
      <c r="AC34" s="152">
        <f t="shared" si="46"/>
        <v>0</v>
      </c>
      <c r="AD34" s="152">
        <f t="shared" si="46"/>
        <v>0</v>
      </c>
      <c r="AE34" s="152">
        <f t="shared" si="46"/>
        <v>0</v>
      </c>
      <c r="AF34" s="152">
        <f t="shared" si="46"/>
        <v>0</v>
      </c>
      <c r="AG34" s="152">
        <f t="shared" si="46"/>
        <v>0</v>
      </c>
      <c r="AH34" s="152">
        <f t="shared" si="46"/>
        <v>0</v>
      </c>
      <c r="AI34" s="152">
        <f t="shared" si="46"/>
        <v>0</v>
      </c>
      <c r="AJ34" s="152" t="str">
        <f t="shared" si="46"/>
        <v>N/A</v>
      </c>
      <c r="AK34" s="152" t="str">
        <f t="shared" si="46"/>
        <v>N</v>
      </c>
      <c r="AL34" s="152" t="str">
        <f t="shared" si="46"/>
        <v>N</v>
      </c>
      <c r="AM34" s="152" t="str">
        <f t="shared" si="46"/>
        <v>N</v>
      </c>
      <c r="AN34" s="152">
        <f t="shared" ref="AN34:BQ34" si="47">AN13</f>
        <v>999999999</v>
      </c>
      <c r="AO34" s="152">
        <f t="shared" si="47"/>
        <v>999999999</v>
      </c>
      <c r="AP34" s="152">
        <f t="shared" si="47"/>
        <v>999999999</v>
      </c>
      <c r="AQ34" s="152">
        <f t="shared" si="47"/>
        <v>0</v>
      </c>
      <c r="AR34" s="152">
        <f t="shared" si="47"/>
        <v>0</v>
      </c>
      <c r="AS34" s="152">
        <f t="shared" si="47"/>
        <v>0</v>
      </c>
      <c r="AT34" s="152">
        <f>VLOOKUP($A34,'Rate Changes'!$A$45:$E$63,MATCH(AT$3,'Rate Changes'!$A$44:$E$44,0),0)</f>
        <v>0.31340000000000001</v>
      </c>
      <c r="AU34" s="152">
        <f t="shared" si="47"/>
        <v>0</v>
      </c>
      <c r="AV34" s="152">
        <f t="shared" si="47"/>
        <v>0</v>
      </c>
      <c r="AW34" s="152">
        <f t="shared" si="47"/>
        <v>0</v>
      </c>
      <c r="AX34" s="152">
        <f t="shared" si="47"/>
        <v>0</v>
      </c>
      <c r="AY34" s="152">
        <f t="shared" si="47"/>
        <v>0</v>
      </c>
      <c r="AZ34" s="152">
        <f t="shared" si="47"/>
        <v>0</v>
      </c>
      <c r="BA34" s="152">
        <f t="shared" si="47"/>
        <v>0</v>
      </c>
      <c r="BB34" s="152">
        <f t="shared" si="47"/>
        <v>0</v>
      </c>
      <c r="BC34" s="152">
        <f t="shared" si="47"/>
        <v>0</v>
      </c>
      <c r="BD34" s="152">
        <f t="shared" si="47"/>
        <v>0</v>
      </c>
      <c r="BE34" s="152">
        <f t="shared" si="47"/>
        <v>0</v>
      </c>
      <c r="BF34" s="152">
        <f t="shared" si="47"/>
        <v>0</v>
      </c>
      <c r="BG34" s="152">
        <f t="shared" si="47"/>
        <v>0</v>
      </c>
      <c r="BH34" s="152">
        <f t="shared" si="47"/>
        <v>0</v>
      </c>
      <c r="BI34" s="152">
        <f t="shared" si="47"/>
        <v>0</v>
      </c>
      <c r="BJ34" s="152">
        <f t="shared" si="47"/>
        <v>0</v>
      </c>
      <c r="BK34" s="152">
        <f t="shared" si="47"/>
        <v>0</v>
      </c>
      <c r="BL34" s="152">
        <f t="shared" si="47"/>
        <v>0</v>
      </c>
      <c r="BM34" s="152">
        <f t="shared" si="47"/>
        <v>0</v>
      </c>
      <c r="BN34" s="152">
        <f t="shared" si="47"/>
        <v>0</v>
      </c>
      <c r="BO34" s="152">
        <f t="shared" si="47"/>
        <v>0</v>
      </c>
      <c r="BP34" s="152">
        <f t="shared" si="47"/>
        <v>0</v>
      </c>
      <c r="BQ34" s="152">
        <f t="shared" si="47"/>
        <v>0</v>
      </c>
      <c r="CJ34">
        <f t="shared" ref="CJ34:DF34" si="48">CJ13</f>
        <v>999999999</v>
      </c>
      <c r="CK34">
        <f t="shared" si="48"/>
        <v>999999999</v>
      </c>
      <c r="CL34">
        <f t="shared" si="48"/>
        <v>999999999</v>
      </c>
      <c r="CM34">
        <f t="shared" si="48"/>
        <v>999999999</v>
      </c>
      <c r="CN34">
        <f t="shared" si="48"/>
        <v>0</v>
      </c>
      <c r="CO34">
        <f t="shared" si="48"/>
        <v>0</v>
      </c>
      <c r="CP34">
        <f t="shared" si="48"/>
        <v>0</v>
      </c>
      <c r="CQ34">
        <f t="shared" si="48"/>
        <v>0</v>
      </c>
      <c r="CR34">
        <f t="shared" si="48"/>
        <v>0</v>
      </c>
      <c r="CS34">
        <f t="shared" si="48"/>
        <v>0</v>
      </c>
      <c r="CT34">
        <f t="shared" si="48"/>
        <v>0</v>
      </c>
      <c r="CU34">
        <f t="shared" si="48"/>
        <v>0</v>
      </c>
      <c r="CV34" t="str">
        <f t="shared" si="48"/>
        <v>COM</v>
      </c>
      <c r="CW34" t="str">
        <f t="shared" si="24"/>
        <v>NONRES</v>
      </c>
      <c r="CX34" t="str">
        <f t="shared" si="48"/>
        <v>N/A</v>
      </c>
      <c r="CY34" t="str">
        <f t="shared" si="48"/>
        <v>NONRES</v>
      </c>
      <c r="CZ34" t="str">
        <f t="shared" si="48"/>
        <v>FULL</v>
      </c>
      <c r="DA34" t="str">
        <f t="shared" si="48"/>
        <v>N</v>
      </c>
      <c r="DB34" t="str">
        <f t="shared" si="48"/>
        <v>N</v>
      </c>
      <c r="DC34" t="str">
        <f t="shared" si="48"/>
        <v>Y</v>
      </c>
      <c r="DD34" t="str">
        <f t="shared" si="48"/>
        <v>N</v>
      </c>
      <c r="DE34" t="str">
        <f t="shared" si="48"/>
        <v>N</v>
      </c>
      <c r="DF34" t="str">
        <f t="shared" si="48"/>
        <v>Y</v>
      </c>
    </row>
    <row r="35" spans="1:110">
      <c r="A35" t="str">
        <f t="shared" si="18"/>
        <v>46082GPLVS</v>
      </c>
      <c r="B35" s="153">
        <f t="shared" si="19"/>
        <v>46082</v>
      </c>
      <c r="C35" s="165" t="s">
        <v>763</v>
      </c>
      <c r="D35" s="167" t="s">
        <v>802</v>
      </c>
      <c r="E35" s="177" t="str">
        <f t="shared" si="14"/>
        <v>GPLVS</v>
      </c>
      <c r="F35" s="167" t="s">
        <v>806</v>
      </c>
      <c r="G35" t="str">
        <f t="shared" si="20"/>
        <v>Large Volume Public Authority Service</v>
      </c>
      <c r="H35" s="152" t="str">
        <f t="shared" ref="H35:AM35" si="49">H14</f>
        <v>N</v>
      </c>
      <c r="I35" s="152">
        <f t="shared" si="49"/>
        <v>5</v>
      </c>
      <c r="J35" s="152">
        <f t="shared" si="49"/>
        <v>10</v>
      </c>
      <c r="K35" s="152">
        <f t="shared" si="49"/>
        <v>11</v>
      </c>
      <c r="L35" s="152">
        <f t="shared" si="49"/>
        <v>4</v>
      </c>
      <c r="M35" s="152">
        <f>VLOOKUP($A35,'Rate Changes'!$A$45:$E$63,MATCH(M$3,'Rate Changes'!$A$44:$E$44,0),0)</f>
        <v>285.73</v>
      </c>
      <c r="N35" s="152">
        <f t="shared" si="49"/>
        <v>0</v>
      </c>
      <c r="O35" s="152">
        <f t="shared" si="49"/>
        <v>0</v>
      </c>
      <c r="P35" s="152">
        <f t="shared" si="49"/>
        <v>0</v>
      </c>
      <c r="Q35" s="152">
        <f t="shared" si="49"/>
        <v>0</v>
      </c>
      <c r="R35" s="152">
        <f t="shared" si="49"/>
        <v>0</v>
      </c>
      <c r="S35" s="152">
        <f t="shared" si="49"/>
        <v>0</v>
      </c>
      <c r="T35" s="152">
        <f t="shared" si="49"/>
        <v>0</v>
      </c>
      <c r="U35" s="152">
        <f t="shared" si="49"/>
        <v>0</v>
      </c>
      <c r="V35" s="152">
        <f t="shared" si="49"/>
        <v>0</v>
      </c>
      <c r="W35" s="152" t="str">
        <f t="shared" si="49"/>
        <v>NONE</v>
      </c>
      <c r="X35" s="152" t="str">
        <f t="shared" si="49"/>
        <v>N</v>
      </c>
      <c r="Y35" s="152" t="str">
        <f t="shared" si="49"/>
        <v>N</v>
      </c>
      <c r="Z35" s="152">
        <f t="shared" si="49"/>
        <v>999999999</v>
      </c>
      <c r="AA35" s="152">
        <f t="shared" si="49"/>
        <v>0</v>
      </c>
      <c r="AB35" s="152">
        <f t="shared" si="49"/>
        <v>0</v>
      </c>
      <c r="AC35" s="152">
        <f t="shared" si="49"/>
        <v>0</v>
      </c>
      <c r="AD35" s="152">
        <f t="shared" si="49"/>
        <v>0</v>
      </c>
      <c r="AE35" s="152">
        <f t="shared" si="49"/>
        <v>0</v>
      </c>
      <c r="AF35" s="152">
        <f t="shared" si="49"/>
        <v>0</v>
      </c>
      <c r="AG35" s="152">
        <f t="shared" si="49"/>
        <v>0</v>
      </c>
      <c r="AH35" s="152">
        <f t="shared" si="49"/>
        <v>0</v>
      </c>
      <c r="AI35" s="152">
        <f t="shared" si="49"/>
        <v>0</v>
      </c>
      <c r="AJ35" s="152" t="str">
        <f t="shared" si="49"/>
        <v>N/A</v>
      </c>
      <c r="AK35" s="152" t="str">
        <f t="shared" si="49"/>
        <v>N</v>
      </c>
      <c r="AL35" s="152" t="str">
        <f t="shared" si="49"/>
        <v>N</v>
      </c>
      <c r="AM35" s="152" t="str">
        <f t="shared" si="49"/>
        <v>N</v>
      </c>
      <c r="AN35" s="152">
        <f t="shared" ref="AN35:BQ35" si="50">AN14</f>
        <v>999999999</v>
      </c>
      <c r="AO35" s="152">
        <f t="shared" si="50"/>
        <v>999999999</v>
      </c>
      <c r="AP35" s="152">
        <f t="shared" si="50"/>
        <v>999999999</v>
      </c>
      <c r="AQ35" s="152">
        <f t="shared" si="50"/>
        <v>0</v>
      </c>
      <c r="AR35" s="152">
        <f t="shared" si="50"/>
        <v>0</v>
      </c>
      <c r="AS35" s="152">
        <f t="shared" si="50"/>
        <v>0</v>
      </c>
      <c r="AT35" s="152">
        <f>VLOOKUP($A35,'Rate Changes'!$A$45:$E$63,MATCH(AT$3,'Rate Changes'!$A$44:$E$44,0),0)</f>
        <v>0.16200000000000001</v>
      </c>
      <c r="AU35" s="152">
        <f t="shared" si="50"/>
        <v>0</v>
      </c>
      <c r="AV35" s="152">
        <f t="shared" si="50"/>
        <v>0</v>
      </c>
      <c r="AW35" s="152">
        <f t="shared" si="50"/>
        <v>0</v>
      </c>
      <c r="AX35" s="152">
        <f t="shared" si="50"/>
        <v>0</v>
      </c>
      <c r="AY35" s="152">
        <f t="shared" si="50"/>
        <v>0</v>
      </c>
      <c r="AZ35" s="152">
        <f t="shared" si="50"/>
        <v>0</v>
      </c>
      <c r="BA35" s="152">
        <f t="shared" si="50"/>
        <v>0</v>
      </c>
      <c r="BB35" s="152">
        <f t="shared" si="50"/>
        <v>0</v>
      </c>
      <c r="BC35" s="152">
        <f t="shared" si="50"/>
        <v>0</v>
      </c>
      <c r="BD35" s="152">
        <f t="shared" si="50"/>
        <v>0</v>
      </c>
      <c r="BE35" s="152">
        <f t="shared" si="50"/>
        <v>0</v>
      </c>
      <c r="BF35" s="152">
        <f t="shared" si="50"/>
        <v>0</v>
      </c>
      <c r="BG35" s="152">
        <f t="shared" si="50"/>
        <v>0</v>
      </c>
      <c r="BH35" s="152">
        <f t="shared" si="50"/>
        <v>0</v>
      </c>
      <c r="BI35" s="152">
        <f t="shared" si="50"/>
        <v>0</v>
      </c>
      <c r="BJ35" s="152">
        <f t="shared" si="50"/>
        <v>0</v>
      </c>
      <c r="BK35" s="152">
        <f t="shared" si="50"/>
        <v>0</v>
      </c>
      <c r="BL35" s="152">
        <f t="shared" si="50"/>
        <v>0</v>
      </c>
      <c r="BM35" s="152">
        <f t="shared" si="50"/>
        <v>0</v>
      </c>
      <c r="BN35" s="152">
        <f t="shared" si="50"/>
        <v>0</v>
      </c>
      <c r="BO35" s="152">
        <f t="shared" si="50"/>
        <v>0</v>
      </c>
      <c r="BP35" s="152">
        <f t="shared" si="50"/>
        <v>0</v>
      </c>
      <c r="BQ35" s="152">
        <f t="shared" si="50"/>
        <v>0</v>
      </c>
      <c r="CJ35">
        <f t="shared" ref="CJ35:DF35" si="51">CJ14</f>
        <v>999999999</v>
      </c>
      <c r="CK35">
        <f t="shared" si="51"/>
        <v>999999999</v>
      </c>
      <c r="CL35">
        <f t="shared" si="51"/>
        <v>999999999</v>
      </c>
      <c r="CM35">
        <f t="shared" si="51"/>
        <v>999999999</v>
      </c>
      <c r="CN35">
        <f t="shared" si="51"/>
        <v>0</v>
      </c>
      <c r="CO35">
        <f t="shared" si="51"/>
        <v>0</v>
      </c>
      <c r="CP35">
        <f t="shared" si="51"/>
        <v>0</v>
      </c>
      <c r="CQ35">
        <f t="shared" si="51"/>
        <v>0</v>
      </c>
      <c r="CR35">
        <f t="shared" si="51"/>
        <v>0</v>
      </c>
      <c r="CS35">
        <f t="shared" si="51"/>
        <v>0</v>
      </c>
      <c r="CT35">
        <f t="shared" si="51"/>
        <v>0</v>
      </c>
      <c r="CU35">
        <f t="shared" si="51"/>
        <v>0</v>
      </c>
      <c r="CV35" t="str">
        <f t="shared" si="51"/>
        <v>IND</v>
      </c>
      <c r="CW35" t="str">
        <f t="shared" si="24"/>
        <v>NONRES</v>
      </c>
      <c r="CX35" t="str">
        <f t="shared" si="51"/>
        <v>N/A</v>
      </c>
      <c r="CY35" t="str">
        <f t="shared" si="51"/>
        <v>NONRES</v>
      </c>
      <c r="CZ35" t="str">
        <f t="shared" si="51"/>
        <v>FULL</v>
      </c>
      <c r="DA35" t="str">
        <f t="shared" si="51"/>
        <v>N</v>
      </c>
      <c r="DB35" t="str">
        <f t="shared" si="51"/>
        <v>N</v>
      </c>
      <c r="DC35" t="str">
        <f t="shared" si="51"/>
        <v>N</v>
      </c>
      <c r="DD35" t="str">
        <f t="shared" si="51"/>
        <v>N</v>
      </c>
      <c r="DE35" t="str">
        <f t="shared" si="51"/>
        <v>N</v>
      </c>
      <c r="DF35" t="str">
        <f t="shared" si="51"/>
        <v>Y</v>
      </c>
    </row>
    <row r="36" spans="1:110">
      <c r="A36" t="str">
        <f t="shared" si="18"/>
        <v>46082GRRES</v>
      </c>
      <c r="B36" s="153">
        <f t="shared" si="19"/>
        <v>46082</v>
      </c>
      <c r="C36" s="165" t="s">
        <v>763</v>
      </c>
      <c r="D36" s="167" t="s">
        <v>780</v>
      </c>
      <c r="E36" s="177" t="str">
        <f t="shared" si="14"/>
        <v>GRRES</v>
      </c>
      <c r="F36" s="167" t="s">
        <v>809</v>
      </c>
      <c r="G36" t="str">
        <f t="shared" si="20"/>
        <v>Residential Gas Service</v>
      </c>
      <c r="H36" s="152" t="str">
        <f t="shared" ref="H36:AM36" si="52">H15</f>
        <v>N</v>
      </c>
      <c r="I36" s="152">
        <f t="shared" si="52"/>
        <v>5</v>
      </c>
      <c r="J36" s="152">
        <f t="shared" si="52"/>
        <v>10</v>
      </c>
      <c r="K36" s="152">
        <f t="shared" si="52"/>
        <v>11</v>
      </c>
      <c r="L36" s="152">
        <f t="shared" si="52"/>
        <v>4</v>
      </c>
      <c r="M36" s="152">
        <f>VLOOKUP($A36,'Rate Changes'!$A$45:$E$63,MATCH(M$3,'Rate Changes'!$A$44:$E$44,0),0)</f>
        <v>11.94</v>
      </c>
      <c r="N36" s="152">
        <f t="shared" si="52"/>
        <v>0</v>
      </c>
      <c r="O36" s="152">
        <v>0</v>
      </c>
      <c r="P36" s="152">
        <f t="shared" si="52"/>
        <v>0</v>
      </c>
      <c r="Q36" s="152">
        <f t="shared" si="52"/>
        <v>0</v>
      </c>
      <c r="R36" s="152">
        <f t="shared" si="52"/>
        <v>0</v>
      </c>
      <c r="S36" s="152">
        <f t="shared" si="52"/>
        <v>0</v>
      </c>
      <c r="T36" s="152">
        <f t="shared" si="52"/>
        <v>0</v>
      </c>
      <c r="U36" s="152">
        <f t="shared" si="52"/>
        <v>0</v>
      </c>
      <c r="V36" s="152">
        <f t="shared" si="52"/>
        <v>0</v>
      </c>
      <c r="W36" s="152" t="str">
        <f t="shared" si="52"/>
        <v>NONE</v>
      </c>
      <c r="X36" s="152" t="str">
        <f t="shared" si="52"/>
        <v>N</v>
      </c>
      <c r="Y36" s="152" t="str">
        <f t="shared" si="52"/>
        <v>N</v>
      </c>
      <c r="Z36" s="152">
        <f t="shared" si="52"/>
        <v>999999999</v>
      </c>
      <c r="AA36" s="152">
        <f t="shared" si="52"/>
        <v>0</v>
      </c>
      <c r="AB36" s="152">
        <f t="shared" si="52"/>
        <v>0</v>
      </c>
      <c r="AC36" s="152">
        <f t="shared" si="52"/>
        <v>0</v>
      </c>
      <c r="AD36" s="152">
        <f t="shared" si="52"/>
        <v>0</v>
      </c>
      <c r="AE36" s="152">
        <f t="shared" si="52"/>
        <v>0</v>
      </c>
      <c r="AF36" s="152">
        <f t="shared" si="52"/>
        <v>0</v>
      </c>
      <c r="AG36" s="152">
        <f t="shared" si="52"/>
        <v>0</v>
      </c>
      <c r="AH36" s="152">
        <f t="shared" si="52"/>
        <v>0</v>
      </c>
      <c r="AI36" s="152">
        <f t="shared" si="52"/>
        <v>0</v>
      </c>
      <c r="AJ36" s="152" t="str">
        <f t="shared" si="52"/>
        <v>N/A</v>
      </c>
      <c r="AK36" s="152" t="str">
        <f t="shared" si="52"/>
        <v>N</v>
      </c>
      <c r="AL36" s="152" t="str">
        <f t="shared" si="52"/>
        <v>N</v>
      </c>
      <c r="AM36" s="152" t="str">
        <f t="shared" si="52"/>
        <v>N</v>
      </c>
      <c r="AN36" s="152">
        <f t="shared" ref="AN36:BQ36" si="53">AN15</f>
        <v>999999999</v>
      </c>
      <c r="AO36" s="152">
        <f t="shared" si="53"/>
        <v>999999999</v>
      </c>
      <c r="AP36" s="152">
        <f t="shared" si="53"/>
        <v>999999999</v>
      </c>
      <c r="AQ36" s="152">
        <f t="shared" si="53"/>
        <v>0</v>
      </c>
      <c r="AR36" s="152">
        <f t="shared" si="53"/>
        <v>0</v>
      </c>
      <c r="AS36" s="152">
        <f t="shared" si="53"/>
        <v>0</v>
      </c>
      <c r="AT36" s="152">
        <f>VLOOKUP($A36,'Rate Changes'!$A$45:$E$63,MATCH(AT$3,'Rate Changes'!$A$44:$E$44,0),0)</f>
        <v>0.38009999999999999</v>
      </c>
      <c r="AU36" s="152">
        <f t="shared" si="53"/>
        <v>0</v>
      </c>
      <c r="AV36" s="152">
        <f t="shared" si="53"/>
        <v>0</v>
      </c>
      <c r="AW36" s="152">
        <f t="shared" si="53"/>
        <v>0</v>
      </c>
      <c r="AX36" s="152">
        <f t="shared" si="53"/>
        <v>0</v>
      </c>
      <c r="AY36" s="152">
        <f t="shared" si="53"/>
        <v>0</v>
      </c>
      <c r="AZ36" s="152">
        <f t="shared" si="53"/>
        <v>0</v>
      </c>
      <c r="BA36" s="152">
        <f t="shared" si="53"/>
        <v>0</v>
      </c>
      <c r="BB36" s="152">
        <f t="shared" si="53"/>
        <v>0</v>
      </c>
      <c r="BC36" s="152">
        <f t="shared" si="53"/>
        <v>0</v>
      </c>
      <c r="BD36" s="152">
        <f t="shared" si="53"/>
        <v>0</v>
      </c>
      <c r="BE36" s="152">
        <f t="shared" si="53"/>
        <v>0</v>
      </c>
      <c r="BF36" s="152">
        <f t="shared" si="53"/>
        <v>0</v>
      </c>
      <c r="BG36" s="152">
        <f t="shared" si="53"/>
        <v>0</v>
      </c>
      <c r="BH36" s="152">
        <f t="shared" si="53"/>
        <v>0</v>
      </c>
      <c r="BI36" s="152">
        <f t="shared" si="53"/>
        <v>0</v>
      </c>
      <c r="BJ36" s="152">
        <f t="shared" si="53"/>
        <v>0</v>
      </c>
      <c r="BK36" s="152">
        <f t="shared" si="53"/>
        <v>0</v>
      </c>
      <c r="BL36" s="152">
        <f t="shared" si="53"/>
        <v>0</v>
      </c>
      <c r="BM36" s="152">
        <f t="shared" si="53"/>
        <v>0</v>
      </c>
      <c r="BN36" s="152">
        <f t="shared" si="53"/>
        <v>0</v>
      </c>
      <c r="BO36" s="152">
        <f t="shared" si="53"/>
        <v>0</v>
      </c>
      <c r="BP36" s="152">
        <f t="shared" si="53"/>
        <v>0</v>
      </c>
      <c r="BQ36" s="152">
        <f t="shared" si="53"/>
        <v>0</v>
      </c>
      <c r="CJ36">
        <f t="shared" ref="CJ36:DF36" si="54">CJ15</f>
        <v>999999999</v>
      </c>
      <c r="CK36">
        <f t="shared" si="54"/>
        <v>999999999</v>
      </c>
      <c r="CL36">
        <f t="shared" si="54"/>
        <v>999999999</v>
      </c>
      <c r="CM36">
        <f t="shared" si="54"/>
        <v>999999999</v>
      </c>
      <c r="CN36">
        <f t="shared" si="54"/>
        <v>0</v>
      </c>
      <c r="CO36">
        <f t="shared" si="54"/>
        <v>0</v>
      </c>
      <c r="CP36">
        <f t="shared" si="54"/>
        <v>0</v>
      </c>
      <c r="CQ36">
        <f t="shared" si="54"/>
        <v>0</v>
      </c>
      <c r="CR36">
        <f t="shared" si="54"/>
        <v>0</v>
      </c>
      <c r="CS36">
        <f t="shared" si="54"/>
        <v>0</v>
      </c>
      <c r="CT36">
        <f t="shared" si="54"/>
        <v>0</v>
      </c>
      <c r="CU36">
        <f t="shared" si="54"/>
        <v>0</v>
      </c>
      <c r="CV36" t="str">
        <f t="shared" si="54"/>
        <v>RES</v>
      </c>
      <c r="CW36" t="str">
        <f t="shared" si="24"/>
        <v>RES</v>
      </c>
      <c r="CX36" t="str">
        <f t="shared" si="54"/>
        <v>N/A</v>
      </c>
      <c r="CY36" t="str">
        <f t="shared" si="54"/>
        <v>RES</v>
      </c>
      <c r="CZ36" t="str">
        <f t="shared" si="54"/>
        <v>FULL</v>
      </c>
      <c r="DA36" t="str">
        <f t="shared" si="54"/>
        <v>Y</v>
      </c>
      <c r="DB36" t="str">
        <f t="shared" si="54"/>
        <v>N</v>
      </c>
      <c r="DC36" t="str">
        <f t="shared" si="54"/>
        <v>Y</v>
      </c>
      <c r="DD36" t="str">
        <f t="shared" si="54"/>
        <v>N</v>
      </c>
      <c r="DE36" t="str">
        <f t="shared" si="54"/>
        <v>N</v>
      </c>
      <c r="DF36" t="str">
        <f t="shared" si="54"/>
        <v>Y</v>
      </c>
    </row>
    <row r="37" spans="1:110">
      <c r="A37" t="str">
        <f t="shared" si="18"/>
        <v>46082GRRESC</v>
      </c>
      <c r="B37" s="153">
        <f t="shared" si="19"/>
        <v>46082</v>
      </c>
      <c r="C37" s="165" t="s">
        <v>763</v>
      </c>
      <c r="D37" s="167" t="s">
        <v>780</v>
      </c>
      <c r="E37" s="177" t="str">
        <f t="shared" si="14"/>
        <v>GRRESC</v>
      </c>
      <c r="F37" s="167" t="s">
        <v>812</v>
      </c>
      <c r="G37" t="str">
        <f t="shared" si="20"/>
        <v>Residential CARES Gas Service</v>
      </c>
      <c r="H37" s="152" t="s">
        <v>772</v>
      </c>
      <c r="I37" s="152">
        <f t="shared" ref="I37:AM37" si="55">I16</f>
        <v>5</v>
      </c>
      <c r="J37" s="152">
        <f t="shared" si="55"/>
        <v>10</v>
      </c>
      <c r="K37" s="152">
        <f t="shared" si="55"/>
        <v>11</v>
      </c>
      <c r="L37" s="152">
        <f t="shared" si="55"/>
        <v>4</v>
      </c>
      <c r="M37" s="152">
        <f>VLOOKUP($A37,'Rate Changes'!$A$45:$E$63,MATCH(M$3,'Rate Changes'!$A$44:$E$44,0),0)</f>
        <v>11.94</v>
      </c>
      <c r="N37" s="152">
        <f t="shared" si="55"/>
        <v>0</v>
      </c>
      <c r="O37" s="152">
        <v>0</v>
      </c>
      <c r="P37" s="152">
        <f t="shared" si="55"/>
        <v>0</v>
      </c>
      <c r="Q37" s="152">
        <f t="shared" si="55"/>
        <v>0</v>
      </c>
      <c r="R37" s="152">
        <f t="shared" si="55"/>
        <v>0</v>
      </c>
      <c r="S37" s="152">
        <f t="shared" si="55"/>
        <v>0</v>
      </c>
      <c r="T37" s="152">
        <f t="shared" si="55"/>
        <v>0</v>
      </c>
      <c r="U37" s="152">
        <f t="shared" si="55"/>
        <v>0</v>
      </c>
      <c r="V37" s="152">
        <f t="shared" si="55"/>
        <v>0</v>
      </c>
      <c r="W37" s="152" t="str">
        <f t="shared" si="55"/>
        <v>NONE</v>
      </c>
      <c r="X37" s="152" t="str">
        <f t="shared" si="55"/>
        <v>N</v>
      </c>
      <c r="Y37" s="152" t="str">
        <f t="shared" si="55"/>
        <v>N</v>
      </c>
      <c r="Z37" s="152">
        <f t="shared" si="55"/>
        <v>999999999</v>
      </c>
      <c r="AA37" s="152">
        <f t="shared" si="55"/>
        <v>0</v>
      </c>
      <c r="AB37" s="152">
        <f t="shared" si="55"/>
        <v>0</v>
      </c>
      <c r="AC37" s="152">
        <f t="shared" si="55"/>
        <v>0</v>
      </c>
      <c r="AD37" s="152">
        <f t="shared" si="55"/>
        <v>0</v>
      </c>
      <c r="AE37" s="152">
        <f t="shared" si="55"/>
        <v>0</v>
      </c>
      <c r="AF37" s="152">
        <f t="shared" si="55"/>
        <v>0</v>
      </c>
      <c r="AG37" s="152">
        <f t="shared" si="55"/>
        <v>0</v>
      </c>
      <c r="AH37" s="152">
        <f t="shared" si="55"/>
        <v>0</v>
      </c>
      <c r="AI37" s="152">
        <f t="shared" si="55"/>
        <v>0</v>
      </c>
      <c r="AJ37" s="152" t="str">
        <f t="shared" si="55"/>
        <v>N/A</v>
      </c>
      <c r="AK37" s="152" t="str">
        <f t="shared" si="55"/>
        <v>N</v>
      </c>
      <c r="AL37" s="152" t="str">
        <f t="shared" si="55"/>
        <v>N</v>
      </c>
      <c r="AM37" s="152" t="str">
        <f t="shared" si="55"/>
        <v>N</v>
      </c>
      <c r="AN37" s="152">
        <f t="shared" ref="AN37:BQ37" si="56">AN16</f>
        <v>999999999</v>
      </c>
      <c r="AO37" s="152">
        <f t="shared" si="56"/>
        <v>999999999</v>
      </c>
      <c r="AP37" s="152">
        <f t="shared" si="56"/>
        <v>999999999</v>
      </c>
      <c r="AQ37" s="152">
        <f t="shared" si="56"/>
        <v>0</v>
      </c>
      <c r="AR37" s="152">
        <f t="shared" si="56"/>
        <v>0</v>
      </c>
      <c r="AS37" s="152">
        <f t="shared" si="56"/>
        <v>0</v>
      </c>
      <c r="AT37" s="152">
        <f>VLOOKUP($A37,'Rate Changes'!$A$45:$E$63,MATCH(AT$3,'Rate Changes'!$A$44:$E$44,0),0)</f>
        <v>0.38009999999999999</v>
      </c>
      <c r="AU37" s="152">
        <f t="shared" si="56"/>
        <v>0</v>
      </c>
      <c r="AV37" s="152">
        <f t="shared" si="56"/>
        <v>0</v>
      </c>
      <c r="AW37" s="152">
        <f t="shared" si="56"/>
        <v>0</v>
      </c>
      <c r="AX37" s="152">
        <f t="shared" si="56"/>
        <v>0</v>
      </c>
      <c r="AY37" s="152">
        <f t="shared" si="56"/>
        <v>0</v>
      </c>
      <c r="AZ37" s="152">
        <f t="shared" si="56"/>
        <v>0</v>
      </c>
      <c r="BA37" s="152">
        <f t="shared" si="56"/>
        <v>0.34339999999999998</v>
      </c>
      <c r="BB37" s="152">
        <f t="shared" si="56"/>
        <v>0</v>
      </c>
      <c r="BC37" s="152">
        <f t="shared" si="56"/>
        <v>0</v>
      </c>
      <c r="BD37" s="152">
        <f t="shared" si="56"/>
        <v>0</v>
      </c>
      <c r="BE37" s="152">
        <f t="shared" si="56"/>
        <v>0</v>
      </c>
      <c r="BF37" s="152">
        <f t="shared" si="56"/>
        <v>0</v>
      </c>
      <c r="BG37" s="152">
        <f t="shared" si="56"/>
        <v>0</v>
      </c>
      <c r="BH37" s="152">
        <f t="shared" si="56"/>
        <v>0</v>
      </c>
      <c r="BI37" s="152">
        <f t="shared" si="56"/>
        <v>0</v>
      </c>
      <c r="BJ37" s="152">
        <f t="shared" si="56"/>
        <v>0</v>
      </c>
      <c r="BK37" s="152">
        <f t="shared" si="56"/>
        <v>0</v>
      </c>
      <c r="BL37" s="152">
        <f t="shared" si="56"/>
        <v>0</v>
      </c>
      <c r="BM37" s="152">
        <f t="shared" si="56"/>
        <v>0</v>
      </c>
      <c r="BN37" s="152">
        <f t="shared" si="56"/>
        <v>0</v>
      </c>
      <c r="BO37" s="152">
        <f t="shared" si="56"/>
        <v>0</v>
      </c>
      <c r="BP37" s="152">
        <f t="shared" si="56"/>
        <v>0</v>
      </c>
      <c r="BQ37" s="152">
        <f t="shared" si="56"/>
        <v>0</v>
      </c>
      <c r="CJ37">
        <f t="shared" ref="CJ37:DF37" si="57">CJ16</f>
        <v>100</v>
      </c>
      <c r="CK37">
        <f t="shared" si="57"/>
        <v>999999999</v>
      </c>
      <c r="CL37">
        <f t="shared" si="57"/>
        <v>999999999</v>
      </c>
      <c r="CM37">
        <f t="shared" si="57"/>
        <v>999999999</v>
      </c>
      <c r="CN37">
        <v>0</v>
      </c>
      <c r="CO37">
        <f t="shared" si="57"/>
        <v>0</v>
      </c>
      <c r="CP37">
        <f t="shared" si="57"/>
        <v>0</v>
      </c>
      <c r="CQ37">
        <f t="shared" si="57"/>
        <v>0</v>
      </c>
      <c r="CR37">
        <f t="shared" si="57"/>
        <v>0</v>
      </c>
      <c r="CS37">
        <f t="shared" si="57"/>
        <v>0</v>
      </c>
      <c r="CT37">
        <f t="shared" si="57"/>
        <v>0</v>
      </c>
      <c r="CU37">
        <f t="shared" si="57"/>
        <v>0</v>
      </c>
      <c r="CV37" t="str">
        <f t="shared" si="57"/>
        <v>RES</v>
      </c>
      <c r="CW37" t="str">
        <f t="shared" si="24"/>
        <v>EXEMPT</v>
      </c>
      <c r="CX37" t="str">
        <f t="shared" si="57"/>
        <v>N/A</v>
      </c>
      <c r="CY37" t="str">
        <f t="shared" si="57"/>
        <v>EXEMPT</v>
      </c>
      <c r="CZ37" t="str">
        <f t="shared" si="57"/>
        <v>FULL</v>
      </c>
      <c r="DA37" t="str">
        <f t="shared" si="57"/>
        <v>Y</v>
      </c>
      <c r="DB37" t="str">
        <f t="shared" si="57"/>
        <v>N</v>
      </c>
      <c r="DC37" t="s">
        <v>772</v>
      </c>
      <c r="DD37" t="str">
        <f t="shared" si="57"/>
        <v>N</v>
      </c>
      <c r="DE37" t="str">
        <f t="shared" si="57"/>
        <v>N</v>
      </c>
      <c r="DF37" t="str">
        <f t="shared" si="57"/>
        <v>Y</v>
      </c>
    </row>
    <row r="38" spans="1:110">
      <c r="A38" t="str">
        <f t="shared" si="18"/>
        <v>46082GTGLVS</v>
      </c>
      <c r="B38" s="153">
        <f t="shared" si="19"/>
        <v>46082</v>
      </c>
      <c r="C38" s="165" t="s">
        <v>763</v>
      </c>
      <c r="D38" s="167" t="s">
        <v>787</v>
      </c>
      <c r="E38" s="177" t="str">
        <f t="shared" si="14"/>
        <v>GTGLVS</v>
      </c>
      <c r="F38" s="167" t="s">
        <v>788</v>
      </c>
      <c r="G38" t="str">
        <f t="shared" si="20"/>
        <v>Transportation LV Large Commercial</v>
      </c>
      <c r="H38" s="152" t="str">
        <f t="shared" ref="H38:AM38" si="58">H17</f>
        <v>N</v>
      </c>
      <c r="I38" s="152">
        <f t="shared" si="58"/>
        <v>5</v>
      </c>
      <c r="J38" s="152">
        <f t="shared" si="58"/>
        <v>10</v>
      </c>
      <c r="K38" s="152">
        <f t="shared" si="58"/>
        <v>11</v>
      </c>
      <c r="L38" s="152">
        <f t="shared" si="58"/>
        <v>4</v>
      </c>
      <c r="M38" s="152">
        <f>VLOOKUP($A38,'Rate Changes'!$A$45:$E$63,MATCH(M$3,'Rate Changes'!$A$44:$E$44,0),0)</f>
        <v>285.73</v>
      </c>
      <c r="N38" s="152">
        <f t="shared" si="58"/>
        <v>0</v>
      </c>
      <c r="O38" s="152">
        <f t="shared" si="58"/>
        <v>0</v>
      </c>
      <c r="P38" s="152">
        <f t="shared" si="58"/>
        <v>0</v>
      </c>
      <c r="Q38" s="152">
        <f t="shared" si="58"/>
        <v>0</v>
      </c>
      <c r="R38" s="152">
        <f t="shared" si="58"/>
        <v>0</v>
      </c>
      <c r="S38" s="152">
        <f t="shared" si="58"/>
        <v>0</v>
      </c>
      <c r="T38" s="152">
        <f t="shared" si="58"/>
        <v>0</v>
      </c>
      <c r="U38" s="152">
        <f t="shared" si="58"/>
        <v>0</v>
      </c>
      <c r="V38" s="152">
        <f t="shared" si="58"/>
        <v>0</v>
      </c>
      <c r="W38" s="152" t="str">
        <f t="shared" si="58"/>
        <v>NONE</v>
      </c>
      <c r="X38" s="152" t="str">
        <f t="shared" si="58"/>
        <v>N</v>
      </c>
      <c r="Y38" s="152" t="str">
        <f t="shared" si="58"/>
        <v>N</v>
      </c>
      <c r="Z38" s="152">
        <f t="shared" si="58"/>
        <v>999999999</v>
      </c>
      <c r="AA38" s="152">
        <f t="shared" si="58"/>
        <v>0</v>
      </c>
      <c r="AB38" s="152">
        <f t="shared" si="58"/>
        <v>0</v>
      </c>
      <c r="AC38" s="152">
        <f t="shared" si="58"/>
        <v>0</v>
      </c>
      <c r="AD38" s="152">
        <f t="shared" si="58"/>
        <v>0</v>
      </c>
      <c r="AE38" s="152">
        <f t="shared" si="58"/>
        <v>0</v>
      </c>
      <c r="AF38" s="152">
        <f t="shared" si="58"/>
        <v>0</v>
      </c>
      <c r="AG38" s="152">
        <f t="shared" si="58"/>
        <v>0</v>
      </c>
      <c r="AH38" s="152">
        <f t="shared" si="58"/>
        <v>0</v>
      </c>
      <c r="AI38" s="152">
        <f t="shared" si="58"/>
        <v>0</v>
      </c>
      <c r="AJ38" s="152" t="str">
        <f t="shared" si="58"/>
        <v>N/A</v>
      </c>
      <c r="AK38" s="152" t="str">
        <f t="shared" si="58"/>
        <v>N</v>
      </c>
      <c r="AL38" s="152" t="str">
        <f t="shared" si="58"/>
        <v>N</v>
      </c>
      <c r="AM38" s="152" t="str">
        <f t="shared" si="58"/>
        <v>N</v>
      </c>
      <c r="AN38" s="152">
        <f t="shared" ref="AN38:BQ38" si="59">AN17</f>
        <v>999999999</v>
      </c>
      <c r="AO38" s="152">
        <f t="shared" si="59"/>
        <v>999999999</v>
      </c>
      <c r="AP38" s="152">
        <f t="shared" si="59"/>
        <v>999999999</v>
      </c>
      <c r="AQ38" s="152">
        <f t="shared" si="59"/>
        <v>0</v>
      </c>
      <c r="AR38" s="152">
        <f t="shared" si="59"/>
        <v>0</v>
      </c>
      <c r="AS38" s="152">
        <f t="shared" si="59"/>
        <v>0</v>
      </c>
      <c r="AT38" s="152">
        <f>VLOOKUP($A38,'Rate Changes'!$A$45:$E$63,MATCH(AT$3,'Rate Changes'!$A$44:$E$44,0),0)</f>
        <v>0.16200000000000001</v>
      </c>
      <c r="AU38" s="152">
        <f t="shared" si="59"/>
        <v>0</v>
      </c>
      <c r="AV38" s="152">
        <f t="shared" si="59"/>
        <v>0</v>
      </c>
      <c r="AW38" s="152">
        <f t="shared" si="59"/>
        <v>0</v>
      </c>
      <c r="AX38" s="152">
        <f t="shared" si="59"/>
        <v>0</v>
      </c>
      <c r="AY38" s="152">
        <f t="shared" si="59"/>
        <v>0</v>
      </c>
      <c r="AZ38" s="152">
        <f t="shared" si="59"/>
        <v>0</v>
      </c>
      <c r="BA38" s="152">
        <f t="shared" si="59"/>
        <v>0</v>
      </c>
      <c r="BB38" s="152">
        <f t="shared" si="59"/>
        <v>0</v>
      </c>
      <c r="BC38" s="152">
        <f t="shared" si="59"/>
        <v>0</v>
      </c>
      <c r="BD38" s="152">
        <f t="shared" si="59"/>
        <v>0</v>
      </c>
      <c r="BE38" s="152">
        <f t="shared" si="59"/>
        <v>0</v>
      </c>
      <c r="BF38" s="152">
        <f t="shared" si="59"/>
        <v>0</v>
      </c>
      <c r="BG38" s="152">
        <f t="shared" si="59"/>
        <v>0</v>
      </c>
      <c r="BH38" s="152">
        <f t="shared" si="59"/>
        <v>0</v>
      </c>
      <c r="BI38" s="152">
        <f t="shared" si="59"/>
        <v>0</v>
      </c>
      <c r="BJ38" s="152">
        <f t="shared" si="59"/>
        <v>0</v>
      </c>
      <c r="BK38" s="152">
        <f t="shared" si="59"/>
        <v>0</v>
      </c>
      <c r="BL38" s="152">
        <f t="shared" si="59"/>
        <v>0</v>
      </c>
      <c r="BM38" s="152">
        <f t="shared" si="59"/>
        <v>0</v>
      </c>
      <c r="BN38" s="152">
        <f t="shared" si="59"/>
        <v>0</v>
      </c>
      <c r="BO38" s="152">
        <f t="shared" si="59"/>
        <v>0</v>
      </c>
      <c r="BP38" s="152">
        <f t="shared" si="59"/>
        <v>0</v>
      </c>
      <c r="BQ38" s="152">
        <f t="shared" si="59"/>
        <v>0</v>
      </c>
      <c r="CJ38">
        <f t="shared" ref="CJ38:DF38" si="60">CJ17</f>
        <v>999999999</v>
      </c>
      <c r="CK38">
        <f t="shared" si="60"/>
        <v>999999999</v>
      </c>
      <c r="CL38">
        <f t="shared" si="60"/>
        <v>999999999</v>
      </c>
      <c r="CM38">
        <f t="shared" si="60"/>
        <v>999999999</v>
      </c>
      <c r="CN38">
        <f t="shared" si="60"/>
        <v>0</v>
      </c>
      <c r="CO38">
        <f t="shared" si="60"/>
        <v>0</v>
      </c>
      <c r="CP38">
        <f t="shared" si="60"/>
        <v>0</v>
      </c>
      <c r="CQ38">
        <f t="shared" si="60"/>
        <v>0</v>
      </c>
      <c r="CR38">
        <f t="shared" si="60"/>
        <v>0</v>
      </c>
      <c r="CS38">
        <f t="shared" si="60"/>
        <v>0</v>
      </c>
      <c r="CT38">
        <f t="shared" si="60"/>
        <v>0</v>
      </c>
      <c r="CU38">
        <f t="shared" si="60"/>
        <v>0</v>
      </c>
      <c r="CV38" t="str">
        <f t="shared" si="60"/>
        <v>TIND</v>
      </c>
      <c r="CW38" t="str">
        <f t="shared" si="24"/>
        <v>NONRES</v>
      </c>
      <c r="CX38" t="str">
        <f t="shared" si="60"/>
        <v>N/A</v>
      </c>
      <c r="CY38" t="str">
        <f t="shared" si="60"/>
        <v>NONRES</v>
      </c>
      <c r="CZ38" t="str">
        <f t="shared" si="60"/>
        <v>FULL</v>
      </c>
      <c r="DA38" t="str">
        <f t="shared" si="60"/>
        <v>N</v>
      </c>
      <c r="DB38" t="str">
        <f t="shared" si="60"/>
        <v>N</v>
      </c>
      <c r="DC38" t="str">
        <f t="shared" si="60"/>
        <v>N</v>
      </c>
      <c r="DD38" t="str">
        <f t="shared" si="60"/>
        <v>Y</v>
      </c>
      <c r="DE38" t="str">
        <f t="shared" si="60"/>
        <v>N</v>
      </c>
      <c r="DF38" t="str">
        <f t="shared" si="60"/>
        <v>Y</v>
      </c>
    </row>
    <row r="39" spans="1:110">
      <c r="A39" t="str">
        <f t="shared" si="18"/>
        <v>46082GTGSVS</v>
      </c>
      <c r="B39" s="153">
        <f t="shared" si="19"/>
        <v>46082</v>
      </c>
      <c r="C39" s="165" t="s">
        <v>763</v>
      </c>
      <c r="D39" s="167" t="s">
        <v>787</v>
      </c>
      <c r="E39" s="177" t="str">
        <f t="shared" si="14"/>
        <v>GTGSVS</v>
      </c>
      <c r="F39" s="167" t="s">
        <v>788</v>
      </c>
      <c r="G39" t="str">
        <f t="shared" si="20"/>
        <v>Transportation Competitive Gas Sales</v>
      </c>
      <c r="H39" s="152" t="str">
        <f t="shared" ref="H39:AM39" si="61">H18</f>
        <v>N</v>
      </c>
      <c r="I39" s="152">
        <f t="shared" si="61"/>
        <v>5</v>
      </c>
      <c r="J39" s="152">
        <f t="shared" si="61"/>
        <v>10</v>
      </c>
      <c r="K39" s="152">
        <f t="shared" si="61"/>
        <v>11</v>
      </c>
      <c r="L39" s="152">
        <f t="shared" si="61"/>
        <v>4</v>
      </c>
      <c r="M39" s="152">
        <f>VLOOKUP($A39,'Rate Changes'!$A$45:$E$63,MATCH(M$3,'Rate Changes'!$A$44:$E$44,0),0)</f>
        <v>28.32</v>
      </c>
      <c r="N39" s="152">
        <f t="shared" si="61"/>
        <v>0</v>
      </c>
      <c r="O39" s="152">
        <f t="shared" si="61"/>
        <v>0</v>
      </c>
      <c r="P39" s="152">
        <f t="shared" si="61"/>
        <v>0</v>
      </c>
      <c r="Q39" s="152">
        <f t="shared" si="61"/>
        <v>0</v>
      </c>
      <c r="R39" s="152">
        <f t="shared" si="61"/>
        <v>0</v>
      </c>
      <c r="S39" s="152">
        <f t="shared" si="61"/>
        <v>0</v>
      </c>
      <c r="T39" s="152">
        <f t="shared" si="61"/>
        <v>0</v>
      </c>
      <c r="U39" s="152">
        <f t="shared" si="61"/>
        <v>0</v>
      </c>
      <c r="V39" s="152">
        <f t="shared" si="61"/>
        <v>0</v>
      </c>
      <c r="W39" s="152" t="str">
        <f t="shared" si="61"/>
        <v>NONE</v>
      </c>
      <c r="X39" s="152" t="str">
        <f t="shared" si="61"/>
        <v>N</v>
      </c>
      <c r="Y39" s="152" t="str">
        <f t="shared" si="61"/>
        <v>N</v>
      </c>
      <c r="Z39" s="152">
        <f t="shared" si="61"/>
        <v>999999999</v>
      </c>
      <c r="AA39" s="152">
        <f t="shared" si="61"/>
        <v>0</v>
      </c>
      <c r="AB39" s="152">
        <f t="shared" si="61"/>
        <v>0</v>
      </c>
      <c r="AC39" s="152">
        <f t="shared" si="61"/>
        <v>0</v>
      </c>
      <c r="AD39" s="152">
        <f t="shared" si="61"/>
        <v>0</v>
      </c>
      <c r="AE39" s="152">
        <f t="shared" si="61"/>
        <v>0</v>
      </c>
      <c r="AF39" s="152">
        <f t="shared" si="61"/>
        <v>0</v>
      </c>
      <c r="AG39" s="152">
        <f t="shared" si="61"/>
        <v>0</v>
      </c>
      <c r="AH39" s="152">
        <f t="shared" si="61"/>
        <v>0</v>
      </c>
      <c r="AI39" s="152">
        <f t="shared" si="61"/>
        <v>0</v>
      </c>
      <c r="AJ39" s="152" t="str">
        <f t="shared" si="61"/>
        <v>N/A</v>
      </c>
      <c r="AK39" s="152" t="str">
        <f t="shared" si="61"/>
        <v>N</v>
      </c>
      <c r="AL39" s="152" t="str">
        <f t="shared" si="61"/>
        <v>N</v>
      </c>
      <c r="AM39" s="152" t="str">
        <f t="shared" si="61"/>
        <v>N</v>
      </c>
      <c r="AN39" s="152">
        <f t="shared" ref="AN39:BQ39" si="62">AN18</f>
        <v>999999999</v>
      </c>
      <c r="AO39" s="152">
        <f t="shared" si="62"/>
        <v>999999999</v>
      </c>
      <c r="AP39" s="152">
        <f t="shared" si="62"/>
        <v>999999999</v>
      </c>
      <c r="AQ39" s="152">
        <f t="shared" si="62"/>
        <v>0</v>
      </c>
      <c r="AR39" s="152">
        <f t="shared" si="62"/>
        <v>0</v>
      </c>
      <c r="AS39" s="152">
        <f t="shared" si="62"/>
        <v>0</v>
      </c>
      <c r="AT39" s="152">
        <f>VLOOKUP($A39,'Rate Changes'!$A$45:$E$63,MATCH(AT$3,'Rate Changes'!$A$44:$E$44,0),0)</f>
        <v>0.31340000000000001</v>
      </c>
      <c r="AU39" s="152">
        <f t="shared" si="62"/>
        <v>0</v>
      </c>
      <c r="AV39" s="152">
        <f t="shared" si="62"/>
        <v>0</v>
      </c>
      <c r="AW39" s="152">
        <f t="shared" si="62"/>
        <v>0</v>
      </c>
      <c r="AX39" s="152">
        <f t="shared" si="62"/>
        <v>0</v>
      </c>
      <c r="AY39" s="152">
        <f t="shared" si="62"/>
        <v>0</v>
      </c>
      <c r="AZ39" s="152">
        <f t="shared" si="62"/>
        <v>0</v>
      </c>
      <c r="BA39" s="152">
        <f t="shared" si="62"/>
        <v>0</v>
      </c>
      <c r="BB39" s="152">
        <f t="shared" si="62"/>
        <v>0</v>
      </c>
      <c r="BC39" s="152">
        <f t="shared" si="62"/>
        <v>0</v>
      </c>
      <c r="BD39" s="152">
        <f t="shared" si="62"/>
        <v>0</v>
      </c>
      <c r="BE39" s="152">
        <f t="shared" si="62"/>
        <v>0</v>
      </c>
      <c r="BF39" s="152">
        <f t="shared" si="62"/>
        <v>0</v>
      </c>
      <c r="BG39" s="152">
        <f t="shared" si="62"/>
        <v>0</v>
      </c>
      <c r="BH39" s="152">
        <f t="shared" si="62"/>
        <v>0</v>
      </c>
      <c r="BI39" s="152">
        <f t="shared" si="62"/>
        <v>0</v>
      </c>
      <c r="BJ39" s="152">
        <f t="shared" si="62"/>
        <v>0</v>
      </c>
      <c r="BK39" s="152">
        <f t="shared" si="62"/>
        <v>0</v>
      </c>
      <c r="BL39" s="152">
        <f t="shared" si="62"/>
        <v>0</v>
      </c>
      <c r="BM39" s="152">
        <f t="shared" si="62"/>
        <v>0</v>
      </c>
      <c r="BN39" s="152">
        <f t="shared" si="62"/>
        <v>0</v>
      </c>
      <c r="BO39" s="152">
        <f t="shared" si="62"/>
        <v>0</v>
      </c>
      <c r="BP39" s="152">
        <f t="shared" si="62"/>
        <v>0</v>
      </c>
      <c r="BQ39" s="152">
        <f t="shared" si="62"/>
        <v>0</v>
      </c>
      <c r="CJ39">
        <f t="shared" ref="CJ39:DF39" si="63">CJ18</f>
        <v>999999999</v>
      </c>
      <c r="CK39">
        <f t="shared" si="63"/>
        <v>999999999</v>
      </c>
      <c r="CL39">
        <f t="shared" si="63"/>
        <v>999999999</v>
      </c>
      <c r="CM39">
        <f t="shared" si="63"/>
        <v>999999999</v>
      </c>
      <c r="CN39">
        <f t="shared" si="63"/>
        <v>0</v>
      </c>
      <c r="CO39">
        <f t="shared" si="63"/>
        <v>0</v>
      </c>
      <c r="CP39">
        <f t="shared" si="63"/>
        <v>0</v>
      </c>
      <c r="CQ39">
        <f t="shared" si="63"/>
        <v>0</v>
      </c>
      <c r="CR39">
        <f t="shared" si="63"/>
        <v>0</v>
      </c>
      <c r="CS39">
        <f t="shared" si="63"/>
        <v>0</v>
      </c>
      <c r="CT39">
        <f t="shared" si="63"/>
        <v>0</v>
      </c>
      <c r="CU39">
        <f t="shared" si="63"/>
        <v>0</v>
      </c>
      <c r="CV39" t="str">
        <f t="shared" si="63"/>
        <v>TCOM</v>
      </c>
      <c r="CW39" t="str">
        <f t="shared" si="24"/>
        <v>NONRES</v>
      </c>
      <c r="CX39" t="str">
        <f t="shared" si="63"/>
        <v>N/A</v>
      </c>
      <c r="CY39" t="str">
        <f t="shared" si="63"/>
        <v>NONRES</v>
      </c>
      <c r="CZ39" t="str">
        <f t="shared" si="63"/>
        <v>FULL</v>
      </c>
      <c r="DA39" t="str">
        <f t="shared" si="63"/>
        <v>N</v>
      </c>
      <c r="DB39" t="str">
        <f t="shared" si="63"/>
        <v>N</v>
      </c>
      <c r="DC39" t="str">
        <f t="shared" si="63"/>
        <v>N</v>
      </c>
      <c r="DD39" t="str">
        <f t="shared" si="63"/>
        <v>Y</v>
      </c>
      <c r="DE39" t="str">
        <f t="shared" si="63"/>
        <v>N</v>
      </c>
      <c r="DF39" t="str">
        <f t="shared" si="63"/>
        <v>Y</v>
      </c>
    </row>
    <row r="40" spans="1:110">
      <c r="A40" t="str">
        <f t="shared" si="18"/>
        <v>46082GTILVS</v>
      </c>
      <c r="B40" s="153">
        <f t="shared" si="19"/>
        <v>46082</v>
      </c>
      <c r="C40" s="165" t="s">
        <v>763</v>
      </c>
      <c r="D40" s="167" t="s">
        <v>787</v>
      </c>
      <c r="E40" s="177" t="str">
        <f t="shared" si="14"/>
        <v>GTILVS</v>
      </c>
      <c r="F40" s="167" t="s">
        <v>788</v>
      </c>
      <c r="G40" t="str">
        <f t="shared" si="20"/>
        <v>Transportation LV Industrial</v>
      </c>
      <c r="H40" s="152" t="str">
        <f t="shared" ref="H40:AM40" si="64">H19</f>
        <v>N</v>
      </c>
      <c r="I40" s="152">
        <f t="shared" si="64"/>
        <v>5</v>
      </c>
      <c r="J40" s="152">
        <f t="shared" si="64"/>
        <v>10</v>
      </c>
      <c r="K40" s="152">
        <f t="shared" si="64"/>
        <v>11</v>
      </c>
      <c r="L40" s="152">
        <f t="shared" si="64"/>
        <v>4</v>
      </c>
      <c r="M40" s="152">
        <f>VLOOKUP($A40,'Rate Changes'!$A$45:$E$63,MATCH(M$3,'Rate Changes'!$A$44:$E$44,0),0)</f>
        <v>285.73</v>
      </c>
      <c r="N40" s="152">
        <f t="shared" si="64"/>
        <v>0</v>
      </c>
      <c r="O40" s="152">
        <f t="shared" si="64"/>
        <v>0</v>
      </c>
      <c r="P40" s="152">
        <f t="shared" si="64"/>
        <v>0</v>
      </c>
      <c r="Q40" s="152">
        <f t="shared" si="64"/>
        <v>0</v>
      </c>
      <c r="R40" s="152">
        <f t="shared" si="64"/>
        <v>0</v>
      </c>
      <c r="S40" s="152">
        <f t="shared" si="64"/>
        <v>0</v>
      </c>
      <c r="T40" s="152">
        <f t="shared" si="64"/>
        <v>0</v>
      </c>
      <c r="U40" s="152">
        <f t="shared" si="64"/>
        <v>0</v>
      </c>
      <c r="V40" s="152">
        <f t="shared" si="64"/>
        <v>0</v>
      </c>
      <c r="W40" s="152" t="str">
        <f t="shared" si="64"/>
        <v>NONE</v>
      </c>
      <c r="X40" s="152" t="str">
        <f t="shared" si="64"/>
        <v>N</v>
      </c>
      <c r="Y40" s="152" t="str">
        <f t="shared" si="64"/>
        <v>N</v>
      </c>
      <c r="Z40" s="152">
        <f t="shared" si="64"/>
        <v>999999999</v>
      </c>
      <c r="AA40" s="152">
        <f t="shared" si="64"/>
        <v>0</v>
      </c>
      <c r="AB40" s="152">
        <f t="shared" si="64"/>
        <v>0</v>
      </c>
      <c r="AC40" s="152">
        <f t="shared" si="64"/>
        <v>0</v>
      </c>
      <c r="AD40" s="152">
        <f t="shared" si="64"/>
        <v>0</v>
      </c>
      <c r="AE40" s="152">
        <f t="shared" si="64"/>
        <v>0</v>
      </c>
      <c r="AF40" s="152">
        <f t="shared" si="64"/>
        <v>0</v>
      </c>
      <c r="AG40" s="152">
        <f t="shared" si="64"/>
        <v>0</v>
      </c>
      <c r="AH40" s="152">
        <f t="shared" si="64"/>
        <v>0</v>
      </c>
      <c r="AI40" s="152">
        <f t="shared" si="64"/>
        <v>0</v>
      </c>
      <c r="AJ40" s="152" t="str">
        <f t="shared" si="64"/>
        <v>N/A</v>
      </c>
      <c r="AK40" s="152" t="str">
        <f t="shared" si="64"/>
        <v>N</v>
      </c>
      <c r="AL40" s="152" t="str">
        <f t="shared" si="64"/>
        <v>N</v>
      </c>
      <c r="AM40" s="152" t="str">
        <f t="shared" si="64"/>
        <v>N</v>
      </c>
      <c r="AN40" s="152">
        <f t="shared" ref="AN40:BQ40" si="65">AN19</f>
        <v>999999999</v>
      </c>
      <c r="AO40" s="152">
        <f t="shared" si="65"/>
        <v>999999999</v>
      </c>
      <c r="AP40" s="152">
        <f t="shared" si="65"/>
        <v>999999999</v>
      </c>
      <c r="AQ40" s="152">
        <f t="shared" si="65"/>
        <v>0</v>
      </c>
      <c r="AR40" s="152">
        <f t="shared" si="65"/>
        <v>0</v>
      </c>
      <c r="AS40" s="152">
        <f t="shared" si="65"/>
        <v>0</v>
      </c>
      <c r="AT40" s="152">
        <f>VLOOKUP($A40,'Rate Changes'!$A$45:$E$63,MATCH(AT$3,'Rate Changes'!$A$44:$E$44,0),0)</f>
        <v>0.16200000000000001</v>
      </c>
      <c r="AU40" s="152">
        <f t="shared" si="65"/>
        <v>0</v>
      </c>
      <c r="AV40" s="152">
        <f t="shared" si="65"/>
        <v>0</v>
      </c>
      <c r="AW40" s="152">
        <f t="shared" si="65"/>
        <v>0</v>
      </c>
      <c r="AX40" s="152">
        <f t="shared" si="65"/>
        <v>0</v>
      </c>
      <c r="AY40" s="152">
        <f t="shared" si="65"/>
        <v>0</v>
      </c>
      <c r="AZ40" s="152">
        <f t="shared" si="65"/>
        <v>0</v>
      </c>
      <c r="BA40" s="152">
        <f t="shared" si="65"/>
        <v>0</v>
      </c>
      <c r="BB40" s="152">
        <f t="shared" si="65"/>
        <v>0</v>
      </c>
      <c r="BC40" s="152">
        <f t="shared" si="65"/>
        <v>0</v>
      </c>
      <c r="BD40" s="152">
        <f t="shared" si="65"/>
        <v>0</v>
      </c>
      <c r="BE40" s="152">
        <f t="shared" si="65"/>
        <v>0</v>
      </c>
      <c r="BF40" s="152">
        <f t="shared" si="65"/>
        <v>0</v>
      </c>
      <c r="BG40" s="152">
        <f t="shared" si="65"/>
        <v>0</v>
      </c>
      <c r="BH40" s="152">
        <f t="shared" si="65"/>
        <v>0</v>
      </c>
      <c r="BI40" s="152">
        <f t="shared" si="65"/>
        <v>0</v>
      </c>
      <c r="BJ40" s="152">
        <f t="shared" si="65"/>
        <v>0</v>
      </c>
      <c r="BK40" s="152">
        <f t="shared" si="65"/>
        <v>0</v>
      </c>
      <c r="BL40" s="152">
        <f t="shared" si="65"/>
        <v>0</v>
      </c>
      <c r="BM40" s="152">
        <f t="shared" si="65"/>
        <v>0</v>
      </c>
      <c r="BN40" s="152">
        <f t="shared" si="65"/>
        <v>0</v>
      </c>
      <c r="BO40" s="152">
        <f t="shared" si="65"/>
        <v>0</v>
      </c>
      <c r="BP40" s="152">
        <f t="shared" si="65"/>
        <v>0</v>
      </c>
      <c r="BQ40" s="152">
        <f t="shared" si="65"/>
        <v>0</v>
      </c>
      <c r="CJ40">
        <f t="shared" ref="CJ40:DF40" si="66">CJ19</f>
        <v>999999999</v>
      </c>
      <c r="CK40">
        <f t="shared" si="66"/>
        <v>999999999</v>
      </c>
      <c r="CL40">
        <f t="shared" si="66"/>
        <v>999999999</v>
      </c>
      <c r="CM40">
        <f t="shared" si="66"/>
        <v>999999999</v>
      </c>
      <c r="CN40">
        <f t="shared" si="66"/>
        <v>0</v>
      </c>
      <c r="CO40">
        <f t="shared" si="66"/>
        <v>0</v>
      </c>
      <c r="CP40">
        <f t="shared" si="66"/>
        <v>0</v>
      </c>
      <c r="CQ40">
        <f t="shared" si="66"/>
        <v>0</v>
      </c>
      <c r="CR40">
        <f t="shared" si="66"/>
        <v>0</v>
      </c>
      <c r="CS40">
        <f t="shared" si="66"/>
        <v>0</v>
      </c>
      <c r="CT40">
        <f t="shared" si="66"/>
        <v>0</v>
      </c>
      <c r="CU40">
        <f t="shared" si="66"/>
        <v>0</v>
      </c>
      <c r="CV40" t="str">
        <f t="shared" si="66"/>
        <v>TIND</v>
      </c>
      <c r="CW40" t="str">
        <f t="shared" si="24"/>
        <v>NONRES</v>
      </c>
      <c r="CX40" t="str">
        <f t="shared" si="66"/>
        <v>N/A</v>
      </c>
      <c r="CY40" t="str">
        <f t="shared" si="66"/>
        <v>NONRES</v>
      </c>
      <c r="CZ40" t="str">
        <f t="shared" si="66"/>
        <v>FULL</v>
      </c>
      <c r="DA40" t="str">
        <f t="shared" si="66"/>
        <v>N</v>
      </c>
      <c r="DB40" t="str">
        <f t="shared" si="66"/>
        <v>N</v>
      </c>
      <c r="DC40" t="str">
        <f t="shared" si="66"/>
        <v>N</v>
      </c>
      <c r="DD40" t="str">
        <f t="shared" si="66"/>
        <v>Y</v>
      </c>
      <c r="DE40" t="str">
        <f t="shared" si="66"/>
        <v>N</v>
      </c>
      <c r="DF40" t="str">
        <f t="shared" si="66"/>
        <v>Y</v>
      </c>
    </row>
    <row r="41" spans="1:110">
      <c r="A41" t="str">
        <f t="shared" si="18"/>
        <v>46082GTPLVS</v>
      </c>
      <c r="B41" s="153">
        <f t="shared" si="19"/>
        <v>46082</v>
      </c>
      <c r="C41" s="165" t="s">
        <v>763</v>
      </c>
      <c r="D41" s="167" t="s">
        <v>787</v>
      </c>
      <c r="E41" s="177" t="str">
        <f t="shared" si="14"/>
        <v>GTPLVS</v>
      </c>
      <c r="F41" s="167" t="s">
        <v>788</v>
      </c>
      <c r="G41" t="str">
        <f t="shared" si="20"/>
        <v>Transportation LV Public Authority</v>
      </c>
      <c r="H41" s="152" t="str">
        <f t="shared" ref="H41:AM41" si="67">H20</f>
        <v>N</v>
      </c>
      <c r="I41" s="152">
        <f t="shared" si="67"/>
        <v>5</v>
      </c>
      <c r="J41" s="152">
        <f t="shared" si="67"/>
        <v>10</v>
      </c>
      <c r="K41" s="152">
        <f t="shared" si="67"/>
        <v>11</v>
      </c>
      <c r="L41" s="152">
        <f t="shared" si="67"/>
        <v>4</v>
      </c>
      <c r="M41" s="152">
        <f>VLOOKUP($A41,'Rate Changes'!$A$45:$E$63,MATCH(M$3,'Rate Changes'!$A$44:$E$44,0),0)</f>
        <v>285.73</v>
      </c>
      <c r="N41" s="152">
        <f t="shared" si="67"/>
        <v>0</v>
      </c>
      <c r="O41" s="152">
        <f t="shared" si="67"/>
        <v>0</v>
      </c>
      <c r="P41" s="152">
        <f t="shared" si="67"/>
        <v>0</v>
      </c>
      <c r="Q41" s="152">
        <f t="shared" si="67"/>
        <v>0</v>
      </c>
      <c r="R41" s="152">
        <f t="shared" si="67"/>
        <v>0</v>
      </c>
      <c r="S41" s="152">
        <f t="shared" si="67"/>
        <v>0</v>
      </c>
      <c r="T41" s="152">
        <f t="shared" si="67"/>
        <v>0</v>
      </c>
      <c r="U41" s="152">
        <f t="shared" si="67"/>
        <v>0</v>
      </c>
      <c r="V41" s="152">
        <f t="shared" si="67"/>
        <v>0</v>
      </c>
      <c r="W41" s="152" t="str">
        <f t="shared" si="67"/>
        <v>NONE</v>
      </c>
      <c r="X41" s="152" t="str">
        <f t="shared" si="67"/>
        <v>N</v>
      </c>
      <c r="Y41" s="152" t="str">
        <f t="shared" si="67"/>
        <v>N</v>
      </c>
      <c r="Z41" s="152">
        <f t="shared" si="67"/>
        <v>999999999</v>
      </c>
      <c r="AA41" s="152">
        <f t="shared" si="67"/>
        <v>0</v>
      </c>
      <c r="AB41" s="152">
        <f t="shared" si="67"/>
        <v>0</v>
      </c>
      <c r="AC41" s="152">
        <f t="shared" si="67"/>
        <v>0</v>
      </c>
      <c r="AD41" s="152">
        <f t="shared" si="67"/>
        <v>0</v>
      </c>
      <c r="AE41" s="152">
        <f t="shared" si="67"/>
        <v>0</v>
      </c>
      <c r="AF41" s="152">
        <f t="shared" si="67"/>
        <v>0</v>
      </c>
      <c r="AG41" s="152">
        <f t="shared" si="67"/>
        <v>0</v>
      </c>
      <c r="AH41" s="152">
        <f t="shared" si="67"/>
        <v>0</v>
      </c>
      <c r="AI41" s="152">
        <f t="shared" si="67"/>
        <v>0</v>
      </c>
      <c r="AJ41" s="152" t="str">
        <f t="shared" si="67"/>
        <v>N/A</v>
      </c>
      <c r="AK41" s="152" t="str">
        <f t="shared" si="67"/>
        <v>N</v>
      </c>
      <c r="AL41" s="152" t="str">
        <f t="shared" si="67"/>
        <v>N</v>
      </c>
      <c r="AM41" s="152" t="str">
        <f t="shared" si="67"/>
        <v>N</v>
      </c>
      <c r="AN41" s="152">
        <f t="shared" ref="AN41:BQ41" si="68">AN20</f>
        <v>999999999</v>
      </c>
      <c r="AO41" s="152">
        <f t="shared" si="68"/>
        <v>999999999</v>
      </c>
      <c r="AP41" s="152">
        <f t="shared" si="68"/>
        <v>999999999</v>
      </c>
      <c r="AQ41" s="152">
        <f t="shared" si="68"/>
        <v>0</v>
      </c>
      <c r="AR41" s="152">
        <f t="shared" si="68"/>
        <v>0</v>
      </c>
      <c r="AS41" s="152">
        <f t="shared" si="68"/>
        <v>0</v>
      </c>
      <c r="AT41" s="152">
        <f>VLOOKUP($A41,'Rate Changes'!$A$45:$E$63,MATCH(AT$3,'Rate Changes'!$A$44:$E$44,0),0)</f>
        <v>0.16200000000000001</v>
      </c>
      <c r="AU41" s="152">
        <f t="shared" si="68"/>
        <v>0</v>
      </c>
      <c r="AV41" s="152">
        <f t="shared" si="68"/>
        <v>0</v>
      </c>
      <c r="AW41" s="152">
        <f t="shared" si="68"/>
        <v>0</v>
      </c>
      <c r="AX41" s="152">
        <f t="shared" si="68"/>
        <v>0</v>
      </c>
      <c r="AY41" s="152">
        <f t="shared" si="68"/>
        <v>0</v>
      </c>
      <c r="AZ41" s="152">
        <f t="shared" si="68"/>
        <v>0</v>
      </c>
      <c r="BA41" s="152">
        <f t="shared" si="68"/>
        <v>0</v>
      </c>
      <c r="BB41" s="152">
        <f t="shared" si="68"/>
        <v>0</v>
      </c>
      <c r="BC41" s="152">
        <f t="shared" si="68"/>
        <v>0</v>
      </c>
      <c r="BD41" s="152">
        <f t="shared" si="68"/>
        <v>0</v>
      </c>
      <c r="BE41" s="152">
        <f t="shared" si="68"/>
        <v>0</v>
      </c>
      <c r="BF41" s="152">
        <f t="shared" si="68"/>
        <v>0</v>
      </c>
      <c r="BG41" s="152">
        <f t="shared" si="68"/>
        <v>0</v>
      </c>
      <c r="BH41" s="152">
        <f t="shared" si="68"/>
        <v>0</v>
      </c>
      <c r="BI41" s="152">
        <f t="shared" si="68"/>
        <v>0</v>
      </c>
      <c r="BJ41" s="152">
        <f t="shared" si="68"/>
        <v>0</v>
      </c>
      <c r="BK41" s="152">
        <f t="shared" si="68"/>
        <v>0</v>
      </c>
      <c r="BL41" s="152">
        <f t="shared" si="68"/>
        <v>0</v>
      </c>
      <c r="BM41" s="152">
        <f t="shared" si="68"/>
        <v>0</v>
      </c>
      <c r="BN41" s="152">
        <f t="shared" si="68"/>
        <v>0</v>
      </c>
      <c r="BO41" s="152">
        <f t="shared" si="68"/>
        <v>0</v>
      </c>
      <c r="BP41" s="152">
        <f t="shared" si="68"/>
        <v>0</v>
      </c>
      <c r="BQ41" s="152">
        <f t="shared" si="68"/>
        <v>0</v>
      </c>
      <c r="CJ41">
        <f t="shared" ref="CJ41:DF41" si="69">CJ20</f>
        <v>999999999</v>
      </c>
      <c r="CK41">
        <f t="shared" si="69"/>
        <v>999999999</v>
      </c>
      <c r="CL41">
        <f t="shared" si="69"/>
        <v>999999999</v>
      </c>
      <c r="CM41">
        <f t="shared" si="69"/>
        <v>999999999</v>
      </c>
      <c r="CN41">
        <f t="shared" si="69"/>
        <v>0</v>
      </c>
      <c r="CO41">
        <f t="shared" si="69"/>
        <v>0</v>
      </c>
      <c r="CP41">
        <f t="shared" si="69"/>
        <v>0</v>
      </c>
      <c r="CQ41">
        <f t="shared" si="69"/>
        <v>0</v>
      </c>
      <c r="CR41">
        <f t="shared" si="69"/>
        <v>0</v>
      </c>
      <c r="CS41">
        <f t="shared" si="69"/>
        <v>0</v>
      </c>
      <c r="CT41">
        <f t="shared" si="69"/>
        <v>0</v>
      </c>
      <c r="CU41">
        <f t="shared" si="69"/>
        <v>0</v>
      </c>
      <c r="CV41" t="str">
        <f t="shared" si="69"/>
        <v>TIND</v>
      </c>
      <c r="CW41" t="str">
        <f t="shared" si="24"/>
        <v>NONRES</v>
      </c>
      <c r="CX41" t="str">
        <f t="shared" si="69"/>
        <v>N/A</v>
      </c>
      <c r="CY41" t="str">
        <f t="shared" si="69"/>
        <v>NONRES</v>
      </c>
      <c r="CZ41" t="str">
        <f t="shared" si="69"/>
        <v>FULL</v>
      </c>
      <c r="DA41" t="str">
        <f t="shared" si="69"/>
        <v>N</v>
      </c>
      <c r="DB41" t="str">
        <f t="shared" si="69"/>
        <v>N</v>
      </c>
      <c r="DC41" t="str">
        <f t="shared" si="69"/>
        <v>N</v>
      </c>
      <c r="DD41" t="str">
        <f t="shared" si="69"/>
        <v>Y</v>
      </c>
      <c r="DE41" t="str">
        <f t="shared" si="69"/>
        <v>N</v>
      </c>
      <c r="DF41" t="str">
        <f t="shared" si="69"/>
        <v>Y</v>
      </c>
    </row>
    <row r="42" spans="1:110">
      <c r="A42" t="str">
        <f t="shared" ref="A42:A43" si="70">B42&amp;E42</f>
        <v>46082GTNILVS</v>
      </c>
      <c r="B42" s="153">
        <f t="shared" si="19"/>
        <v>46082</v>
      </c>
      <c r="C42" s="165" t="s">
        <v>763</v>
      </c>
      <c r="D42" s="167" t="s">
        <v>787</v>
      </c>
      <c r="E42" s="177" t="str">
        <f t="shared" ref="E42:E43" si="71">F21</f>
        <v>GTNILVS</v>
      </c>
      <c r="F42" s="167" t="s">
        <v>788</v>
      </c>
      <c r="G42" t="str">
        <f t="shared" si="20"/>
        <v>Transportation NSP LV Industrial</v>
      </c>
      <c r="H42" s="152" t="str">
        <f t="shared" ref="H42:BQ42" si="72">H21</f>
        <v>N</v>
      </c>
      <c r="I42" s="152">
        <f t="shared" si="72"/>
        <v>5</v>
      </c>
      <c r="J42" s="152">
        <f t="shared" si="72"/>
        <v>10</v>
      </c>
      <c r="K42" s="152">
        <f t="shared" si="72"/>
        <v>11</v>
      </c>
      <c r="L42" s="152">
        <f t="shared" si="72"/>
        <v>4</v>
      </c>
      <c r="M42" s="152">
        <f>VLOOKUP($A42,'Rate Changes'!$A$45:$E$63,MATCH(M$3,'Rate Changes'!$A$44:$E$44,0),0)</f>
        <v>285.73</v>
      </c>
      <c r="N42" s="152">
        <f t="shared" si="72"/>
        <v>0</v>
      </c>
      <c r="O42" s="152">
        <f t="shared" si="72"/>
        <v>0</v>
      </c>
      <c r="P42" s="152">
        <f t="shared" si="72"/>
        <v>0</v>
      </c>
      <c r="Q42" s="152">
        <f t="shared" si="72"/>
        <v>0</v>
      </c>
      <c r="R42" s="152">
        <f t="shared" si="72"/>
        <v>0</v>
      </c>
      <c r="S42" s="152">
        <f t="shared" si="72"/>
        <v>0</v>
      </c>
      <c r="T42" s="152">
        <f t="shared" si="72"/>
        <v>0</v>
      </c>
      <c r="U42" s="152">
        <f t="shared" si="72"/>
        <v>0</v>
      </c>
      <c r="V42" s="152">
        <f t="shared" si="72"/>
        <v>0</v>
      </c>
      <c r="W42" s="152" t="str">
        <f t="shared" si="72"/>
        <v>NONE</v>
      </c>
      <c r="X42" s="152" t="str">
        <f t="shared" si="72"/>
        <v>N</v>
      </c>
      <c r="Y42" s="152" t="str">
        <f t="shared" si="72"/>
        <v>N</v>
      </c>
      <c r="Z42" s="152">
        <f t="shared" si="72"/>
        <v>999999999</v>
      </c>
      <c r="AA42" s="152">
        <f t="shared" si="72"/>
        <v>0</v>
      </c>
      <c r="AB42" s="152">
        <f t="shared" si="72"/>
        <v>0</v>
      </c>
      <c r="AC42" s="152">
        <f t="shared" si="72"/>
        <v>0</v>
      </c>
      <c r="AD42" s="152">
        <f t="shared" si="72"/>
        <v>0</v>
      </c>
      <c r="AE42" s="152">
        <f t="shared" si="72"/>
        <v>0</v>
      </c>
      <c r="AF42" s="152">
        <f t="shared" si="72"/>
        <v>0</v>
      </c>
      <c r="AG42" s="152">
        <f t="shared" si="72"/>
        <v>0</v>
      </c>
      <c r="AH42" s="152">
        <f t="shared" si="72"/>
        <v>0</v>
      </c>
      <c r="AI42" s="152">
        <f t="shared" si="72"/>
        <v>0</v>
      </c>
      <c r="AJ42" s="152" t="str">
        <f t="shared" si="72"/>
        <v>N/A</v>
      </c>
      <c r="AK42" s="152" t="str">
        <f t="shared" si="72"/>
        <v>N</v>
      </c>
      <c r="AL42" s="152" t="str">
        <f t="shared" si="72"/>
        <v>N</v>
      </c>
      <c r="AM42" s="152" t="str">
        <f t="shared" si="72"/>
        <v>N</v>
      </c>
      <c r="AN42" s="152">
        <f t="shared" si="72"/>
        <v>999999999</v>
      </c>
      <c r="AO42" s="152">
        <f t="shared" si="72"/>
        <v>999999999</v>
      </c>
      <c r="AP42" s="152">
        <f t="shared" si="72"/>
        <v>999999999</v>
      </c>
      <c r="AQ42" s="152">
        <f t="shared" si="72"/>
        <v>0</v>
      </c>
      <c r="AR42" s="152">
        <f t="shared" si="72"/>
        <v>0</v>
      </c>
      <c r="AS42" s="152">
        <f t="shared" si="72"/>
        <v>0</v>
      </c>
      <c r="AT42" s="152">
        <f>VLOOKUP($A42,'Rate Changes'!$A$45:$E$63,MATCH(AT$3,'Rate Changes'!$A$44:$E$44,0),0)</f>
        <v>0.16200000000000001</v>
      </c>
      <c r="AU42" s="152">
        <f t="shared" si="72"/>
        <v>0</v>
      </c>
      <c r="AV42" s="152">
        <f t="shared" si="72"/>
        <v>0</v>
      </c>
      <c r="AW42" s="152">
        <f t="shared" si="72"/>
        <v>0</v>
      </c>
      <c r="AX42" s="152">
        <f t="shared" si="72"/>
        <v>0</v>
      </c>
      <c r="AY42" s="152">
        <f t="shared" si="72"/>
        <v>0</v>
      </c>
      <c r="AZ42" s="152">
        <f t="shared" si="72"/>
        <v>0</v>
      </c>
      <c r="BA42" s="152">
        <f t="shared" si="72"/>
        <v>0</v>
      </c>
      <c r="BB42" s="152">
        <f t="shared" si="72"/>
        <v>0</v>
      </c>
      <c r="BC42" s="152">
        <f t="shared" si="72"/>
        <v>0</v>
      </c>
      <c r="BD42" s="152">
        <f t="shared" si="72"/>
        <v>0</v>
      </c>
      <c r="BE42" s="152">
        <f t="shared" si="72"/>
        <v>0</v>
      </c>
      <c r="BF42" s="152">
        <f t="shared" si="72"/>
        <v>0</v>
      </c>
      <c r="BG42" s="152">
        <f t="shared" si="72"/>
        <v>0</v>
      </c>
      <c r="BH42" s="152">
        <f t="shared" si="72"/>
        <v>0</v>
      </c>
      <c r="BI42" s="152">
        <f t="shared" si="72"/>
        <v>0</v>
      </c>
      <c r="BJ42" s="152">
        <f t="shared" si="72"/>
        <v>0</v>
      </c>
      <c r="BK42" s="152">
        <f t="shared" si="72"/>
        <v>0</v>
      </c>
      <c r="BL42" s="152">
        <f t="shared" si="72"/>
        <v>0</v>
      </c>
      <c r="BM42" s="152">
        <f t="shared" si="72"/>
        <v>0</v>
      </c>
      <c r="BN42" s="152">
        <f t="shared" si="72"/>
        <v>0</v>
      </c>
      <c r="BO42" s="152">
        <f t="shared" si="72"/>
        <v>0</v>
      </c>
      <c r="BP42" s="152">
        <f t="shared" si="72"/>
        <v>0</v>
      </c>
      <c r="BQ42" s="152">
        <f t="shared" si="72"/>
        <v>0</v>
      </c>
      <c r="CJ42">
        <f t="shared" ref="CJ42:DF43" si="73">CJ21</f>
        <v>999999999</v>
      </c>
      <c r="CK42">
        <f t="shared" si="73"/>
        <v>999999999</v>
      </c>
      <c r="CL42">
        <f t="shared" si="73"/>
        <v>999999999</v>
      </c>
      <c r="CM42">
        <f t="shared" si="73"/>
        <v>999999999</v>
      </c>
      <c r="CN42">
        <f t="shared" si="73"/>
        <v>0</v>
      </c>
      <c r="CO42">
        <f t="shared" si="73"/>
        <v>0</v>
      </c>
      <c r="CP42">
        <f t="shared" si="73"/>
        <v>0</v>
      </c>
      <c r="CQ42">
        <f t="shared" si="73"/>
        <v>0</v>
      </c>
      <c r="CR42">
        <f t="shared" si="73"/>
        <v>0</v>
      </c>
      <c r="CS42">
        <f t="shared" si="73"/>
        <v>0</v>
      </c>
      <c r="CT42">
        <f t="shared" si="73"/>
        <v>0</v>
      </c>
      <c r="CU42">
        <f t="shared" si="73"/>
        <v>0</v>
      </c>
      <c r="CV42" t="str">
        <f t="shared" si="73"/>
        <v>TIND</v>
      </c>
      <c r="CW42" t="str">
        <f t="shared" si="24"/>
        <v>NONRES</v>
      </c>
      <c r="CX42" t="str">
        <f t="shared" si="73"/>
        <v>N/A</v>
      </c>
      <c r="CY42" t="str">
        <f t="shared" si="73"/>
        <v>NONRES</v>
      </c>
      <c r="CZ42" t="str">
        <f t="shared" si="73"/>
        <v>FULL</v>
      </c>
      <c r="DA42" t="str">
        <f t="shared" si="73"/>
        <v>N</v>
      </c>
      <c r="DB42" t="str">
        <f t="shared" si="73"/>
        <v>N</v>
      </c>
      <c r="DC42" t="str">
        <f t="shared" si="73"/>
        <v>N</v>
      </c>
      <c r="DD42" t="str">
        <f t="shared" si="73"/>
        <v>Y</v>
      </c>
      <c r="DE42" t="str">
        <f t="shared" si="73"/>
        <v>N</v>
      </c>
      <c r="DF42" t="str">
        <f t="shared" si="73"/>
        <v>Y</v>
      </c>
    </row>
    <row r="43" spans="1:110">
      <c r="A43" t="str">
        <f t="shared" si="70"/>
        <v>46082GTNGLVS</v>
      </c>
      <c r="B43" s="153">
        <f t="shared" si="19"/>
        <v>46082</v>
      </c>
      <c r="C43" s="165" t="s">
        <v>763</v>
      </c>
      <c r="D43" s="167" t="s">
        <v>787</v>
      </c>
      <c r="E43" s="177" t="str">
        <f t="shared" si="71"/>
        <v>GTNGLVS</v>
      </c>
      <c r="F43" s="167" t="s">
        <v>788</v>
      </c>
      <c r="G43" t="str">
        <f t="shared" si="20"/>
        <v>Transportation NSP LV General Service</v>
      </c>
      <c r="H43" s="152" t="str">
        <f t="shared" ref="H43:BQ43" si="74">H22</f>
        <v>N</v>
      </c>
      <c r="I43" s="152">
        <f t="shared" si="74"/>
        <v>5</v>
      </c>
      <c r="J43" s="152">
        <f t="shared" si="74"/>
        <v>10</v>
      </c>
      <c r="K43" s="152">
        <f t="shared" si="74"/>
        <v>11</v>
      </c>
      <c r="L43" s="152">
        <f t="shared" si="74"/>
        <v>4</v>
      </c>
      <c r="M43" s="152">
        <f>VLOOKUP($A43,'Rate Changes'!$A$45:$E$63,MATCH(M$3,'Rate Changes'!$A$44:$E$44,0),0)</f>
        <v>285.73</v>
      </c>
      <c r="N43" s="152">
        <f t="shared" si="74"/>
        <v>0</v>
      </c>
      <c r="O43" s="152">
        <f t="shared" si="74"/>
        <v>0</v>
      </c>
      <c r="P43" s="152">
        <f t="shared" si="74"/>
        <v>0</v>
      </c>
      <c r="Q43" s="152">
        <f t="shared" si="74"/>
        <v>0</v>
      </c>
      <c r="R43" s="152">
        <f t="shared" si="74"/>
        <v>0</v>
      </c>
      <c r="S43" s="152">
        <f t="shared" si="74"/>
        <v>0</v>
      </c>
      <c r="T43" s="152">
        <f t="shared" si="74"/>
        <v>0</v>
      </c>
      <c r="U43" s="152">
        <f t="shared" si="74"/>
        <v>0</v>
      </c>
      <c r="V43" s="152">
        <f t="shared" si="74"/>
        <v>0</v>
      </c>
      <c r="W43" s="152" t="str">
        <f t="shared" si="74"/>
        <v>NONE</v>
      </c>
      <c r="X43" s="152" t="str">
        <f t="shared" si="74"/>
        <v>N</v>
      </c>
      <c r="Y43" s="152" t="str">
        <f t="shared" si="74"/>
        <v>N</v>
      </c>
      <c r="Z43" s="152">
        <f t="shared" si="74"/>
        <v>999999999</v>
      </c>
      <c r="AA43" s="152">
        <f t="shared" si="74"/>
        <v>0</v>
      </c>
      <c r="AB43" s="152">
        <f t="shared" si="74"/>
        <v>0</v>
      </c>
      <c r="AC43" s="152">
        <f t="shared" si="74"/>
        <v>0</v>
      </c>
      <c r="AD43" s="152">
        <f t="shared" si="74"/>
        <v>0</v>
      </c>
      <c r="AE43" s="152">
        <f t="shared" si="74"/>
        <v>0</v>
      </c>
      <c r="AF43" s="152">
        <f t="shared" si="74"/>
        <v>0</v>
      </c>
      <c r="AG43" s="152">
        <f t="shared" si="74"/>
        <v>0</v>
      </c>
      <c r="AH43" s="152">
        <f t="shared" si="74"/>
        <v>0</v>
      </c>
      <c r="AI43" s="152">
        <f t="shared" si="74"/>
        <v>0</v>
      </c>
      <c r="AJ43" s="152" t="str">
        <f t="shared" si="74"/>
        <v>N/A</v>
      </c>
      <c r="AK43" s="152" t="str">
        <f t="shared" si="74"/>
        <v>N</v>
      </c>
      <c r="AL43" s="152" t="str">
        <f t="shared" si="74"/>
        <v>N</v>
      </c>
      <c r="AM43" s="152" t="str">
        <f t="shared" si="74"/>
        <v>N</v>
      </c>
      <c r="AN43" s="152">
        <f t="shared" si="74"/>
        <v>999999999</v>
      </c>
      <c r="AO43" s="152">
        <f t="shared" si="74"/>
        <v>999999999</v>
      </c>
      <c r="AP43" s="152">
        <f t="shared" si="74"/>
        <v>999999999</v>
      </c>
      <c r="AQ43" s="152">
        <f t="shared" si="74"/>
        <v>0</v>
      </c>
      <c r="AR43" s="152">
        <f t="shared" si="74"/>
        <v>0</v>
      </c>
      <c r="AS43" s="152">
        <f t="shared" si="74"/>
        <v>0</v>
      </c>
      <c r="AT43" s="152">
        <f>VLOOKUP($A43,'Rate Changes'!$A$45:$E$63,MATCH(AT$3,'Rate Changes'!$A$44:$E$44,0),0)</f>
        <v>0.16200000000000001</v>
      </c>
      <c r="AU43" s="152">
        <f t="shared" si="74"/>
        <v>0</v>
      </c>
      <c r="AV43" s="152">
        <f t="shared" si="74"/>
        <v>0</v>
      </c>
      <c r="AW43" s="152">
        <f t="shared" si="74"/>
        <v>0</v>
      </c>
      <c r="AX43" s="152">
        <f t="shared" si="74"/>
        <v>0</v>
      </c>
      <c r="AY43" s="152">
        <f t="shared" si="74"/>
        <v>0</v>
      </c>
      <c r="AZ43" s="152">
        <f t="shared" si="74"/>
        <v>0</v>
      </c>
      <c r="BA43" s="152">
        <f t="shared" si="74"/>
        <v>0</v>
      </c>
      <c r="BB43" s="152">
        <f t="shared" si="74"/>
        <v>0</v>
      </c>
      <c r="BC43" s="152">
        <f t="shared" si="74"/>
        <v>0</v>
      </c>
      <c r="BD43" s="152">
        <f t="shared" si="74"/>
        <v>0</v>
      </c>
      <c r="BE43" s="152">
        <f t="shared" si="74"/>
        <v>0</v>
      </c>
      <c r="BF43" s="152">
        <f t="shared" si="74"/>
        <v>0</v>
      </c>
      <c r="BG43" s="152">
        <f t="shared" si="74"/>
        <v>0</v>
      </c>
      <c r="BH43" s="152">
        <f t="shared" si="74"/>
        <v>0</v>
      </c>
      <c r="BI43" s="152">
        <f t="shared" si="74"/>
        <v>0</v>
      </c>
      <c r="BJ43" s="152">
        <f t="shared" si="74"/>
        <v>0</v>
      </c>
      <c r="BK43" s="152">
        <f t="shared" si="74"/>
        <v>0</v>
      </c>
      <c r="BL43" s="152">
        <f t="shared" si="74"/>
        <v>0</v>
      </c>
      <c r="BM43" s="152">
        <f t="shared" si="74"/>
        <v>0</v>
      </c>
      <c r="BN43" s="152">
        <f t="shared" si="74"/>
        <v>0</v>
      </c>
      <c r="BO43" s="152">
        <f t="shared" si="74"/>
        <v>0</v>
      </c>
      <c r="BP43" s="152">
        <f t="shared" si="74"/>
        <v>0</v>
      </c>
      <c r="BQ43" s="152">
        <f t="shared" si="74"/>
        <v>0</v>
      </c>
      <c r="CJ43">
        <f>CJ22</f>
        <v>999999999</v>
      </c>
      <c r="CK43">
        <f t="shared" si="73"/>
        <v>999999999</v>
      </c>
      <c r="CL43">
        <f t="shared" si="73"/>
        <v>999999999</v>
      </c>
      <c r="CM43">
        <f t="shared" si="73"/>
        <v>999999999</v>
      </c>
      <c r="CN43">
        <f t="shared" si="73"/>
        <v>0</v>
      </c>
      <c r="CO43">
        <f t="shared" si="73"/>
        <v>0</v>
      </c>
      <c r="CP43">
        <f t="shared" si="73"/>
        <v>0</v>
      </c>
      <c r="CQ43">
        <f t="shared" si="73"/>
        <v>0</v>
      </c>
      <c r="CR43">
        <f t="shared" si="73"/>
        <v>0</v>
      </c>
      <c r="CS43">
        <f t="shared" si="73"/>
        <v>0</v>
      </c>
      <c r="CT43">
        <f t="shared" si="73"/>
        <v>0</v>
      </c>
      <c r="CU43">
        <f t="shared" si="73"/>
        <v>0</v>
      </c>
      <c r="CV43" t="str">
        <f t="shared" si="73"/>
        <v>TIND</v>
      </c>
      <c r="CW43" t="str">
        <f t="shared" si="24"/>
        <v>NONRES</v>
      </c>
      <c r="CX43" t="str">
        <f t="shared" si="73"/>
        <v>N/A</v>
      </c>
      <c r="CY43" t="str">
        <f t="shared" si="73"/>
        <v>NONRES</v>
      </c>
      <c r="CZ43" t="str">
        <f t="shared" si="73"/>
        <v>FULL</v>
      </c>
      <c r="DA43" t="str">
        <f t="shared" si="73"/>
        <v>N</v>
      </c>
      <c r="DB43" t="str">
        <f t="shared" si="73"/>
        <v>N</v>
      </c>
      <c r="DC43" t="str">
        <f t="shared" si="73"/>
        <v>N</v>
      </c>
      <c r="DD43" t="str">
        <f t="shared" si="73"/>
        <v>Y</v>
      </c>
      <c r="DE43" t="str">
        <f t="shared" si="73"/>
        <v>N</v>
      </c>
      <c r="DF43" t="str">
        <f t="shared" si="73"/>
        <v>Y</v>
      </c>
    </row>
  </sheetData>
  <autoFilter ref="A2:BQ41" xr:uid="{00000000-0001-0000-0A00-000000000000}"/>
  <phoneticPr fontId="82" type="noConversion"/>
  <pageMargins left="0.7" right="0.7" top="0.75" bottom="0.75" header="0.3" footer="0.3"/>
  <pageSetup orientation="portrait" r:id="rId1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6">
    <tabColor rgb="FF92D050"/>
  </sheetPr>
  <dimension ref="A1:C11"/>
  <sheetViews>
    <sheetView view="pageLayout" zoomScaleNormal="100" workbookViewId="0">
      <selection activeCell="C5" sqref="C5"/>
    </sheetView>
  </sheetViews>
  <sheetFormatPr defaultColWidth="9.140625" defaultRowHeight="15"/>
  <cols>
    <col min="1" max="1" width="55.5703125" customWidth="1"/>
    <col min="2" max="3" width="12" bestFit="1" customWidth="1"/>
  </cols>
  <sheetData>
    <row r="1" spans="1:3">
      <c r="A1" s="140" t="s">
        <v>320</v>
      </c>
      <c r="B1" s="140" t="s">
        <v>828</v>
      </c>
      <c r="C1" s="140" t="s">
        <v>551</v>
      </c>
    </row>
    <row r="2" spans="1:3">
      <c r="A2" s="137" t="s">
        <v>829</v>
      </c>
      <c r="B2" s="155">
        <v>26</v>
      </c>
      <c r="C2" s="135">
        <v>37</v>
      </c>
    </row>
    <row r="3" spans="1:3">
      <c r="A3" s="139" t="s">
        <v>830</v>
      </c>
      <c r="B3" s="155">
        <v>26</v>
      </c>
      <c r="C3" s="135">
        <v>26</v>
      </c>
    </row>
    <row r="4" spans="1:3">
      <c r="A4" s="139" t="s">
        <v>831</v>
      </c>
      <c r="B4" s="155">
        <v>26</v>
      </c>
      <c r="C4" s="135">
        <v>26</v>
      </c>
    </row>
    <row r="5" spans="1:3" ht="45">
      <c r="A5" s="137" t="s">
        <v>832</v>
      </c>
      <c r="B5" s="136">
        <v>47</v>
      </c>
      <c r="C5" s="135">
        <v>43</v>
      </c>
    </row>
    <row r="6" spans="1:3" ht="45">
      <c r="A6" s="138" t="s">
        <v>833</v>
      </c>
      <c r="B6" s="136">
        <v>149</v>
      </c>
      <c r="C6" s="135">
        <v>55</v>
      </c>
    </row>
    <row r="7" spans="1:3" ht="30">
      <c r="A7" s="138" t="s">
        <v>834</v>
      </c>
      <c r="B7" s="136">
        <v>196</v>
      </c>
      <c r="C7" s="135">
        <v>259</v>
      </c>
    </row>
    <row r="8" spans="1:3">
      <c r="A8" s="137" t="s">
        <v>835</v>
      </c>
      <c r="B8" s="136">
        <v>79</v>
      </c>
      <c r="C8" s="135">
        <v>126</v>
      </c>
    </row>
    <row r="9" spans="1:3">
      <c r="A9" s="137" t="s">
        <v>836</v>
      </c>
      <c r="B9" s="136">
        <v>60</v>
      </c>
      <c r="C9" s="135">
        <v>50</v>
      </c>
    </row>
    <row r="10" spans="1:3">
      <c r="A10" s="137" t="s">
        <v>837</v>
      </c>
      <c r="B10" s="136">
        <v>10</v>
      </c>
      <c r="C10" s="135">
        <v>10</v>
      </c>
    </row>
    <row r="11" spans="1:3">
      <c r="A11" s="137" t="s">
        <v>838</v>
      </c>
      <c r="B11" s="136">
        <v>1.4999999999999999E-2</v>
      </c>
      <c r="C11" s="135">
        <f>B11</f>
        <v>1.4999999999999999E-2</v>
      </c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7">
    <tabColor rgb="FF92D050"/>
  </sheetPr>
  <dimension ref="A1:D5"/>
  <sheetViews>
    <sheetView view="pageLayout" zoomScaleNormal="100" workbookViewId="0">
      <selection activeCell="C4" sqref="C4"/>
    </sheetView>
  </sheetViews>
  <sheetFormatPr defaultColWidth="9.140625" defaultRowHeight="15"/>
  <cols>
    <col min="1" max="1" width="59.5703125" bestFit="1" customWidth="1"/>
    <col min="3" max="3" width="12" bestFit="1" customWidth="1"/>
    <col min="4" max="5" width="29.140625" bestFit="1" customWidth="1"/>
  </cols>
  <sheetData>
    <row r="1" spans="1:4" ht="16.5">
      <c r="A1" s="250" t="s">
        <v>320</v>
      </c>
      <c r="B1" s="250" t="s">
        <v>828</v>
      </c>
      <c r="C1" s="250" t="s">
        <v>551</v>
      </c>
      <c r="D1" s="4"/>
    </row>
    <row r="2" spans="1:4">
      <c r="A2" s="291" t="s">
        <v>839</v>
      </c>
      <c r="B2" s="292">
        <f>'PGA Calculation'!B13</f>
        <v>0.44669999999999999</v>
      </c>
      <c r="C2" s="292">
        <f>B2</f>
        <v>0.44669999999999999</v>
      </c>
      <c r="D2" s="4"/>
    </row>
    <row r="3" spans="1:4">
      <c r="A3" s="291" t="s">
        <v>840</v>
      </c>
      <c r="B3" s="292">
        <v>0</v>
      </c>
      <c r="C3" s="292">
        <v>0</v>
      </c>
    </row>
    <row r="4" spans="1:4">
      <c r="A4" s="291" t="s">
        <v>841</v>
      </c>
      <c r="B4" s="293">
        <v>1.884E-3</v>
      </c>
      <c r="C4" s="293">
        <f>B4</f>
        <v>1.884E-3</v>
      </c>
    </row>
    <row r="5" spans="1:4">
      <c r="A5" s="294" t="s">
        <v>842</v>
      </c>
      <c r="B5" s="294">
        <v>0</v>
      </c>
      <c r="C5" s="294">
        <v>0</v>
      </c>
    </row>
  </sheetData>
  <conditionalFormatting sqref="B2:C4">
    <cfRule type="containsBlanks" dxfId="127" priority="1">
      <formula>LEN(TRIM(B2))=0</formula>
    </cfRule>
  </conditionalFormatting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10EFE-D586-41A8-BACB-43DDEA12FEDB}">
  <sheetPr codeName="Sheet47">
    <tabColor rgb="FF92D050"/>
  </sheetPr>
  <dimension ref="A1:B13"/>
  <sheetViews>
    <sheetView view="pageLayout" zoomScaleNormal="100" workbookViewId="0">
      <selection sqref="A1:G4"/>
    </sheetView>
  </sheetViews>
  <sheetFormatPr defaultRowHeight="15"/>
  <cols>
    <col min="1" max="1" width="23" bestFit="1" customWidth="1"/>
    <col min="2" max="2" width="14.7109375" bestFit="1" customWidth="1"/>
  </cols>
  <sheetData>
    <row r="1" spans="1:2">
      <c r="A1" s="807" t="s">
        <v>843</v>
      </c>
      <c r="B1" s="807"/>
    </row>
    <row r="2" spans="1:2">
      <c r="A2" t="s">
        <v>844</v>
      </c>
      <c r="B2" s="288">
        <f>Summary!N11-Summary!N27-Summary!N29</f>
        <v>127120067.52705711</v>
      </c>
    </row>
    <row r="3" spans="1:2">
      <c r="A3" t="s">
        <v>845</v>
      </c>
      <c r="B3" s="289">
        <v>0.4405</v>
      </c>
    </row>
    <row r="4" spans="1:2">
      <c r="A4" t="s">
        <v>846</v>
      </c>
      <c r="B4" s="160">
        <f>B2*B3</f>
        <v>55996389.745668657</v>
      </c>
    </row>
    <row r="5" spans="1:2">
      <c r="A5" t="s">
        <v>847</v>
      </c>
      <c r="B5" s="288">
        <f>Summary!N16</f>
        <v>2494386.7258533677</v>
      </c>
    </row>
    <row r="6" spans="1:2">
      <c r="A6" t="s">
        <v>845</v>
      </c>
      <c r="B6" s="289">
        <f>B3</f>
        <v>0.4405</v>
      </c>
    </row>
    <row r="7" spans="1:2">
      <c r="A7" t="s">
        <v>848</v>
      </c>
      <c r="B7" s="160">
        <f>B5*B6</f>
        <v>1098777.3527384084</v>
      </c>
    </row>
    <row r="8" spans="1:2">
      <c r="A8" t="s">
        <v>849</v>
      </c>
      <c r="B8" s="163">
        <v>0.4</v>
      </c>
    </row>
    <row r="9" spans="1:2">
      <c r="A9" t="s">
        <v>850</v>
      </c>
      <c r="B9" s="160">
        <f>B7*B8</f>
        <v>439510.94109536335</v>
      </c>
    </row>
    <row r="10" spans="1:2">
      <c r="A10" t="s">
        <v>851</v>
      </c>
      <c r="B10" s="160">
        <f>5*Summary!M16</f>
        <v>348428.47701027693</v>
      </c>
    </row>
    <row r="11" spans="1:2">
      <c r="A11" t="s">
        <v>852</v>
      </c>
      <c r="B11" s="160">
        <f>SUM(B9:B10)</f>
        <v>787939.41810564022</v>
      </c>
    </row>
    <row r="12" spans="1:2">
      <c r="A12" t="s">
        <v>853</v>
      </c>
      <c r="B12" s="201">
        <f>B4+B11</f>
        <v>56784329.163774297</v>
      </c>
    </row>
    <row r="13" spans="1:2">
      <c r="A13" s="290" t="s">
        <v>610</v>
      </c>
      <c r="B13" s="290">
        <f>ROUND(B12/B2,4)</f>
        <v>0.44669999999999999</v>
      </c>
    </row>
  </sheetData>
  <mergeCells count="1">
    <mergeCell ref="A1:B1"/>
  </mergeCells>
  <pageMargins left="0.7" right="0.7" top="0.75" bottom="0.75" header="0.3" footer="0.3"/>
  <pageSetup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D4F8E-DCC8-4ABA-927D-4B9490917A9C}">
  <sheetPr codeName="Sheet23">
    <tabColor rgb="FFFFFF00"/>
    <pageSetUpPr fitToPage="1"/>
  </sheetPr>
  <dimension ref="A1:AF69"/>
  <sheetViews>
    <sheetView zoomScaleNormal="100" zoomScaleSheetLayoutView="70" workbookViewId="0">
      <selection activeCell="G39" sqref="G39"/>
    </sheetView>
  </sheetViews>
  <sheetFormatPr defaultColWidth="9.28515625" defaultRowHeight="15"/>
  <cols>
    <col min="1" max="2" width="9.28515625" style="251" customWidth="1"/>
    <col min="3" max="3" width="6.140625" style="251" customWidth="1"/>
    <col min="4" max="4" width="11.42578125" style="251" customWidth="1"/>
    <col min="5" max="5" width="12.7109375" style="251" customWidth="1"/>
    <col min="6" max="6" width="20.28515625" style="251" customWidth="1"/>
    <col min="7" max="7" width="21.85546875" style="57" customWidth="1"/>
    <col min="8" max="9" width="9.7109375" style="57" bestFit="1" customWidth="1"/>
    <col min="10" max="10" width="3.42578125" style="57" customWidth="1"/>
    <col min="11" max="11" width="12.28515625" style="57" bestFit="1" customWidth="1"/>
    <col min="12" max="14" width="10.28515625" style="57" customWidth="1"/>
    <col min="15" max="16" width="6.85546875" style="57" customWidth="1"/>
    <col min="17" max="17" width="10.28515625" style="57" customWidth="1"/>
    <col min="18" max="18" width="6.85546875" style="57" bestFit="1" customWidth="1"/>
    <col min="19" max="19" width="6.140625" style="57" bestFit="1" customWidth="1"/>
    <col min="20" max="20" width="7.5703125" style="57" customWidth="1"/>
    <col min="21" max="21" width="7" style="57" bestFit="1" customWidth="1"/>
    <col min="22" max="27" width="7.5703125" style="57" customWidth="1"/>
    <col min="28" max="30" width="9.28515625" style="251"/>
    <col min="31" max="31" width="9.28515625" style="255"/>
    <col min="32" max="16384" width="9.28515625" style="251"/>
  </cols>
  <sheetData>
    <row r="1" spans="1:32">
      <c r="G1" s="57" t="s">
        <v>854</v>
      </c>
      <c r="H1" s="4" t="s">
        <v>809</v>
      </c>
      <c r="I1" s="56" t="s">
        <v>516</v>
      </c>
      <c r="K1" s="818" t="s">
        <v>855</v>
      </c>
      <c r="L1" s="818"/>
      <c r="M1" s="818"/>
      <c r="N1" s="818"/>
      <c r="O1" s="818"/>
      <c r="P1" s="818"/>
      <c r="Q1" s="818"/>
      <c r="R1" s="818"/>
      <c r="S1" s="818"/>
      <c r="T1" s="253"/>
      <c r="U1" s="254"/>
    </row>
    <row r="2" spans="1:32">
      <c r="L2" s="256" t="s">
        <v>856</v>
      </c>
    </row>
    <row r="3" spans="1:32" ht="15" customHeight="1">
      <c r="I3" s="100"/>
      <c r="L3" s="813" t="s">
        <v>857</v>
      </c>
      <c r="M3" s="814"/>
      <c r="N3" s="814"/>
      <c r="O3" s="815"/>
      <c r="P3" s="296"/>
      <c r="T3" s="251"/>
      <c r="Z3" s="251"/>
      <c r="AA3" s="251"/>
      <c r="AC3" s="255"/>
      <c r="AE3" s="251"/>
    </row>
    <row r="4" spans="1:32" ht="21.75" customHeight="1">
      <c r="A4" s="251" t="s">
        <v>598</v>
      </c>
      <c r="B4" s="251" t="s">
        <v>599</v>
      </c>
      <c r="C4" s="251" t="s">
        <v>587</v>
      </c>
      <c r="D4" s="251" t="s">
        <v>600</v>
      </c>
      <c r="E4" s="251" t="s">
        <v>601</v>
      </c>
      <c r="F4" s="251" t="s">
        <v>858</v>
      </c>
      <c r="H4" s="257" t="s">
        <v>828</v>
      </c>
      <c r="I4" s="257" t="s">
        <v>551</v>
      </c>
      <c r="L4" s="810" t="s">
        <v>859</v>
      </c>
      <c r="M4" s="816" t="s">
        <v>860</v>
      </c>
      <c r="N4" s="808" t="s">
        <v>861</v>
      </c>
      <c r="O4" s="808" t="s">
        <v>610</v>
      </c>
      <c r="P4" s="808" t="s">
        <v>862</v>
      </c>
      <c r="Q4" s="810" t="s">
        <v>863</v>
      </c>
      <c r="U4" s="811" t="s">
        <v>864</v>
      </c>
      <c r="V4" s="811" t="s">
        <v>865</v>
      </c>
      <c r="AA4" s="251"/>
      <c r="AD4" s="255"/>
      <c r="AE4" s="251"/>
    </row>
    <row r="5" spans="1:32">
      <c r="A5" s="100">
        <v>41030</v>
      </c>
      <c r="B5" s="100">
        <f>'Rate Changes'!J1</f>
        <v>46082</v>
      </c>
      <c r="C5" s="251" t="str">
        <f>I1</f>
        <v>GRRES</v>
      </c>
      <c r="D5" s="100" t="str">
        <f>IF(C5="","",A5&amp;$C5)</f>
        <v>41030GRRES</v>
      </c>
      <c r="E5" s="100" t="str">
        <f>IF(D5="","",B5&amp;$C5)</f>
        <v>46082GRRES</v>
      </c>
      <c r="F5" s="251" t="str">
        <f>IFERROR(IF(VLOOKUP(G5,Lookup!$A$1:$B$200,2,0)="","",VLOOKUP(G5,Lookup!$A$1:$B$200,2,0)),"")</f>
        <v>BASIC_SERVICE_CHARGE</v>
      </c>
      <c r="G5" s="258" t="s">
        <v>607</v>
      </c>
      <c r="H5" s="259">
        <f>VLOOKUP(D5,'UNSG - ALL RATES'!$A$1:$DF$43,MATCH($F5,'UNSG - ALL RATES'!$A$2:$DF$2,0),0)</f>
        <v>10</v>
      </c>
      <c r="I5" s="259">
        <f>VLOOKUP(E5,'UNSG - ALL RATES'!$A$1:$DF$38,MATCH($F5,'UNSG - ALL RATES'!$A$2:$DF$2,0),0)</f>
        <v>11.94</v>
      </c>
      <c r="J5" s="259"/>
      <c r="L5" s="810"/>
      <c r="M5" s="817"/>
      <c r="N5" s="809"/>
      <c r="O5" s="809"/>
      <c r="P5" s="809"/>
      <c r="Q5" s="810"/>
      <c r="T5" s="251"/>
      <c r="U5" s="812"/>
      <c r="V5" s="812"/>
      <c r="Z5" s="251"/>
      <c r="AA5" s="251"/>
      <c r="AC5" s="255"/>
      <c r="AE5" s="251"/>
    </row>
    <row r="6" spans="1:32">
      <c r="A6" s="100">
        <v>41030</v>
      </c>
      <c r="B6" s="100">
        <f>$B$5</f>
        <v>46082</v>
      </c>
      <c r="C6" s="251" t="str">
        <f>C5</f>
        <v>GRRES</v>
      </c>
      <c r="D6" s="100" t="str">
        <f t="shared" ref="D6:E18" si="0">IF(C6="","",A6&amp;$C6)</f>
        <v>41030GRRES</v>
      </c>
      <c r="E6" s="100" t="str">
        <f t="shared" si="0"/>
        <v>46082GRRES</v>
      </c>
      <c r="F6" s="251" t="str">
        <f>IFERROR(IF(VLOOKUP(G6,Lookup!$A$1:$B$200,2,0)="","",VLOOKUP(G6,Lookup!$A$1:$B$200,2,0)),"")</f>
        <v/>
      </c>
      <c r="G6" s="258"/>
      <c r="H6" s="259"/>
      <c r="I6" s="259"/>
      <c r="J6" s="259"/>
      <c r="K6" s="56" t="s">
        <v>482</v>
      </c>
      <c r="L6" s="260">
        <f>VLOOKUP($H$1,[17]!Percentiles_All_Bills,9,0)</f>
        <v>25</v>
      </c>
      <c r="M6" s="261">
        <f>VLOOKUP(M4,$G$5:$I$5,2,0)</f>
        <v>10</v>
      </c>
      <c r="N6" s="261">
        <f>$H$8*L6</f>
        <v>8.5849999999999991</v>
      </c>
      <c r="O6" s="261">
        <f>$H$10*L6</f>
        <v>11.012499999999999</v>
      </c>
      <c r="P6" s="261">
        <f>L6*$H$9</f>
        <v>-0.40249999999999997</v>
      </c>
      <c r="Q6" s="261">
        <f>SUM(M6:P6)</f>
        <v>29.195</v>
      </c>
      <c r="T6" s="262"/>
      <c r="U6" s="261">
        <f>Q6*'UNSG Riders- Current'!$C$4</f>
        <v>5.5003380000000004E-2</v>
      </c>
      <c r="V6" s="263">
        <f>ROUND(SUM(Q6,U6:U6),2)</f>
        <v>29.25</v>
      </c>
      <c r="Y6" s="262"/>
      <c r="Z6" s="251"/>
      <c r="AA6" s="251"/>
      <c r="AC6" s="255"/>
      <c r="AE6" s="251"/>
    </row>
    <row r="7" spans="1:32">
      <c r="A7" s="100">
        <v>41030</v>
      </c>
      <c r="B7" s="100">
        <f t="shared" ref="B7:B18" si="1">$B$5</f>
        <v>46082</v>
      </c>
      <c r="C7" s="251" t="str">
        <f t="shared" ref="C7:C18" si="2">C6</f>
        <v>GRRES</v>
      </c>
      <c r="D7" s="100" t="str">
        <f t="shared" si="0"/>
        <v>41030GRRES</v>
      </c>
      <c r="E7" s="100" t="str">
        <f t="shared" si="0"/>
        <v>46082GRRES</v>
      </c>
      <c r="F7" s="251" t="str">
        <f>IFERROR(IF(VLOOKUP(G7,Lookup!$A$1:$B$200,2,0)="","",VLOOKUP(G7,Lookup!$A$1:$B$200,2,0)),"")</f>
        <v/>
      </c>
      <c r="G7" s="258" t="s">
        <v>512</v>
      </c>
      <c r="H7" s="259"/>
      <c r="I7" s="259"/>
      <c r="J7" s="264"/>
      <c r="K7" s="56" t="s">
        <v>866</v>
      </c>
      <c r="L7" s="260">
        <f>VLOOKUP($H$1,[17]!Percentiles_All_Bills,10,0)</f>
        <v>66</v>
      </c>
      <c r="M7" s="261">
        <f>M6</f>
        <v>10</v>
      </c>
      <c r="N7" s="261">
        <f t="shared" ref="N7:N10" si="3">$H$8*L7</f>
        <v>22.664400000000001</v>
      </c>
      <c r="O7" s="261">
        <f t="shared" ref="O7:O10" si="4">$H$10*L7</f>
        <v>29.073</v>
      </c>
      <c r="P7" s="261">
        <f t="shared" ref="P7:P10" si="5">L7*$H$9</f>
        <v>-1.0626</v>
      </c>
      <c r="Q7" s="261">
        <f t="shared" ref="Q7:Q10" si="6">SUM(M7:P7)</f>
        <v>60.674799999999998</v>
      </c>
      <c r="T7" s="262"/>
      <c r="U7" s="261">
        <f>Q7*'UNSG Riders- Current'!$C$4</f>
        <v>0.1143113232</v>
      </c>
      <c r="V7" s="263">
        <f t="shared" ref="V7:V10" si="7">ROUND(SUM(Q7,U7:U7),2)</f>
        <v>60.79</v>
      </c>
      <c r="Y7" s="262"/>
      <c r="Z7" s="251"/>
      <c r="AA7" s="251"/>
      <c r="AC7" s="255"/>
      <c r="AE7" s="251"/>
    </row>
    <row r="8" spans="1:32">
      <c r="A8" s="100">
        <v>41030</v>
      </c>
      <c r="B8" s="100">
        <f t="shared" si="1"/>
        <v>46082</v>
      </c>
      <c r="C8" s="251" t="str">
        <f t="shared" si="2"/>
        <v>GRRES</v>
      </c>
      <c r="D8" s="100" t="str">
        <f t="shared" si="0"/>
        <v>41030GRRES</v>
      </c>
      <c r="E8" s="100" t="str">
        <f t="shared" si="0"/>
        <v>46082GRRES</v>
      </c>
      <c r="F8" s="251" t="str">
        <f>IFERROR(IF(VLOOKUP(G8,Lookup!$A$1:$B$200,2,0)="","",VLOOKUP(G8,Lookup!$A$1:$B$200,2,0)),"")</f>
        <v>THERM_DELIVERY_TIER1</v>
      </c>
      <c r="G8" s="57" t="s">
        <v>609</v>
      </c>
      <c r="H8" s="265">
        <f>VLOOKUP(D8,'UNSG - ALL RATES'!$A$1:$DF$38,MATCH($F8,'UNSG - ALL RATES'!$A$2:$DF$2,0),0)</f>
        <v>0.34339999999999998</v>
      </c>
      <c r="I8" s="265">
        <f>VLOOKUP(E8,'UNSG - ALL RATES'!$A$1:$DF$38,MATCH($F8,'UNSG - ALL RATES'!$A$2:$DF$2,0),0)</f>
        <v>0.38009999999999999</v>
      </c>
      <c r="J8" s="264"/>
      <c r="K8" s="56" t="s">
        <v>520</v>
      </c>
      <c r="L8" s="260">
        <f>VLOOKUP($H$1,[17]!Percentiles_All_Bills,11,0)</f>
        <v>112</v>
      </c>
      <c r="M8" s="261">
        <f t="shared" ref="M8:M10" si="8">M7</f>
        <v>10</v>
      </c>
      <c r="N8" s="261">
        <f t="shared" si="3"/>
        <v>38.460799999999999</v>
      </c>
      <c r="O8" s="261">
        <f t="shared" si="4"/>
        <v>49.335999999999999</v>
      </c>
      <c r="P8" s="261">
        <f t="shared" si="5"/>
        <v>-1.8031999999999999</v>
      </c>
      <c r="Q8" s="261">
        <f t="shared" si="6"/>
        <v>95.993599999999986</v>
      </c>
      <c r="T8" s="262"/>
      <c r="U8" s="261">
        <f>Q8*'UNSG Riders- Current'!$C$4</f>
        <v>0.18085194239999997</v>
      </c>
      <c r="V8" s="263">
        <f t="shared" si="7"/>
        <v>96.17</v>
      </c>
      <c r="Y8" s="262"/>
      <c r="Z8" s="251"/>
      <c r="AA8" s="251"/>
      <c r="AC8" s="255"/>
      <c r="AE8" s="251"/>
    </row>
    <row r="9" spans="1:32">
      <c r="A9" s="100">
        <v>41030</v>
      </c>
      <c r="B9" s="100">
        <f t="shared" si="1"/>
        <v>46082</v>
      </c>
      <c r="C9" s="251" t="str">
        <f t="shared" si="2"/>
        <v>GRRES</v>
      </c>
      <c r="D9" s="100" t="str">
        <f t="shared" si="0"/>
        <v>41030GRRES</v>
      </c>
      <c r="E9" s="100" t="str">
        <f t="shared" si="0"/>
        <v>46082GRRES</v>
      </c>
      <c r="F9" s="251" t="str">
        <f>IFERROR(IF(VLOOKUP(G9,Lookup!$A$1:$B$200,2,0)="","",VLOOKUP(G9,Lookup!$A$1:$B$200,2,0)),"")</f>
        <v/>
      </c>
      <c r="G9" s="57" t="s">
        <v>867</v>
      </c>
      <c r="H9" s="264">
        <v>-1.61E-2</v>
      </c>
      <c r="I9" s="303">
        <v>0</v>
      </c>
      <c r="J9" s="264"/>
      <c r="K9" s="56" t="s">
        <v>868</v>
      </c>
      <c r="L9" s="260">
        <f>VLOOKUP($H$1,[17]!Percentiles_All_Bills,12,0)</f>
        <v>144</v>
      </c>
      <c r="M9" s="261">
        <f t="shared" si="8"/>
        <v>10</v>
      </c>
      <c r="N9" s="261">
        <f t="shared" si="3"/>
        <v>49.449599999999997</v>
      </c>
      <c r="O9" s="261">
        <f t="shared" si="4"/>
        <v>63.432000000000002</v>
      </c>
      <c r="P9" s="261">
        <f t="shared" si="5"/>
        <v>-2.3184</v>
      </c>
      <c r="Q9" s="261">
        <f t="shared" si="6"/>
        <v>120.56319999999999</v>
      </c>
      <c r="T9" s="262"/>
      <c r="U9" s="261">
        <f>Q9*'UNSG Riders- Current'!$C$4</f>
        <v>0.22714106879999998</v>
      </c>
      <c r="V9" s="263">
        <f t="shared" si="7"/>
        <v>120.79</v>
      </c>
      <c r="Y9" s="262"/>
      <c r="Z9" s="251"/>
      <c r="AA9" s="251"/>
      <c r="AC9" s="255"/>
      <c r="AE9" s="251"/>
    </row>
    <row r="10" spans="1:32">
      <c r="A10" s="100">
        <v>41030</v>
      </c>
      <c r="B10" s="100">
        <f t="shared" si="1"/>
        <v>46082</v>
      </c>
      <c r="C10" s="251" t="str">
        <f t="shared" si="2"/>
        <v>GRRES</v>
      </c>
      <c r="D10" s="100" t="str">
        <f t="shared" si="0"/>
        <v>41030GRRES</v>
      </c>
      <c r="E10" s="100" t="str">
        <f t="shared" si="0"/>
        <v>46082GRRES</v>
      </c>
      <c r="F10" s="251" t="str">
        <f>IFERROR(IF(VLOOKUP(G10,Lookup!$A$1:$B$200,2,0)="","",VLOOKUP(G10,Lookup!$A$1:$B$200,2,0)),"")</f>
        <v/>
      </c>
      <c r="G10" s="266" t="s">
        <v>610</v>
      </c>
      <c r="H10" s="264">
        <f>'PGA Calculation'!$B$3</f>
        <v>0.4405</v>
      </c>
      <c r="I10" s="264">
        <f>'PGA Calculation'!$B$13</f>
        <v>0.44669999999999999</v>
      </c>
      <c r="J10" s="264"/>
      <c r="K10" s="267" t="s">
        <v>869</v>
      </c>
      <c r="L10" s="260">
        <f>VLOOKUP($H$1,[17]!Percentiles_All_Bills,15,0)</f>
        <v>45.145951569558264</v>
      </c>
      <c r="M10" s="261">
        <f t="shared" si="8"/>
        <v>10</v>
      </c>
      <c r="N10" s="261">
        <f t="shared" si="3"/>
        <v>15.503119768986307</v>
      </c>
      <c r="O10" s="261">
        <f t="shared" si="4"/>
        <v>19.886791666390415</v>
      </c>
      <c r="P10" s="261">
        <f t="shared" si="5"/>
        <v>-0.72684982026988798</v>
      </c>
      <c r="Q10" s="261">
        <f t="shared" si="6"/>
        <v>44.663061615106834</v>
      </c>
      <c r="T10" s="262"/>
      <c r="U10" s="261">
        <f>Q10*'UNSG Riders- Current'!$C$4</f>
        <v>8.4145208082861273E-2</v>
      </c>
      <c r="V10" s="263">
        <f t="shared" si="7"/>
        <v>44.75</v>
      </c>
      <c r="Y10" s="262"/>
      <c r="Z10" s="251"/>
      <c r="AA10" s="251"/>
      <c r="AC10" s="255"/>
      <c r="AE10" s="251"/>
    </row>
    <row r="11" spans="1:32">
      <c r="A11" s="100">
        <v>41030</v>
      </c>
      <c r="B11" s="100">
        <f t="shared" si="1"/>
        <v>46082</v>
      </c>
      <c r="C11" s="251" t="str">
        <f t="shared" si="2"/>
        <v>GRRES</v>
      </c>
      <c r="D11" s="100" t="str">
        <f t="shared" si="0"/>
        <v>41030GRRES</v>
      </c>
      <c r="E11" s="100" t="str">
        <f t="shared" si="0"/>
        <v>46082GRRES</v>
      </c>
      <c r="F11" s="251" t="str">
        <f>IFERROR(IF(VLOOKUP(G11,Lookup!$A$1:$B$200,2,0)="","",VLOOKUP(G11,Lookup!$A$1:$B$200,2,0)),"")</f>
        <v/>
      </c>
      <c r="G11" s="258"/>
      <c r="H11" s="264"/>
      <c r="I11"/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V11" s="268"/>
      <c r="W11" s="268"/>
      <c r="X11" s="268"/>
      <c r="Y11" s="269"/>
      <c r="AA11" s="262"/>
    </row>
    <row r="12" spans="1:32">
      <c r="A12" s="100"/>
      <c r="B12" s="100"/>
      <c r="D12" s="100"/>
      <c r="E12" s="100"/>
      <c r="G12" s="258" t="s">
        <v>870</v>
      </c>
      <c r="H12" s="264"/>
      <c r="I12" s="669">
        <f>'UNSG Riders- Current'!$C$3</f>
        <v>0</v>
      </c>
      <c r="J12" s="264"/>
      <c r="Q12" s="270"/>
    </row>
    <row r="13" spans="1:32" ht="15" customHeight="1">
      <c r="A13" s="100">
        <v>41030</v>
      </c>
      <c r="B13" s="100">
        <f t="shared" si="1"/>
        <v>46082</v>
      </c>
      <c r="C13" s="251" t="str">
        <f>C11</f>
        <v>GRRES</v>
      </c>
      <c r="D13" s="100" t="str">
        <f t="shared" si="0"/>
        <v>41030GRRES</v>
      </c>
      <c r="E13" s="100" t="str">
        <f t="shared" si="0"/>
        <v>46082GRRES</v>
      </c>
      <c r="F13" s="251" t="str">
        <f>IFERROR(IF(VLOOKUP(G13,Lookup!$A$1:$B$200,2,0)="","",VLOOKUP(G13,Lookup!$A$1:$B$200,2,0)),"")</f>
        <v/>
      </c>
      <c r="G13" s="266" t="s">
        <v>871</v>
      </c>
      <c r="H13" s="264"/>
      <c r="I13" s="287">
        <f>'UNSG Riders- Current'!$C$5</f>
        <v>0</v>
      </c>
      <c r="L13" s="813" t="s">
        <v>872</v>
      </c>
      <c r="M13" s="814"/>
      <c r="N13" s="814"/>
      <c r="O13" s="815"/>
      <c r="P13" s="296"/>
      <c r="T13" s="251"/>
      <c r="V13" s="271"/>
      <c r="Z13" s="251"/>
      <c r="AA13" s="251"/>
      <c r="AC13" s="255"/>
      <c r="AE13" s="251"/>
    </row>
    <row r="14" spans="1:32" ht="22.5" customHeight="1">
      <c r="A14" s="100">
        <v>41030</v>
      </c>
      <c r="B14" s="100">
        <f t="shared" si="1"/>
        <v>46082</v>
      </c>
      <c r="C14" s="251" t="str">
        <f t="shared" si="2"/>
        <v>GRRES</v>
      </c>
      <c r="D14" s="100" t="str">
        <f t="shared" si="0"/>
        <v>41030GRRES</v>
      </c>
      <c r="E14" s="100" t="str">
        <f t="shared" si="0"/>
        <v>46082GRRES</v>
      </c>
      <c r="F14" s="251" t="str">
        <f>IFERROR(IF(VLOOKUP(G14,Lookup!$A$1:$B$200,2,0)="","",VLOOKUP(G14,Lookup!$A$1:$B$200,2,0)),"")</f>
        <v/>
      </c>
      <c r="I14"/>
      <c r="L14" s="810" t="s">
        <v>859</v>
      </c>
      <c r="M14" s="816" t="s">
        <v>860</v>
      </c>
      <c r="N14" s="808" t="s">
        <v>861</v>
      </c>
      <c r="O14" s="808" t="s">
        <v>610</v>
      </c>
      <c r="P14" s="808" t="s">
        <v>873</v>
      </c>
      <c r="Q14" s="810" t="s">
        <v>863</v>
      </c>
      <c r="R14" s="808" t="s">
        <v>874</v>
      </c>
      <c r="S14" s="808" t="s">
        <v>875</v>
      </c>
      <c r="U14" s="811" t="s">
        <v>864</v>
      </c>
      <c r="V14" s="811" t="s">
        <v>870</v>
      </c>
      <c r="W14" s="811" t="s">
        <v>871</v>
      </c>
      <c r="X14" s="811" t="s">
        <v>865</v>
      </c>
      <c r="Y14" s="808" t="s">
        <v>874</v>
      </c>
      <c r="Z14" s="808" t="s">
        <v>875</v>
      </c>
      <c r="AB14" s="57"/>
      <c r="AE14" s="251"/>
      <c r="AF14" s="255"/>
    </row>
    <row r="15" spans="1:32" ht="16.5" customHeight="1">
      <c r="A15" s="100">
        <v>41030</v>
      </c>
      <c r="B15" s="100">
        <f t="shared" si="1"/>
        <v>46082</v>
      </c>
      <c r="C15" s="251" t="str">
        <f t="shared" si="2"/>
        <v>GRRES</v>
      </c>
      <c r="D15" s="100" t="str">
        <f t="shared" si="0"/>
        <v>41030GRRES</v>
      </c>
      <c r="E15" s="100" t="str">
        <f t="shared" si="0"/>
        <v>46082GRRES</v>
      </c>
      <c r="F15" s="251" t="str">
        <f>IFERROR(IF(VLOOKUP(G15,Lookup!$A$1:$B$200,2,0)="","",VLOOKUP(G15,Lookup!$A$1:$B$200,2,0)),"")</f>
        <v/>
      </c>
      <c r="G15"/>
      <c r="H15"/>
      <c r="I15"/>
      <c r="L15" s="810"/>
      <c r="M15" s="817"/>
      <c r="N15" s="809"/>
      <c r="O15" s="809"/>
      <c r="P15" s="809"/>
      <c r="Q15" s="810"/>
      <c r="R15" s="809"/>
      <c r="S15" s="809"/>
      <c r="U15" s="812"/>
      <c r="V15" s="812"/>
      <c r="W15" s="812"/>
      <c r="X15" s="812"/>
      <c r="Y15" s="809"/>
      <c r="Z15" s="809"/>
      <c r="AB15" s="57"/>
      <c r="AE15" s="251"/>
      <c r="AF15" s="255"/>
    </row>
    <row r="16" spans="1:32">
      <c r="A16" s="100">
        <v>41030</v>
      </c>
      <c r="B16" s="100">
        <f t="shared" si="1"/>
        <v>46082</v>
      </c>
      <c r="C16" s="251" t="str">
        <f t="shared" si="2"/>
        <v>GRRES</v>
      </c>
      <c r="D16" s="100" t="str">
        <f t="shared" si="0"/>
        <v>41030GRRES</v>
      </c>
      <c r="E16" s="100" t="str">
        <f t="shared" si="0"/>
        <v>46082GRRES</v>
      </c>
      <c r="G16"/>
      <c r="H16"/>
      <c r="I16" s="264"/>
      <c r="J16" s="264"/>
      <c r="K16" s="56" t="s">
        <v>482</v>
      </c>
      <c r="L16" s="260">
        <f>VLOOKUP($H$1,[17]!Percentiles_All_Bills,9,0)</f>
        <v>25</v>
      </c>
      <c r="M16" s="261">
        <f>VLOOKUP(M14,$G$5:$I$5,3,0)</f>
        <v>11.94</v>
      </c>
      <c r="N16" s="261">
        <f>$I$8*L16</f>
        <v>9.5024999999999995</v>
      </c>
      <c r="O16" s="261">
        <f>$I$10*L16</f>
        <v>11.1675</v>
      </c>
      <c r="P16" s="261">
        <f>L16*$I$9</f>
        <v>0</v>
      </c>
      <c r="Q16" s="261">
        <f>SUM(M16:P16)</f>
        <v>32.61</v>
      </c>
      <c r="R16" s="261">
        <f>Q16-Q6</f>
        <v>3.4149999999999991</v>
      </c>
      <c r="S16" s="272">
        <f>R16/Q6</f>
        <v>0.11697208426100357</v>
      </c>
      <c r="T16" s="273"/>
      <c r="U16" s="261">
        <f>Q16*'UNSG Riders- Current'!$C$4</f>
        <v>6.1437239999999997E-2</v>
      </c>
      <c r="V16" s="261">
        <f>L16*$I$12</f>
        <v>0</v>
      </c>
      <c r="W16" s="261">
        <f>Q16*$I$13</f>
        <v>0</v>
      </c>
      <c r="X16" s="263">
        <f>ROUND(SUM(Q16,U16:W16),2)</f>
        <v>32.67</v>
      </c>
      <c r="Y16" s="261">
        <f>X16-V6</f>
        <v>3.4200000000000017</v>
      </c>
      <c r="Z16" s="272">
        <f>Y16/V6</f>
        <v>0.11692307692307698</v>
      </c>
      <c r="AB16" s="57"/>
      <c r="AE16" s="251"/>
      <c r="AF16" s="255"/>
    </row>
    <row r="17" spans="1:32">
      <c r="A17" s="100">
        <v>41030</v>
      </c>
      <c r="B17" s="100">
        <f t="shared" si="1"/>
        <v>46082</v>
      </c>
      <c r="C17" s="251" t="str">
        <f t="shared" si="2"/>
        <v>GRRES</v>
      </c>
      <c r="D17" s="100" t="str">
        <f t="shared" si="0"/>
        <v>41030GRRES</v>
      </c>
      <c r="E17" s="100" t="str">
        <f t="shared" si="0"/>
        <v>46082GRRES</v>
      </c>
      <c r="G17"/>
      <c r="H17"/>
      <c r="I17" s="274"/>
      <c r="J17" s="264"/>
      <c r="K17" s="56" t="s">
        <v>866</v>
      </c>
      <c r="L17" s="260">
        <f>VLOOKUP($H$1,[17]!Percentiles_All_Bills,10,0)</f>
        <v>66</v>
      </c>
      <c r="M17" s="261">
        <f>M16</f>
        <v>11.94</v>
      </c>
      <c r="N17" s="261">
        <f t="shared" ref="N17:N20" si="9">$I$8*L17</f>
        <v>25.086600000000001</v>
      </c>
      <c r="O17" s="261">
        <f t="shared" ref="O17:O20" si="10">$I$10*L17</f>
        <v>29.482199999999999</v>
      </c>
      <c r="P17" s="261">
        <f t="shared" ref="P17:P20" si="11">L17*$I$9</f>
        <v>0</v>
      </c>
      <c r="Q17" s="261">
        <f t="shared" ref="Q17:Q20" si="12">SUM(M17:P17)</f>
        <v>66.508800000000008</v>
      </c>
      <c r="R17" s="261">
        <f>Q17-Q7</f>
        <v>5.8340000000000103</v>
      </c>
      <c r="S17" s="272">
        <f>R17/Q7</f>
        <v>9.615194446458844E-2</v>
      </c>
      <c r="T17" s="273"/>
      <c r="U17" s="261">
        <f>Q17*'UNSG Riders- Current'!$C$4</f>
        <v>0.12530257920000001</v>
      </c>
      <c r="V17" s="261">
        <f t="shared" ref="V17:V20" si="13">L17*$I$12</f>
        <v>0</v>
      </c>
      <c r="W17" s="261">
        <f t="shared" ref="W17:W20" si="14">Q17*$I$13</f>
        <v>0</v>
      </c>
      <c r="X17" s="263">
        <f t="shared" ref="X17:X20" si="15">ROUND(SUM(Q17,U17:W17),2)</f>
        <v>66.63</v>
      </c>
      <c r="Y17" s="261">
        <f>X17-V7</f>
        <v>5.8399999999999963</v>
      </c>
      <c r="Z17" s="272">
        <f>Y17/V7</f>
        <v>9.6068432307945331E-2</v>
      </c>
      <c r="AB17" s="57"/>
      <c r="AE17" s="251"/>
      <c r="AF17" s="255"/>
    </row>
    <row r="18" spans="1:32">
      <c r="A18" s="100">
        <v>41030</v>
      </c>
      <c r="B18" s="100">
        <f t="shared" si="1"/>
        <v>46082</v>
      </c>
      <c r="C18" s="251" t="str">
        <f t="shared" si="2"/>
        <v>GRRES</v>
      </c>
      <c r="D18" s="100" t="str">
        <f t="shared" si="0"/>
        <v>41030GRRES</v>
      </c>
      <c r="E18" s="100" t="str">
        <f t="shared" si="0"/>
        <v>46082GRRES</v>
      </c>
      <c r="F18" s="251" t="str">
        <f>IFERROR(IF(VLOOKUP(G18,Lookup!$A$1:$B$200,2,0)="","",VLOOKUP(G18,Lookup!$A$1:$B$200,2,0)),"")</f>
        <v/>
      </c>
      <c r="G18"/>
      <c r="H18"/>
      <c r="I18"/>
      <c r="J18" s="264"/>
      <c r="K18" s="56" t="s">
        <v>520</v>
      </c>
      <c r="L18" s="260">
        <f>VLOOKUP($H$1,[17]!Percentiles_All_Bills,11,0)</f>
        <v>112</v>
      </c>
      <c r="M18" s="261">
        <f t="shared" ref="M18:M20" si="16">M17</f>
        <v>11.94</v>
      </c>
      <c r="N18" s="261">
        <f t="shared" si="9"/>
        <v>42.571199999999997</v>
      </c>
      <c r="O18" s="261">
        <f t="shared" si="10"/>
        <v>50.0304</v>
      </c>
      <c r="P18" s="261">
        <f t="shared" si="11"/>
        <v>0</v>
      </c>
      <c r="Q18" s="261">
        <f t="shared" si="12"/>
        <v>104.54159999999999</v>
      </c>
      <c r="R18" s="261">
        <f>Q18-Q8</f>
        <v>8.5480000000000018</v>
      </c>
      <c r="S18" s="272">
        <f>R18/Q8</f>
        <v>8.9047603173544931E-2</v>
      </c>
      <c r="T18" s="273"/>
      <c r="U18" s="261">
        <f>Q18*'UNSG Riders- Current'!$C$4</f>
        <v>0.19695637439999999</v>
      </c>
      <c r="V18" s="261">
        <f t="shared" si="13"/>
        <v>0</v>
      </c>
      <c r="W18" s="261">
        <f t="shared" si="14"/>
        <v>0</v>
      </c>
      <c r="X18" s="263">
        <f t="shared" si="15"/>
        <v>104.74</v>
      </c>
      <c r="Y18" s="261">
        <f>X18-V8</f>
        <v>8.5699999999999932</v>
      </c>
      <c r="Z18" s="272">
        <f>Y18/V8</f>
        <v>8.9113029011126055E-2</v>
      </c>
      <c r="AB18" s="57"/>
      <c r="AE18" s="251"/>
      <c r="AF18" s="255"/>
    </row>
    <row r="19" spans="1:32">
      <c r="G19"/>
      <c r="H19"/>
      <c r="K19" s="56" t="s">
        <v>868</v>
      </c>
      <c r="L19" s="260">
        <f>VLOOKUP($H$1,[17]!Percentiles_All_Bills,12,0)</f>
        <v>144</v>
      </c>
      <c r="M19" s="261">
        <f t="shared" si="16"/>
        <v>11.94</v>
      </c>
      <c r="N19" s="261">
        <f t="shared" si="9"/>
        <v>54.734400000000001</v>
      </c>
      <c r="O19" s="261">
        <f t="shared" si="10"/>
        <v>64.324799999999996</v>
      </c>
      <c r="P19" s="261">
        <f t="shared" si="11"/>
        <v>0</v>
      </c>
      <c r="Q19" s="261">
        <f t="shared" si="12"/>
        <v>130.9992</v>
      </c>
      <c r="R19" s="261">
        <f>Q19-Q9</f>
        <v>10.436000000000007</v>
      </c>
      <c r="S19" s="272">
        <f>R19/Q9</f>
        <v>8.6560409809958661E-2</v>
      </c>
      <c r="T19" s="273"/>
      <c r="U19" s="261">
        <f>Q19*'UNSG Riders- Current'!$C$4</f>
        <v>0.2468024928</v>
      </c>
      <c r="V19" s="261">
        <f t="shared" si="13"/>
        <v>0</v>
      </c>
      <c r="W19" s="261">
        <f t="shared" si="14"/>
        <v>0</v>
      </c>
      <c r="X19" s="263">
        <f t="shared" si="15"/>
        <v>131.25</v>
      </c>
      <c r="Y19" s="261">
        <f>X19-V9</f>
        <v>10.459999999999994</v>
      </c>
      <c r="Z19" s="272">
        <f>Y19/V9</f>
        <v>8.6596572563953908E-2</v>
      </c>
      <c r="AB19" s="57"/>
      <c r="AE19" s="251"/>
      <c r="AF19" s="255"/>
    </row>
    <row r="20" spans="1:32">
      <c r="H20" s="262"/>
      <c r="K20" s="267" t="s">
        <v>869</v>
      </c>
      <c r="L20" s="260">
        <f>VLOOKUP($H$1,[17]!Percentiles_All_Bills,15,0)</f>
        <v>45.145951569558264</v>
      </c>
      <c r="M20" s="261">
        <f t="shared" si="16"/>
        <v>11.94</v>
      </c>
      <c r="N20" s="261">
        <f t="shared" si="9"/>
        <v>17.159976191589095</v>
      </c>
      <c r="O20" s="261">
        <f t="shared" si="10"/>
        <v>20.166696566121676</v>
      </c>
      <c r="P20" s="261">
        <f t="shared" si="11"/>
        <v>0</v>
      </c>
      <c r="Q20" s="261">
        <f t="shared" si="12"/>
        <v>49.266672757710765</v>
      </c>
      <c r="R20" s="261">
        <f>Q20-Q10</f>
        <v>4.6036111426039312</v>
      </c>
      <c r="S20" s="272">
        <f>R20/Q10</f>
        <v>0.10307424023629419</v>
      </c>
      <c r="T20" s="273"/>
      <c r="U20" s="261">
        <f>Q20*'UNSG Riders- Current'!$C$4</f>
        <v>9.2818411475527079E-2</v>
      </c>
      <c r="V20" s="261">
        <f t="shared" si="13"/>
        <v>0</v>
      </c>
      <c r="W20" s="261">
        <f t="shared" si="14"/>
        <v>0</v>
      </c>
      <c r="X20" s="263">
        <f t="shared" si="15"/>
        <v>49.36</v>
      </c>
      <c r="Y20" s="261">
        <f>X20-V10</f>
        <v>4.6099999999999994</v>
      </c>
      <c r="Z20" s="272">
        <f>Y20/V10</f>
        <v>0.10301675977653631</v>
      </c>
      <c r="AB20" s="57"/>
      <c r="AE20" s="251"/>
      <c r="AF20" s="255"/>
    </row>
    <row r="21" spans="1:32">
      <c r="H21" s="262"/>
      <c r="K21" s="56"/>
      <c r="L21" s="281"/>
      <c r="M21" s="268"/>
      <c r="N21" s="268"/>
      <c r="O21" s="268"/>
      <c r="P21" s="268"/>
      <c r="Q21" s="268"/>
      <c r="R21" s="268"/>
      <c r="S21" s="276"/>
      <c r="T21" s="273"/>
      <c r="U21" s="268"/>
      <c r="V21" s="268"/>
      <c r="W21" s="268"/>
      <c r="X21" s="269"/>
      <c r="Y21" s="268"/>
      <c r="Z21" s="276"/>
      <c r="AB21" s="57"/>
      <c r="AE21" s="251"/>
      <c r="AF21" s="255"/>
    </row>
    <row r="22" spans="1:32">
      <c r="G22" s="2"/>
      <c r="H22" s="262"/>
      <c r="J22" s="275"/>
      <c r="K22" s="284" t="s">
        <v>876</v>
      </c>
      <c r="L22" s="813" t="s">
        <v>857</v>
      </c>
      <c r="M22" s="814"/>
      <c r="N22" s="814"/>
      <c r="O22" s="815"/>
      <c r="P22" s="296"/>
      <c r="Z22" s="268"/>
      <c r="AA22" s="276"/>
    </row>
    <row r="23" spans="1:32">
      <c r="G23"/>
      <c r="H23" s="262"/>
      <c r="L23" s="810" t="s">
        <v>859</v>
      </c>
      <c r="M23" s="816" t="s">
        <v>860</v>
      </c>
      <c r="N23" s="808" t="s">
        <v>861</v>
      </c>
      <c r="O23" s="808" t="s">
        <v>610</v>
      </c>
      <c r="P23" s="808" t="s">
        <v>862</v>
      </c>
      <c r="Q23" s="810" t="s">
        <v>863</v>
      </c>
      <c r="U23" s="811" t="s">
        <v>864</v>
      </c>
      <c r="V23" s="811" t="s">
        <v>865</v>
      </c>
    </row>
    <row r="24" spans="1:32">
      <c r="G24"/>
      <c r="J24" s="275"/>
      <c r="K24"/>
      <c r="L24" s="810"/>
      <c r="M24" s="817"/>
      <c r="N24" s="809"/>
      <c r="O24" s="809"/>
      <c r="P24" s="809"/>
      <c r="Q24" s="810"/>
      <c r="T24" s="251"/>
      <c r="U24" s="812"/>
      <c r="V24" s="812"/>
      <c r="W24"/>
      <c r="X24"/>
      <c r="Y24"/>
      <c r="Z24"/>
    </row>
    <row r="25" spans="1:32" ht="15" customHeight="1">
      <c r="J25" s="277"/>
      <c r="K25" s="56" t="s">
        <v>482</v>
      </c>
      <c r="L25" s="282">
        <f>'[18]Percentiles_All_Bills Jan'!$I$2</f>
        <v>93</v>
      </c>
      <c r="M25" s="261">
        <f>VLOOKUP(M23,$G$5:$I$5,2,0)</f>
        <v>10</v>
      </c>
      <c r="N25" s="261">
        <f>$H$8*L25</f>
        <v>31.936199999999999</v>
      </c>
      <c r="O25" s="261">
        <f>$H$10*L25</f>
        <v>40.966500000000003</v>
      </c>
      <c r="P25" s="261">
        <f>L25*$H$9</f>
        <v>-1.4973000000000001</v>
      </c>
      <c r="Q25" s="261">
        <f>SUM(M25:P25)</f>
        <v>81.405400000000014</v>
      </c>
      <c r="R25"/>
      <c r="S25"/>
      <c r="T25"/>
      <c r="U25" s="261">
        <f>Q25*'UNSG Riders- Current'!$C$4</f>
        <v>0.15336777360000003</v>
      </c>
      <c r="V25" s="263">
        <f>ROUND(SUM(Q25,U25:U25),2)</f>
        <v>81.56</v>
      </c>
      <c r="W25"/>
      <c r="X25"/>
      <c r="Y25"/>
      <c r="Z25"/>
    </row>
    <row r="26" spans="1:32" ht="15" customHeight="1">
      <c r="J26" s="277"/>
      <c r="K26" s="56" t="s">
        <v>866</v>
      </c>
      <c r="L26" s="282">
        <f>'[18]Percentiles_All_Bills Jan'!$J$2</f>
        <v>133</v>
      </c>
      <c r="M26" s="261">
        <f>VLOOKUP($M$23,$G$5:$I$5,2,0)</f>
        <v>10</v>
      </c>
      <c r="N26" s="261">
        <f t="shared" ref="N26:N28" si="17">$H$8*L26</f>
        <v>45.672199999999997</v>
      </c>
      <c r="O26" s="261">
        <f t="shared" ref="O26:O28" si="18">$H$10*L26</f>
        <v>58.586500000000001</v>
      </c>
      <c r="P26" s="261">
        <f t="shared" ref="P26:P29" si="19">L26*$H$9</f>
        <v>-2.1412999999999998</v>
      </c>
      <c r="Q26" s="261">
        <f t="shared" ref="Q26:Q29" si="20">SUM(M26:P26)</f>
        <v>112.1174</v>
      </c>
      <c r="R26"/>
      <c r="S26"/>
      <c r="T26"/>
      <c r="U26" s="261">
        <f>Q26*'UNSG Riders- Current'!$C$4</f>
        <v>0.21122918160000001</v>
      </c>
      <c r="V26" s="263">
        <f t="shared" ref="V26:V29" si="21">ROUND(SUM(Q26,U26:U26),2)</f>
        <v>112.33</v>
      </c>
      <c r="W26"/>
      <c r="X26"/>
      <c r="Y26"/>
      <c r="Z26"/>
    </row>
    <row r="27" spans="1:32" ht="15" customHeight="1">
      <c r="J27" s="277"/>
      <c r="K27" s="56" t="s">
        <v>520</v>
      </c>
      <c r="L27" s="282">
        <f>'[18]Percentiles_All_Bills Jan'!$K$2</f>
        <v>180</v>
      </c>
      <c r="M27" s="261">
        <f t="shared" ref="M27:M28" si="22">VLOOKUP($M$23,$G$5:$I$5,2,0)</f>
        <v>10</v>
      </c>
      <c r="N27" s="261">
        <f t="shared" si="17"/>
        <v>61.811999999999998</v>
      </c>
      <c r="O27" s="261">
        <f t="shared" si="18"/>
        <v>79.290000000000006</v>
      </c>
      <c r="P27" s="261">
        <f t="shared" si="19"/>
        <v>-2.8980000000000001</v>
      </c>
      <c r="Q27" s="261">
        <f t="shared" si="20"/>
        <v>148.20400000000001</v>
      </c>
      <c r="R27"/>
      <c r="S27"/>
      <c r="T27"/>
      <c r="U27" s="261">
        <f>Q27*'UNSG Riders- Current'!$C$4</f>
        <v>0.27921633600000001</v>
      </c>
      <c r="V27" s="263">
        <f t="shared" si="21"/>
        <v>148.47999999999999</v>
      </c>
      <c r="W27"/>
      <c r="X27"/>
      <c r="Y27"/>
      <c r="Z27"/>
    </row>
    <row r="28" spans="1:32" ht="15" customHeight="1">
      <c r="J28" s="277"/>
      <c r="K28" s="56" t="s">
        <v>868</v>
      </c>
      <c r="L28" s="282">
        <f>'[18]Percentiles_All_Bills Jan'!$L$2</f>
        <v>219</v>
      </c>
      <c r="M28" s="261">
        <f t="shared" si="22"/>
        <v>10</v>
      </c>
      <c r="N28" s="261">
        <f t="shared" si="17"/>
        <v>75.204599999999999</v>
      </c>
      <c r="O28" s="261">
        <f t="shared" si="18"/>
        <v>96.469499999999996</v>
      </c>
      <c r="P28" s="261">
        <f t="shared" si="19"/>
        <v>-3.5259</v>
      </c>
      <c r="Q28" s="261">
        <f t="shared" si="20"/>
        <v>178.1482</v>
      </c>
      <c r="R28"/>
      <c r="S28"/>
      <c r="T28"/>
      <c r="U28" s="261">
        <f>Q28*'UNSG Riders- Current'!$C$4</f>
        <v>0.33563120880000002</v>
      </c>
      <c r="V28" s="263">
        <f t="shared" si="21"/>
        <v>178.48</v>
      </c>
      <c r="W28"/>
      <c r="X28"/>
      <c r="Y28"/>
      <c r="Z28"/>
    </row>
    <row r="29" spans="1:32">
      <c r="J29" s="275"/>
      <c r="K29" s="267" t="s">
        <v>877</v>
      </c>
      <c r="L29" s="282">
        <f>'[18]Percentiles_All_Bills Jan'!$O$2</f>
        <v>100.96323066428796</v>
      </c>
      <c r="M29" s="261">
        <f>VLOOKUP(M23,$G$5:$I$5,2,0)</f>
        <v>10</v>
      </c>
      <c r="N29" s="261">
        <f>$H$8*L29</f>
        <v>34.670773410116482</v>
      </c>
      <c r="O29" s="261">
        <f>$H$10*L29</f>
        <v>44.474303107618844</v>
      </c>
      <c r="P29" s="261">
        <f t="shared" si="19"/>
        <v>-1.6255080136950362</v>
      </c>
      <c r="Q29" s="261">
        <f t="shared" si="20"/>
        <v>87.519568504040294</v>
      </c>
      <c r="R29"/>
      <c r="S29"/>
      <c r="T29"/>
      <c r="U29" s="261">
        <f>Q29*'UNSG Riders- Current'!$C$4</f>
        <v>0.16488686706161193</v>
      </c>
      <c r="V29" s="263">
        <f t="shared" si="21"/>
        <v>87.68</v>
      </c>
      <c r="W29"/>
      <c r="X29"/>
      <c r="Y29"/>
      <c r="Z29" s="251"/>
      <c r="AA29" s="251"/>
      <c r="AB29" s="255"/>
      <c r="AE29" s="251"/>
    </row>
    <row r="30" spans="1:32">
      <c r="J30" s="275"/>
      <c r="K30" s="24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 s="251"/>
      <c r="AC30" s="255"/>
      <c r="AE30" s="251"/>
    </row>
    <row r="31" spans="1:32" ht="14.45" customHeight="1">
      <c r="K31" s="284" t="s">
        <v>876</v>
      </c>
      <c r="L31" s="813" t="s">
        <v>872</v>
      </c>
      <c r="M31" s="814"/>
      <c r="N31" s="814"/>
      <c r="O31" s="815"/>
      <c r="P31" s="296"/>
      <c r="R31"/>
      <c r="S31"/>
      <c r="T31"/>
      <c r="U31"/>
      <c r="V31"/>
      <c r="W31"/>
      <c r="X31"/>
      <c r="Y31"/>
      <c r="Z31"/>
      <c r="AA31" s="251"/>
      <c r="AC31" s="255"/>
      <c r="AE31" s="251"/>
    </row>
    <row r="32" spans="1:32" ht="14.45" customHeight="1">
      <c r="L32" s="810" t="s">
        <v>859</v>
      </c>
      <c r="M32" s="816" t="s">
        <v>860</v>
      </c>
      <c r="N32" s="808" t="s">
        <v>861</v>
      </c>
      <c r="O32" s="808" t="s">
        <v>610</v>
      </c>
      <c r="P32" s="808" t="s">
        <v>873</v>
      </c>
      <c r="Q32" s="810" t="s">
        <v>863</v>
      </c>
      <c r="R32" s="808" t="s">
        <v>874</v>
      </c>
      <c r="S32" s="808" t="s">
        <v>875</v>
      </c>
      <c r="U32" s="811" t="s">
        <v>864</v>
      </c>
      <c r="V32" s="811" t="s">
        <v>870</v>
      </c>
      <c r="W32" s="811" t="s">
        <v>871</v>
      </c>
      <c r="X32" s="811" t="s">
        <v>865</v>
      </c>
      <c r="Y32" s="808" t="s">
        <v>874</v>
      </c>
      <c r="Z32" s="808" t="s">
        <v>875</v>
      </c>
      <c r="AA32" s="251"/>
      <c r="AC32" s="255"/>
      <c r="AE32" s="251"/>
    </row>
    <row r="33" spans="11:31">
      <c r="K33"/>
      <c r="L33" s="810"/>
      <c r="M33" s="817"/>
      <c r="N33" s="809"/>
      <c r="O33" s="809"/>
      <c r="P33" s="809"/>
      <c r="Q33" s="810"/>
      <c r="R33" s="809"/>
      <c r="S33" s="809"/>
      <c r="U33" s="812"/>
      <c r="V33" s="812"/>
      <c r="W33" s="812"/>
      <c r="X33" s="812"/>
      <c r="Y33" s="809"/>
      <c r="Z33" s="809"/>
    </row>
    <row r="34" spans="11:31">
      <c r="K34" s="56" t="s">
        <v>482</v>
      </c>
      <c r="L34" s="282">
        <f>'[18]Percentiles_All_Bills Jan'!$I$2</f>
        <v>93</v>
      </c>
      <c r="M34" s="261">
        <f>VLOOKUP($M$32,$G$5:$I$5,3,0)</f>
        <v>11.94</v>
      </c>
      <c r="N34" s="261">
        <f>$I$8*L34</f>
        <v>35.349299999999999</v>
      </c>
      <c r="O34" s="261">
        <f>$I$10*L34</f>
        <v>41.543099999999995</v>
      </c>
      <c r="P34" s="261">
        <f>L34*$I$9</f>
        <v>0</v>
      </c>
      <c r="Q34" s="261">
        <f>SUM(M34:P34)</f>
        <v>88.832399999999993</v>
      </c>
      <c r="R34" s="261">
        <f>Q34-Q25</f>
        <v>7.4269999999999783</v>
      </c>
      <c r="S34" s="272">
        <f>R34/Q25</f>
        <v>9.1234733813727056E-2</v>
      </c>
      <c r="T34"/>
      <c r="U34" s="261">
        <f>Q34*'UNSG Riders- Current'!$C$4</f>
        <v>0.16736024159999999</v>
      </c>
      <c r="V34" s="261">
        <f>L34*$I$12</f>
        <v>0</v>
      </c>
      <c r="W34" s="261">
        <f>Q34*$I$13</f>
        <v>0</v>
      </c>
      <c r="X34" s="263">
        <f>ROUND(SUM(Q34,U34:W34),2)</f>
        <v>89</v>
      </c>
      <c r="Y34" s="261">
        <f>X34-V25</f>
        <v>7.4399999999999977</v>
      </c>
      <c r="Z34" s="272">
        <f>Y34/V25</f>
        <v>9.1221186856302081E-2</v>
      </c>
    </row>
    <row r="35" spans="11:31">
      <c r="K35" s="56" t="s">
        <v>866</v>
      </c>
      <c r="L35" s="282">
        <f>'[18]Percentiles_All_Bills Jan'!$J$2</f>
        <v>133</v>
      </c>
      <c r="M35" s="261">
        <f t="shared" ref="M35:M38" si="23">VLOOKUP($M$32,$G$5:$I$5,3,0)</f>
        <v>11.94</v>
      </c>
      <c r="N35" s="261">
        <f t="shared" ref="N35:N38" si="24">$I$8*L35</f>
        <v>50.5533</v>
      </c>
      <c r="O35" s="261">
        <f t="shared" ref="O35:O38" si="25">$I$10*L35</f>
        <v>59.411099999999998</v>
      </c>
      <c r="P35" s="261">
        <f t="shared" ref="P35:P38" si="26">L35*$I$9</f>
        <v>0</v>
      </c>
      <c r="Q35" s="261">
        <f t="shared" ref="Q35:Q38" si="27">SUM(M35:P35)</f>
        <v>121.9044</v>
      </c>
      <c r="R35" s="261">
        <f t="shared" ref="R35:R38" si="28">Q35-Q26</f>
        <v>9.7869999999999919</v>
      </c>
      <c r="S35" s="272">
        <f t="shared" ref="S35:S38" si="29">R35/Q26</f>
        <v>8.7292427401991057E-2</v>
      </c>
      <c r="T35"/>
      <c r="U35" s="261">
        <f>Q35*'UNSG Riders- Current'!$C$4</f>
        <v>0.22966788960000001</v>
      </c>
      <c r="V35" s="261">
        <f t="shared" ref="V35:V38" si="30">L35*$I$12</f>
        <v>0</v>
      </c>
      <c r="W35" s="261">
        <f t="shared" ref="W35:W38" si="31">Q35*$I$13</f>
        <v>0</v>
      </c>
      <c r="X35" s="263">
        <f t="shared" ref="X35:X38" si="32">ROUND(SUM(Q35,U35:W35),2)</f>
        <v>122.13</v>
      </c>
      <c r="Y35" s="261">
        <f>X35-V26</f>
        <v>9.7999999999999972</v>
      </c>
      <c r="Z35" s="272">
        <f>Y35/V26</f>
        <v>8.7242944894507235E-2</v>
      </c>
    </row>
    <row r="36" spans="11:31">
      <c r="K36" s="56" t="s">
        <v>520</v>
      </c>
      <c r="L36" s="282">
        <f>'[18]Percentiles_All_Bills Jan'!$K$2</f>
        <v>180</v>
      </c>
      <c r="M36" s="261">
        <f t="shared" si="23"/>
        <v>11.94</v>
      </c>
      <c r="N36" s="261">
        <f t="shared" si="24"/>
        <v>68.417999999999992</v>
      </c>
      <c r="O36" s="261">
        <f t="shared" si="25"/>
        <v>80.405999999999992</v>
      </c>
      <c r="P36" s="261">
        <f t="shared" si="26"/>
        <v>0</v>
      </c>
      <c r="Q36" s="261">
        <f t="shared" si="27"/>
        <v>160.76399999999998</v>
      </c>
      <c r="R36" s="261">
        <f t="shared" si="28"/>
        <v>12.559999999999974</v>
      </c>
      <c r="S36" s="272">
        <f t="shared" si="29"/>
        <v>8.4748049985155421E-2</v>
      </c>
      <c r="T36"/>
      <c r="U36" s="261">
        <f>Q36*'UNSG Riders- Current'!$C$4</f>
        <v>0.30287937599999998</v>
      </c>
      <c r="V36" s="261">
        <f t="shared" si="30"/>
        <v>0</v>
      </c>
      <c r="W36" s="261">
        <f t="shared" si="31"/>
        <v>0</v>
      </c>
      <c r="X36" s="263">
        <f t="shared" si="32"/>
        <v>161.07</v>
      </c>
      <c r="Y36" s="261">
        <f>X36-V27</f>
        <v>12.590000000000003</v>
      </c>
      <c r="Z36" s="272">
        <f>Y36/V27</f>
        <v>8.4792564655172445E-2</v>
      </c>
      <c r="AA36" s="251"/>
      <c r="AC36" s="255"/>
      <c r="AE36" s="251"/>
    </row>
    <row r="37" spans="11:31" ht="15.75" customHeight="1">
      <c r="K37" s="56" t="s">
        <v>868</v>
      </c>
      <c r="L37" s="282">
        <f>'[18]Percentiles_All_Bills Jan'!$L$2</f>
        <v>219</v>
      </c>
      <c r="M37" s="261">
        <f t="shared" si="23"/>
        <v>11.94</v>
      </c>
      <c r="N37" s="261">
        <f t="shared" si="24"/>
        <v>83.241900000000001</v>
      </c>
      <c r="O37" s="261">
        <f t="shared" si="25"/>
        <v>97.827299999999994</v>
      </c>
      <c r="P37" s="261">
        <f t="shared" si="26"/>
        <v>0</v>
      </c>
      <c r="Q37" s="261">
        <f t="shared" si="27"/>
        <v>193.00919999999999</v>
      </c>
      <c r="R37" s="261">
        <f t="shared" si="28"/>
        <v>14.86099999999999</v>
      </c>
      <c r="S37" s="272">
        <f t="shared" si="29"/>
        <v>8.3419310439285882E-2</v>
      </c>
      <c r="T37"/>
      <c r="U37" s="261">
        <f>Q37*'UNSG Riders- Current'!$C$4</f>
        <v>0.36362933279999998</v>
      </c>
      <c r="V37" s="261">
        <f t="shared" si="30"/>
        <v>0</v>
      </c>
      <c r="W37" s="261">
        <f t="shared" si="31"/>
        <v>0</v>
      </c>
      <c r="X37" s="263">
        <f t="shared" si="32"/>
        <v>193.37</v>
      </c>
      <c r="Y37" s="261">
        <f>X37-V28</f>
        <v>14.890000000000015</v>
      </c>
      <c r="Z37" s="272">
        <f>Y37/V28</f>
        <v>8.3426714477812733E-2</v>
      </c>
      <c r="AA37" s="251"/>
      <c r="AC37" s="255"/>
      <c r="AE37" s="251"/>
    </row>
    <row r="38" spans="11:31">
      <c r="K38" s="267" t="s">
        <v>877</v>
      </c>
      <c r="L38" s="282">
        <f>'[18]Percentiles_All_Bills Jan'!$O$2</f>
        <v>100.96323066428796</v>
      </c>
      <c r="M38" s="261">
        <f t="shared" si="23"/>
        <v>11.94</v>
      </c>
      <c r="N38" s="261">
        <f t="shared" si="24"/>
        <v>38.376123975495851</v>
      </c>
      <c r="O38" s="261">
        <f t="shared" si="25"/>
        <v>45.100275137737434</v>
      </c>
      <c r="P38" s="261">
        <f t="shared" si="26"/>
        <v>0</v>
      </c>
      <c r="Q38" s="261">
        <f t="shared" si="27"/>
        <v>95.416399113233282</v>
      </c>
      <c r="R38" s="261">
        <f t="shared" si="28"/>
        <v>7.896830609192989</v>
      </c>
      <c r="S38" s="272">
        <f t="shared" si="29"/>
        <v>9.0229313788589297E-2</v>
      </c>
      <c r="T38"/>
      <c r="U38" s="261">
        <f>Q38*'UNSG Riders- Current'!$C$4</f>
        <v>0.1797644959293315</v>
      </c>
      <c r="V38" s="261">
        <f t="shared" si="30"/>
        <v>0</v>
      </c>
      <c r="W38" s="261">
        <f t="shared" si="31"/>
        <v>0</v>
      </c>
      <c r="X38" s="263">
        <f t="shared" si="32"/>
        <v>95.6</v>
      </c>
      <c r="Y38" s="261">
        <f>X38-V29</f>
        <v>7.9199999999999875</v>
      </c>
      <c r="Z38" s="272">
        <f>Y38/V29</f>
        <v>9.032846715328452E-2</v>
      </c>
      <c r="AA38" s="251"/>
      <c r="AC38" s="255"/>
      <c r="AE38" s="251"/>
    </row>
    <row r="39" spans="11:31"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 s="251"/>
      <c r="AC39" s="255"/>
      <c r="AE39" s="251"/>
    </row>
    <row r="40" spans="11:31">
      <c r="K40" s="284" t="s">
        <v>878</v>
      </c>
      <c r="L40" s="813" t="s">
        <v>857</v>
      </c>
      <c r="M40" s="814"/>
      <c r="N40" s="814"/>
      <c r="O40" s="815"/>
      <c r="P40" s="296"/>
      <c r="R40"/>
      <c r="S40"/>
      <c r="T40"/>
      <c r="U40"/>
      <c r="V40"/>
      <c r="W40"/>
      <c r="X40"/>
      <c r="Y40"/>
      <c r="Z40"/>
      <c r="AA40" s="251"/>
      <c r="AC40" s="255"/>
      <c r="AE40" s="251"/>
    </row>
    <row r="41" spans="11:31">
      <c r="L41" s="810" t="s">
        <v>859</v>
      </c>
      <c r="M41" s="816" t="s">
        <v>860</v>
      </c>
      <c r="N41" s="808" t="s">
        <v>861</v>
      </c>
      <c r="O41" s="808" t="s">
        <v>610</v>
      </c>
      <c r="P41" s="808" t="s">
        <v>862</v>
      </c>
      <c r="Q41" s="810" t="s">
        <v>863</v>
      </c>
      <c r="R41"/>
      <c r="S41"/>
      <c r="U41" s="811" t="s">
        <v>864</v>
      </c>
      <c r="V41" s="811" t="s">
        <v>865</v>
      </c>
      <c r="W41"/>
      <c r="X41"/>
      <c r="Y41" s="251"/>
      <c r="Z41" s="251"/>
      <c r="AA41" s="255"/>
      <c r="AE41" s="251"/>
    </row>
    <row r="42" spans="11:31">
      <c r="K42"/>
      <c r="L42" s="810"/>
      <c r="M42" s="817"/>
      <c r="N42" s="809"/>
      <c r="O42" s="809"/>
      <c r="P42" s="809"/>
      <c r="Q42" s="810"/>
      <c r="R42"/>
      <c r="S42"/>
      <c r="U42" s="812"/>
      <c r="V42" s="812"/>
      <c r="W42"/>
      <c r="X42"/>
      <c r="Y42" s="251"/>
      <c r="Z42" s="251"/>
      <c r="AA42" s="255"/>
      <c r="AE42" s="251"/>
    </row>
    <row r="43" spans="11:31">
      <c r="K43" s="56" t="s">
        <v>482</v>
      </c>
      <c r="L43" s="282">
        <f>'[18]Percentiles_All_Bills July'!$I$2</f>
        <v>11</v>
      </c>
      <c r="M43" s="261">
        <f>VLOOKUP($M$32,$G$5:$I$5,2,0)</f>
        <v>10</v>
      </c>
      <c r="N43" s="261">
        <f>$H$8*L43</f>
        <v>3.7773999999999996</v>
      </c>
      <c r="O43" s="261">
        <f>$H$10*L43</f>
        <v>4.8455000000000004</v>
      </c>
      <c r="P43" s="261">
        <f>L43*$H$9</f>
        <v>-0.17710000000000001</v>
      </c>
      <c r="Q43" s="261">
        <f>SUM(M43:P43)</f>
        <v>18.445800000000002</v>
      </c>
      <c r="R43"/>
      <c r="S43"/>
      <c r="T43"/>
      <c r="U43" s="261">
        <f>Q43*'UNSG Riders- Current'!$C$4</f>
        <v>3.4751887200000005E-2</v>
      </c>
      <c r="V43" s="263">
        <f>ROUND(SUM(Q43,U43:U43),2)</f>
        <v>18.48</v>
      </c>
      <c r="W43"/>
      <c r="X43"/>
      <c r="Y43" s="251"/>
      <c r="Z43" s="251"/>
      <c r="AA43" s="255"/>
      <c r="AE43" s="251"/>
    </row>
    <row r="44" spans="11:31">
      <c r="K44" s="56" t="s">
        <v>866</v>
      </c>
      <c r="L44" s="282">
        <f>'[18]Percentiles_All_Bills July'!$J$2</f>
        <v>18</v>
      </c>
      <c r="M44" s="261">
        <f t="shared" ref="M44:M46" si="33">VLOOKUP($M$32,$G$5:$I$5,2,0)</f>
        <v>10</v>
      </c>
      <c r="N44" s="261">
        <f t="shared" ref="N44:N46" si="34">$H$8*L44</f>
        <v>6.1811999999999996</v>
      </c>
      <c r="O44" s="261">
        <f t="shared" ref="O44:O46" si="35">$H$10*L44</f>
        <v>7.9290000000000003</v>
      </c>
      <c r="P44" s="261">
        <f t="shared" ref="P44:P47" si="36">L44*$H$9</f>
        <v>-0.2898</v>
      </c>
      <c r="Q44" s="261">
        <f t="shared" ref="Q44:Q47" si="37">SUM(M44:P44)</f>
        <v>23.820399999999999</v>
      </c>
      <c r="R44"/>
      <c r="S44"/>
      <c r="T44"/>
      <c r="U44" s="261">
        <f>Q44*'UNSG Riders- Current'!$C$4</f>
        <v>4.4877633600000001E-2</v>
      </c>
      <c r="V44" s="263">
        <f t="shared" ref="V44:V47" si="38">ROUND(SUM(Q44,U44:U44),2)</f>
        <v>23.87</v>
      </c>
      <c r="W44"/>
      <c r="X44"/>
      <c r="Y44" s="251"/>
      <c r="Z44" s="251"/>
      <c r="AA44" s="255"/>
      <c r="AE44" s="251"/>
    </row>
    <row r="45" spans="11:31">
      <c r="K45" s="56" t="s">
        <v>520</v>
      </c>
      <c r="L45" s="282">
        <f>'[18]Percentiles_All_Bills July'!$K$2</f>
        <v>28</v>
      </c>
      <c r="M45" s="261">
        <f t="shared" si="33"/>
        <v>10</v>
      </c>
      <c r="N45" s="261">
        <f t="shared" si="34"/>
        <v>9.6151999999999997</v>
      </c>
      <c r="O45" s="261">
        <f t="shared" si="35"/>
        <v>12.334</v>
      </c>
      <c r="P45" s="261">
        <f t="shared" si="36"/>
        <v>-0.45079999999999998</v>
      </c>
      <c r="Q45" s="261">
        <f t="shared" si="37"/>
        <v>31.4984</v>
      </c>
      <c r="R45"/>
      <c r="S45"/>
      <c r="T45"/>
      <c r="U45" s="261">
        <f>Q45*'UNSG Riders- Current'!$C$4</f>
        <v>5.9342985600000002E-2</v>
      </c>
      <c r="V45" s="263">
        <f t="shared" si="38"/>
        <v>31.56</v>
      </c>
      <c r="W45"/>
      <c r="X45"/>
      <c r="Z45" s="251"/>
      <c r="AA45" s="251"/>
      <c r="AC45" s="255"/>
      <c r="AE45" s="251"/>
    </row>
    <row r="46" spans="11:31">
      <c r="K46" s="56" t="s">
        <v>868</v>
      </c>
      <c r="L46" s="282">
        <f>'[18]Percentiles_All_Bills July'!$L$2</f>
        <v>35</v>
      </c>
      <c r="M46" s="261">
        <f t="shared" si="33"/>
        <v>10</v>
      </c>
      <c r="N46" s="261">
        <f t="shared" si="34"/>
        <v>12.019</v>
      </c>
      <c r="O46" s="261">
        <f t="shared" si="35"/>
        <v>15.4175</v>
      </c>
      <c r="P46" s="261">
        <f t="shared" si="36"/>
        <v>-0.5635</v>
      </c>
      <c r="Q46" s="261">
        <f t="shared" si="37"/>
        <v>36.872999999999998</v>
      </c>
      <c r="R46"/>
      <c r="S46"/>
      <c r="T46"/>
      <c r="U46" s="261">
        <f>Q46*'UNSG Riders- Current'!$C$4</f>
        <v>6.9468731999999991E-2</v>
      </c>
      <c r="V46" s="263">
        <f t="shared" si="38"/>
        <v>36.94</v>
      </c>
      <c r="W46"/>
      <c r="X46"/>
      <c r="Z46" s="251"/>
      <c r="AA46" s="251"/>
      <c r="AC46" s="255"/>
      <c r="AE46" s="251"/>
    </row>
    <row r="47" spans="11:31">
      <c r="K47" s="267" t="s">
        <v>877</v>
      </c>
      <c r="L47" s="282">
        <f>'[18]Percentiles_All_Bills July'!$O$2</f>
        <v>13.825403488152455</v>
      </c>
      <c r="M47" s="261">
        <f>VLOOKUP(M41,$G$5:$I$5,2,0)</f>
        <v>10</v>
      </c>
      <c r="N47" s="261">
        <f>$H$8*L47</f>
        <v>4.7476435578315526</v>
      </c>
      <c r="O47" s="261">
        <f>$H$10*L47</f>
        <v>6.0900902365311564</v>
      </c>
      <c r="P47" s="261">
        <f t="shared" si="36"/>
        <v>-0.22258899615925451</v>
      </c>
      <c r="Q47" s="261">
        <f t="shared" si="37"/>
        <v>20.615144798203456</v>
      </c>
      <c r="R47"/>
      <c r="S47"/>
      <c r="T47"/>
      <c r="U47" s="261">
        <f>Q47*'UNSG Riders- Current'!$C$4</f>
        <v>3.8838932799815311E-2</v>
      </c>
      <c r="V47" s="263">
        <f t="shared" si="38"/>
        <v>20.65</v>
      </c>
      <c r="W47"/>
      <c r="X47"/>
      <c r="Z47" s="251"/>
      <c r="AA47" s="251"/>
      <c r="AC47" s="255"/>
      <c r="AE47" s="251"/>
    </row>
    <row r="48" spans="11:31" ht="15" customHeight="1"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 s="251"/>
      <c r="AC48" s="255"/>
      <c r="AE48" s="251"/>
    </row>
    <row r="49" spans="10:31" ht="23.25" customHeight="1">
      <c r="K49" s="284" t="s">
        <v>878</v>
      </c>
      <c r="L49" s="813" t="s">
        <v>872</v>
      </c>
      <c r="M49" s="814"/>
      <c r="N49" s="814"/>
      <c r="O49" s="815"/>
      <c r="P49" s="296"/>
      <c r="R49"/>
      <c r="S49"/>
      <c r="T49"/>
      <c r="U49"/>
      <c r="V49"/>
      <c r="W49"/>
      <c r="X49"/>
      <c r="Y49"/>
      <c r="Z49"/>
      <c r="AA49" s="251"/>
      <c r="AC49" s="255"/>
      <c r="AE49" s="251"/>
    </row>
    <row r="50" spans="10:31">
      <c r="L50" s="810" t="s">
        <v>859</v>
      </c>
      <c r="M50" s="816" t="s">
        <v>860</v>
      </c>
      <c r="N50" s="808" t="s">
        <v>861</v>
      </c>
      <c r="O50" s="808" t="s">
        <v>610</v>
      </c>
      <c r="P50" s="808" t="s">
        <v>873</v>
      </c>
      <c r="Q50" s="810" t="s">
        <v>863</v>
      </c>
      <c r="R50" s="808" t="s">
        <v>874</v>
      </c>
      <c r="S50" s="808" t="s">
        <v>875</v>
      </c>
      <c r="U50" s="811" t="s">
        <v>864</v>
      </c>
      <c r="V50" s="811" t="s">
        <v>870</v>
      </c>
      <c r="W50" s="811" t="s">
        <v>871</v>
      </c>
      <c r="X50" s="811" t="s">
        <v>865</v>
      </c>
      <c r="Y50" s="808" t="s">
        <v>874</v>
      </c>
      <c r="Z50" s="808" t="s">
        <v>875</v>
      </c>
      <c r="AA50" s="251"/>
      <c r="AC50" s="255"/>
      <c r="AE50" s="251"/>
    </row>
    <row r="51" spans="10:31">
      <c r="J51" s="278"/>
      <c r="K51"/>
      <c r="L51" s="810"/>
      <c r="M51" s="817"/>
      <c r="N51" s="809"/>
      <c r="O51" s="809"/>
      <c r="P51" s="809"/>
      <c r="Q51" s="810"/>
      <c r="R51" s="809"/>
      <c r="S51" s="809"/>
      <c r="U51" s="812"/>
      <c r="V51" s="812"/>
      <c r="W51" s="812"/>
      <c r="X51" s="812"/>
      <c r="Y51" s="809"/>
      <c r="Z51" s="809"/>
      <c r="AA51" s="251"/>
      <c r="AC51" s="255"/>
      <c r="AE51" s="251"/>
    </row>
    <row r="52" spans="10:31">
      <c r="K52" s="56" t="s">
        <v>482</v>
      </c>
      <c r="L52" s="282">
        <f>'[18]Percentiles_All_Bills July'!$I$2</f>
        <v>11</v>
      </c>
      <c r="M52" s="261">
        <f>VLOOKUP($M$32,$G$5:$I$5,3,0)</f>
        <v>11.94</v>
      </c>
      <c r="N52" s="261">
        <f>$I$8*L52</f>
        <v>4.1810999999999998</v>
      </c>
      <c r="O52" s="261">
        <f>$I$10*L52</f>
        <v>4.9136999999999995</v>
      </c>
      <c r="P52" s="261">
        <f>L52*$I$9</f>
        <v>0</v>
      </c>
      <c r="Q52" s="261">
        <f>SUM(M52:P52)</f>
        <v>21.034799999999997</v>
      </c>
      <c r="R52" s="261">
        <f>Q52-Q43</f>
        <v>2.5889999999999951</v>
      </c>
      <c r="S52" s="272">
        <f>R52/Q43</f>
        <v>0.14035715447418898</v>
      </c>
      <c r="T52"/>
      <c r="U52" s="261">
        <f>Q52*'UNSG Riders- Current'!$C$4</f>
        <v>3.9629563199999995E-2</v>
      </c>
      <c r="V52" s="261">
        <f>L52*$I$12</f>
        <v>0</v>
      </c>
      <c r="W52" s="261">
        <f>Q52*$I$13</f>
        <v>0</v>
      </c>
      <c r="X52" s="263">
        <f>ROUND(SUM(Q52,U52:W52),2)</f>
        <v>21.07</v>
      </c>
      <c r="Y52" s="261">
        <f>X52-V43</f>
        <v>2.59</v>
      </c>
      <c r="Z52" s="272">
        <f>Y52/V43</f>
        <v>0.14015151515151514</v>
      </c>
      <c r="AA52" s="251"/>
      <c r="AC52" s="255"/>
      <c r="AE52" s="251"/>
    </row>
    <row r="53" spans="10:31">
      <c r="K53" s="56" t="s">
        <v>866</v>
      </c>
      <c r="L53" s="282">
        <f>'[18]Percentiles_All_Bills July'!$J$2</f>
        <v>18</v>
      </c>
      <c r="M53" s="261">
        <f t="shared" ref="M53:M56" si="39">VLOOKUP($M$32,$G$5:$I$5,3,0)</f>
        <v>11.94</v>
      </c>
      <c r="N53" s="261">
        <f t="shared" ref="N53:N56" si="40">$I$8*L53</f>
        <v>6.8418000000000001</v>
      </c>
      <c r="O53" s="261">
        <f t="shared" ref="O53:O56" si="41">$I$10*L53</f>
        <v>8.0405999999999995</v>
      </c>
      <c r="P53" s="261">
        <f t="shared" ref="P53:P56" si="42">L53*$I$9</f>
        <v>0</v>
      </c>
      <c r="Q53" s="261">
        <f t="shared" ref="Q53:Q56" si="43">SUM(M53:P53)</f>
        <v>26.822400000000002</v>
      </c>
      <c r="R53" s="261">
        <f t="shared" ref="R53:R56" si="44">Q53-Q44</f>
        <v>3.0020000000000024</v>
      </c>
      <c r="S53" s="272">
        <f t="shared" ref="S53:S56" si="45">R53/Q44</f>
        <v>0.12602643112626163</v>
      </c>
      <c r="T53"/>
      <c r="U53" s="261">
        <f>Q53*'UNSG Riders- Current'!$C$4</f>
        <v>5.0533401600000007E-2</v>
      </c>
      <c r="V53" s="261">
        <f t="shared" ref="V53:V56" si="46">L53*$I$12</f>
        <v>0</v>
      </c>
      <c r="W53" s="261">
        <f t="shared" ref="W53:W56" si="47">Q53*$I$13</f>
        <v>0</v>
      </c>
      <c r="X53" s="263">
        <f t="shared" ref="X53:X56" si="48">ROUND(SUM(Q53,U53:W53),2)</f>
        <v>26.87</v>
      </c>
      <c r="Y53" s="261">
        <f>X53-V44</f>
        <v>3</v>
      </c>
      <c r="Z53" s="272">
        <f>Y53/V44</f>
        <v>0.12568077084206117</v>
      </c>
      <c r="AA53" s="251"/>
      <c r="AC53" s="255"/>
      <c r="AE53" s="251"/>
    </row>
    <row r="54" spans="10:31">
      <c r="K54" s="56" t="s">
        <v>520</v>
      </c>
      <c r="L54" s="282">
        <f>'[18]Percentiles_All_Bills July'!$K$2</f>
        <v>28</v>
      </c>
      <c r="M54" s="261">
        <f t="shared" si="39"/>
        <v>11.94</v>
      </c>
      <c r="N54" s="261">
        <f t="shared" si="40"/>
        <v>10.642799999999999</v>
      </c>
      <c r="O54" s="261">
        <f t="shared" si="41"/>
        <v>12.5076</v>
      </c>
      <c r="P54" s="261">
        <f t="shared" si="42"/>
        <v>0</v>
      </c>
      <c r="Q54" s="261">
        <f t="shared" si="43"/>
        <v>35.090400000000002</v>
      </c>
      <c r="R54" s="261">
        <f t="shared" si="44"/>
        <v>3.5920000000000023</v>
      </c>
      <c r="S54" s="272">
        <f t="shared" si="45"/>
        <v>0.11403753841464971</v>
      </c>
      <c r="T54"/>
      <c r="U54" s="261">
        <f>Q54*'UNSG Riders- Current'!$C$4</f>
        <v>6.6110313600000012E-2</v>
      </c>
      <c r="V54" s="261">
        <f t="shared" si="46"/>
        <v>0</v>
      </c>
      <c r="W54" s="261">
        <f t="shared" si="47"/>
        <v>0</v>
      </c>
      <c r="X54" s="263">
        <f t="shared" si="48"/>
        <v>35.159999999999997</v>
      </c>
      <c r="Y54" s="261">
        <f>X54-V45</f>
        <v>3.5999999999999979</v>
      </c>
      <c r="Z54" s="272">
        <f>Y54/V45</f>
        <v>0.11406844106463872</v>
      </c>
      <c r="AA54" s="251"/>
      <c r="AC54" s="255"/>
      <c r="AE54" s="251"/>
    </row>
    <row r="55" spans="10:31">
      <c r="K55" s="56" t="s">
        <v>868</v>
      </c>
      <c r="L55" s="282">
        <f>'[18]Percentiles_All_Bills July'!$L$2</f>
        <v>35</v>
      </c>
      <c r="M55" s="261">
        <f t="shared" si="39"/>
        <v>11.94</v>
      </c>
      <c r="N55" s="261">
        <f t="shared" si="40"/>
        <v>13.3035</v>
      </c>
      <c r="O55" s="261">
        <f t="shared" si="41"/>
        <v>15.634499999999999</v>
      </c>
      <c r="P55" s="261">
        <f t="shared" si="42"/>
        <v>0</v>
      </c>
      <c r="Q55" s="261">
        <f t="shared" si="43"/>
        <v>40.878</v>
      </c>
      <c r="R55" s="261">
        <f t="shared" si="44"/>
        <v>4.0050000000000026</v>
      </c>
      <c r="S55" s="272">
        <f t="shared" si="45"/>
        <v>0.10861606053209673</v>
      </c>
      <c r="T55"/>
      <c r="U55" s="261">
        <f>Q55*'UNSG Riders- Current'!$C$4</f>
        <v>7.7014152000000002E-2</v>
      </c>
      <c r="V55" s="261">
        <f t="shared" si="46"/>
        <v>0</v>
      </c>
      <c r="W55" s="261">
        <f t="shared" si="47"/>
        <v>0</v>
      </c>
      <c r="X55" s="263">
        <f t="shared" si="48"/>
        <v>40.96</v>
      </c>
      <c r="Y55" s="261">
        <f>X55-V46</f>
        <v>4.0200000000000031</v>
      </c>
      <c r="Z55" s="272">
        <f>Y55/V46</f>
        <v>0.1088251218191663</v>
      </c>
      <c r="AA55" s="251"/>
      <c r="AC55" s="255"/>
      <c r="AE55" s="251"/>
    </row>
    <row r="56" spans="10:31">
      <c r="K56" s="267" t="s">
        <v>877</v>
      </c>
      <c r="L56" s="282">
        <f>'[18]Percentiles_All_Bills July'!$O$2</f>
        <v>13.825403488152455</v>
      </c>
      <c r="M56" s="261">
        <f t="shared" si="39"/>
        <v>11.94</v>
      </c>
      <c r="N56" s="261">
        <f t="shared" si="40"/>
        <v>5.2550358658467484</v>
      </c>
      <c r="O56" s="261">
        <f t="shared" si="41"/>
        <v>6.1758077381577019</v>
      </c>
      <c r="P56" s="261">
        <f t="shared" si="42"/>
        <v>0</v>
      </c>
      <c r="Q56" s="261">
        <f t="shared" si="43"/>
        <v>23.370843604004449</v>
      </c>
      <c r="R56" s="261">
        <f t="shared" si="44"/>
        <v>2.7556988058009928</v>
      </c>
      <c r="S56" s="272">
        <f t="shared" si="45"/>
        <v>0.13367351201147726</v>
      </c>
      <c r="T56"/>
      <c r="U56" s="261">
        <f>Q56*'UNSG Riders- Current'!$C$4</f>
        <v>4.403066934994438E-2</v>
      </c>
      <c r="V56" s="261">
        <f t="shared" si="46"/>
        <v>0</v>
      </c>
      <c r="W56" s="261">
        <f t="shared" si="47"/>
        <v>0</v>
      </c>
      <c r="X56" s="263">
        <f t="shared" si="48"/>
        <v>23.41</v>
      </c>
      <c r="Y56" s="261">
        <f>X56-V47</f>
        <v>2.7600000000000016</v>
      </c>
      <c r="Z56" s="272">
        <f>Y56/V47</f>
        <v>0.13365617433414051</v>
      </c>
      <c r="AA56" s="251"/>
      <c r="AC56" s="255"/>
      <c r="AE56" s="251"/>
    </row>
    <row r="57" spans="10:31"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 s="251"/>
      <c r="AC57" s="255"/>
      <c r="AE57" s="251"/>
    </row>
    <row r="58" spans="10:31"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0:31"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0:31" ht="15" customHeight="1"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 s="251"/>
      <c r="AC60" s="255"/>
      <c r="AE60" s="251"/>
    </row>
    <row r="61" spans="10:31" ht="21.75" customHeight="1"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 s="251"/>
      <c r="AC61" s="255"/>
      <c r="AE61" s="251"/>
    </row>
    <row r="62" spans="10:31"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 s="251"/>
      <c r="AC62" s="255"/>
      <c r="AE62" s="251"/>
    </row>
    <row r="63" spans="10:31"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 s="251"/>
      <c r="AC63" s="255"/>
      <c r="AE63" s="251"/>
    </row>
    <row r="64" spans="10:31"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 s="251"/>
      <c r="AC64" s="255"/>
      <c r="AE64" s="251"/>
    </row>
    <row r="65" spans="11:31"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 s="251"/>
      <c r="AC65" s="255"/>
      <c r="AE65" s="251"/>
    </row>
    <row r="66" spans="11:31"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 s="251"/>
      <c r="AC66" s="255"/>
      <c r="AE66" s="251"/>
    </row>
    <row r="67" spans="11:31"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 s="251"/>
      <c r="AC67" s="255"/>
      <c r="AE67" s="251"/>
    </row>
    <row r="68" spans="11:31"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 s="251"/>
      <c r="AC68" s="255"/>
      <c r="AE68" s="251"/>
    </row>
    <row r="69" spans="11:31"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 s="251"/>
      <c r="AC69" s="255"/>
      <c r="AE69" s="251"/>
    </row>
  </sheetData>
  <mergeCells count="73">
    <mergeCell ref="W14:W15"/>
    <mergeCell ref="Q14:Q15"/>
    <mergeCell ref="R14:R15"/>
    <mergeCell ref="Q32:Q33"/>
    <mergeCell ref="N23:N24"/>
    <mergeCell ref="S14:S15"/>
    <mergeCell ref="U14:U15"/>
    <mergeCell ref="V14:V15"/>
    <mergeCell ref="N14:N15"/>
    <mergeCell ref="O14:O15"/>
    <mergeCell ref="M32:M33"/>
    <mergeCell ref="N32:N33"/>
    <mergeCell ref="O32:O33"/>
    <mergeCell ref="Y32:Y33"/>
    <mergeCell ref="P32:P33"/>
    <mergeCell ref="L40:O40"/>
    <mergeCell ref="X32:X33"/>
    <mergeCell ref="Z14:Z15"/>
    <mergeCell ref="W32:W33"/>
    <mergeCell ref="S32:S33"/>
    <mergeCell ref="Y14:Y15"/>
    <mergeCell ref="L22:O22"/>
    <mergeCell ref="L31:O31"/>
    <mergeCell ref="U23:U24"/>
    <mergeCell ref="V23:V24"/>
    <mergeCell ref="L23:L24"/>
    <mergeCell ref="M23:M24"/>
    <mergeCell ref="X14:X15"/>
    <mergeCell ref="M14:M15"/>
    <mergeCell ref="P14:P15"/>
    <mergeCell ref="L32:L33"/>
    <mergeCell ref="K1:S1"/>
    <mergeCell ref="L3:O3"/>
    <mergeCell ref="L4:L5"/>
    <mergeCell ref="M4:M5"/>
    <mergeCell ref="N4:N5"/>
    <mergeCell ref="O4:O5"/>
    <mergeCell ref="Q4:Q5"/>
    <mergeCell ref="P4:P5"/>
    <mergeCell ref="U4:U5"/>
    <mergeCell ref="V4:V5"/>
    <mergeCell ref="L13:O13"/>
    <mergeCell ref="L14:L15"/>
    <mergeCell ref="L41:L42"/>
    <mergeCell ref="M41:M42"/>
    <mergeCell ref="N41:N42"/>
    <mergeCell ref="O41:O42"/>
    <mergeCell ref="Q41:Q42"/>
    <mergeCell ref="U41:U42"/>
    <mergeCell ref="V41:V42"/>
    <mergeCell ref="O23:O24"/>
    <mergeCell ref="Q23:Q24"/>
    <mergeCell ref="U32:U33"/>
    <mergeCell ref="V32:V33"/>
    <mergeCell ref="R32:R33"/>
    <mergeCell ref="L49:O49"/>
    <mergeCell ref="L50:L51"/>
    <mergeCell ref="M50:M51"/>
    <mergeCell ref="N50:N51"/>
    <mergeCell ref="O50:O51"/>
    <mergeCell ref="P50:P51"/>
    <mergeCell ref="P23:P24"/>
    <mergeCell ref="P41:P42"/>
    <mergeCell ref="Y50:Y51"/>
    <mergeCell ref="Z50:Z51"/>
    <mergeCell ref="Q50:Q51"/>
    <mergeCell ref="U50:U51"/>
    <mergeCell ref="V50:V51"/>
    <mergeCell ref="W50:W51"/>
    <mergeCell ref="X50:X51"/>
    <mergeCell ref="R50:R51"/>
    <mergeCell ref="S50:S51"/>
    <mergeCell ref="Z32:Z33"/>
  </mergeCells>
  <conditionalFormatting sqref="I12">
    <cfRule type="containsBlanks" dxfId="126" priority="1">
      <formula>LEN(TRIM(I12))=0</formula>
    </cfRule>
  </conditionalFormatting>
  <printOptions horizontalCentered="1"/>
  <pageMargins left="0.45" right="0.45" top="1.25" bottom="0.75" header="0.5" footer="0.3"/>
  <pageSetup scale="97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0" max="25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B39D5-B4C7-4377-82F7-E64B566153DB}">
  <sheetPr codeName="Sheet24">
    <tabColor rgb="FFFFFF00"/>
    <pageSetUpPr fitToPage="1"/>
  </sheetPr>
  <dimension ref="A1:AJ80"/>
  <sheetViews>
    <sheetView zoomScale="90" zoomScaleNormal="90" zoomScaleSheetLayoutView="70" workbookViewId="0">
      <selection activeCell="G39" sqref="G39"/>
    </sheetView>
  </sheetViews>
  <sheetFormatPr defaultColWidth="9.28515625" defaultRowHeight="15"/>
  <cols>
    <col min="1" max="4" width="9.28515625" style="251"/>
    <col min="5" max="5" width="12.5703125" style="251" bestFit="1" customWidth="1"/>
    <col min="6" max="6" width="14.42578125" style="251" bestFit="1" customWidth="1"/>
    <col min="7" max="7" width="19.140625" style="251" bestFit="1" customWidth="1"/>
    <col min="8" max="8" width="29.7109375" style="57" bestFit="1" customWidth="1"/>
    <col min="9" max="9" width="11.140625" style="57" bestFit="1" customWidth="1"/>
    <col min="10" max="10" width="10.42578125" style="57" bestFit="1" customWidth="1"/>
    <col min="11" max="11" width="3.42578125" style="57" customWidth="1"/>
    <col min="12" max="12" width="6.42578125" style="57" bestFit="1" customWidth="1"/>
    <col min="13" max="18" width="10.28515625" style="57" customWidth="1"/>
    <col min="19" max="19" width="6.85546875" style="57" bestFit="1" customWidth="1"/>
    <col min="20" max="20" width="7.28515625" style="57" bestFit="1" customWidth="1"/>
    <col min="21" max="21" width="7.5703125" style="57" customWidth="1"/>
    <col min="22" max="22" width="7" style="57" bestFit="1" customWidth="1"/>
    <col min="23" max="28" width="7.5703125" style="57" customWidth="1"/>
    <col min="29" max="31" width="9.28515625" style="251"/>
    <col min="32" max="32" width="9.28515625" style="255"/>
    <col min="33" max="16384" width="9.28515625" style="251"/>
  </cols>
  <sheetData>
    <row r="1" spans="1:34">
      <c r="H1" s="57" t="s">
        <v>854</v>
      </c>
      <c r="I1" s="4" t="s">
        <v>812</v>
      </c>
      <c r="J1" s="56" t="s">
        <v>518</v>
      </c>
      <c r="L1" s="818" t="s">
        <v>879</v>
      </c>
      <c r="M1" s="818"/>
      <c r="N1" s="818"/>
      <c r="O1" s="818"/>
      <c r="P1" s="818"/>
      <c r="Q1" s="818"/>
      <c r="R1" s="818"/>
      <c r="S1" s="818"/>
      <c r="T1" s="818"/>
      <c r="U1" s="253"/>
      <c r="V1" s="254"/>
    </row>
    <row r="2" spans="1:34">
      <c r="M2" s="256" t="s">
        <v>856</v>
      </c>
    </row>
    <row r="3" spans="1:34" ht="15" customHeight="1">
      <c r="J3" s="100"/>
      <c r="M3" s="813" t="s">
        <v>857</v>
      </c>
      <c r="N3" s="814"/>
      <c r="O3" s="814"/>
      <c r="P3" s="814"/>
      <c r="Q3" s="815"/>
      <c r="U3" s="251"/>
      <c r="AA3" s="251"/>
      <c r="AB3" s="251"/>
      <c r="AD3" s="255"/>
      <c r="AF3" s="251"/>
    </row>
    <row r="4" spans="1:34" ht="21.75" customHeight="1">
      <c r="A4" s="251" t="s">
        <v>598</v>
      </c>
      <c r="B4" s="251" t="s">
        <v>599</v>
      </c>
      <c r="C4" s="251" t="s">
        <v>587</v>
      </c>
      <c r="D4" s="279" t="s">
        <v>880</v>
      </c>
      <c r="E4" s="251" t="s">
        <v>600</v>
      </c>
      <c r="F4" s="251" t="s">
        <v>601</v>
      </c>
      <c r="G4" s="251" t="s">
        <v>858</v>
      </c>
      <c r="I4" s="257" t="s">
        <v>828</v>
      </c>
      <c r="J4" s="257" t="s">
        <v>551</v>
      </c>
      <c r="M4" s="810" t="s">
        <v>859</v>
      </c>
      <c r="N4" s="816" t="s">
        <v>860</v>
      </c>
      <c r="O4" s="808" t="s">
        <v>861</v>
      </c>
      <c r="P4" s="808" t="s">
        <v>881</v>
      </c>
      <c r="Q4" s="808" t="s">
        <v>610</v>
      </c>
      <c r="R4" s="808" t="s">
        <v>862</v>
      </c>
      <c r="S4" s="810" t="s">
        <v>863</v>
      </c>
      <c r="W4" s="811" t="s">
        <v>864</v>
      </c>
      <c r="X4" s="811" t="s">
        <v>865</v>
      </c>
    </row>
    <row r="5" spans="1:34">
      <c r="A5" s="100">
        <v>41030</v>
      </c>
      <c r="B5" s="100">
        <f>'Rate Changes'!J1</f>
        <v>46082</v>
      </c>
      <c r="C5" s="251" t="s">
        <v>518</v>
      </c>
      <c r="D5" s="251" t="s">
        <v>516</v>
      </c>
      <c r="E5" s="100" t="str">
        <f t="shared" ref="E5:E11" si="0">IF(C5="","",A5&amp;$C5)</f>
        <v>41030GRRESC</v>
      </c>
      <c r="F5" s="100" t="str">
        <f>IF(D5="","",B5&amp;$D5)</f>
        <v>46082GRRES</v>
      </c>
      <c r="G5" s="251" t="str">
        <f>IFERROR(IF(VLOOKUP(H5,Lookup!$A$1:$B$200,2,0)="","",VLOOKUP(H5,Lookup!$A$1:$B$200,2,0)),"")</f>
        <v>BASIC_SERVICE_CHARGE</v>
      </c>
      <c r="H5" s="258" t="s">
        <v>607</v>
      </c>
      <c r="I5" s="259">
        <f>VLOOKUP(E5,'UNSG - ALL RATES'!$A$1:$DF$43,MATCH($G5,'UNSG - ALL RATES'!$A$2:$DF$2,0),0)</f>
        <v>7</v>
      </c>
      <c r="J5" s="259">
        <v>15</v>
      </c>
      <c r="K5" s="259"/>
      <c r="M5" s="810"/>
      <c r="N5" s="817"/>
      <c r="O5" s="809"/>
      <c r="P5" s="809"/>
      <c r="Q5" s="809"/>
      <c r="R5" s="809"/>
      <c r="S5" s="810"/>
      <c r="V5" s="251"/>
      <c r="W5" s="812"/>
      <c r="X5" s="812"/>
      <c r="AB5" s="251"/>
      <c r="AE5" s="255"/>
      <c r="AF5" s="251"/>
    </row>
    <row r="6" spans="1:34">
      <c r="A6" s="100">
        <v>41030</v>
      </c>
      <c r="B6" s="100">
        <f>$B$5</f>
        <v>46082</v>
      </c>
      <c r="C6" s="251" t="str">
        <f>C5</f>
        <v>GRRESC</v>
      </c>
      <c r="D6" s="251" t="s">
        <v>516</v>
      </c>
      <c r="E6" s="100" t="str">
        <f t="shared" si="0"/>
        <v>41030GRRESC</v>
      </c>
      <c r="F6" s="100" t="str">
        <f t="shared" ref="F6:F11" si="1">IF(D6="","",B6&amp;$D6)</f>
        <v>46082GRRES</v>
      </c>
      <c r="G6" s="251" t="str">
        <f>IFERROR(IF(VLOOKUP(H6,Lookup!$A$1:$B$200,2,0)="","",VLOOKUP(H6,Lookup!$A$1:$B$200,2,0)),"")</f>
        <v/>
      </c>
      <c r="H6" s="258"/>
      <c r="I6" s="259"/>
      <c r="J6" s="259"/>
      <c r="K6" s="259"/>
      <c r="L6" s="56" t="s">
        <v>482</v>
      </c>
      <c r="M6" s="260">
        <f>AVERAGE(M26,M46)</f>
        <v>44</v>
      </c>
      <c r="N6" s="261">
        <f>AVERAGE(N26,N46)</f>
        <v>7</v>
      </c>
      <c r="O6" s="261">
        <f t="shared" ref="O6:P6" si="2">AVERAGE(O26,O46)</f>
        <v>8.5095999999999989</v>
      </c>
      <c r="P6" s="261">
        <f t="shared" si="2"/>
        <v>0</v>
      </c>
      <c r="Q6" s="261">
        <f>$I$11*M6</f>
        <v>19.382000000000001</v>
      </c>
      <c r="R6" s="261">
        <f>M6*$I$10</f>
        <v>-0.70840000000000003</v>
      </c>
      <c r="S6" s="261">
        <f>SUM(N6:R6)</f>
        <v>34.183199999999999</v>
      </c>
      <c r="V6" s="262"/>
      <c r="W6" s="261">
        <f>S6*'UNSG Riders- Current'!$C$4</f>
        <v>6.4401148800000002E-2</v>
      </c>
      <c r="X6" s="263">
        <f>ROUND(SUM(S6,W6:W6),2)</f>
        <v>34.25</v>
      </c>
      <c r="AB6" s="251"/>
      <c r="AE6" s="255"/>
      <c r="AF6" s="251"/>
    </row>
    <row r="7" spans="1:34">
      <c r="A7" s="100">
        <v>41030</v>
      </c>
      <c r="B7" s="100">
        <f t="shared" ref="B7:B18" si="3">$B$5</f>
        <v>46082</v>
      </c>
      <c r="C7" s="251" t="str">
        <f t="shared" ref="C7:C18" si="4">C6</f>
        <v>GRRESC</v>
      </c>
      <c r="D7" s="251" t="s">
        <v>516</v>
      </c>
      <c r="E7" s="100" t="str">
        <f t="shared" si="0"/>
        <v>41030GRRESC</v>
      </c>
      <c r="F7" s="100" t="str">
        <f t="shared" si="1"/>
        <v>46082GRRES</v>
      </c>
      <c r="G7" s="251" t="str">
        <f>IFERROR(IF(VLOOKUP(H7,Lookup!$A$1:$B$200,2,0)="","",VLOOKUP(H7,Lookup!$A$1:$B$200,2,0)),"")</f>
        <v/>
      </c>
      <c r="H7" s="258" t="s">
        <v>512</v>
      </c>
      <c r="I7" s="259"/>
      <c r="J7" s="259"/>
      <c r="K7" s="264"/>
      <c r="L7" s="56" t="s">
        <v>866</v>
      </c>
      <c r="M7" s="260">
        <f t="shared" ref="M7:M10" si="5">AVERAGE(M27,M47)</f>
        <v>64.5</v>
      </c>
      <c r="N7" s="261">
        <f t="shared" ref="N7:P10" si="6">AVERAGE(N27,N47)</f>
        <v>7</v>
      </c>
      <c r="O7" s="261">
        <f t="shared" si="6"/>
        <v>12.474299999999999</v>
      </c>
      <c r="P7" s="261">
        <f t="shared" si="6"/>
        <v>30.597899999999999</v>
      </c>
      <c r="Q7" s="261">
        <f t="shared" ref="Q7:Q10" si="7">$I$11*M7</f>
        <v>28.41225</v>
      </c>
      <c r="R7" s="261">
        <f t="shared" ref="R7:R10" si="8">M7*$I$10</f>
        <v>-1.0384499999999999</v>
      </c>
      <c r="S7" s="261">
        <f t="shared" ref="S7:S10" si="9">SUM(N7:R7)</f>
        <v>77.445999999999998</v>
      </c>
      <c r="V7" s="262"/>
      <c r="W7" s="261">
        <f>S7*'UNSG Riders- Current'!$C$4</f>
        <v>0.14590826400000001</v>
      </c>
      <c r="X7" s="263">
        <f t="shared" ref="X7:X10" si="10">ROUND(SUM(S7,W7:W7),2)</f>
        <v>77.59</v>
      </c>
      <c r="AB7" s="251"/>
      <c r="AE7" s="255"/>
      <c r="AF7" s="251"/>
    </row>
    <row r="8" spans="1:34">
      <c r="A8" s="100">
        <v>41030</v>
      </c>
      <c r="B8" s="100">
        <f t="shared" si="3"/>
        <v>46082</v>
      </c>
      <c r="C8" s="251" t="str">
        <f t="shared" si="4"/>
        <v>GRRESC</v>
      </c>
      <c r="D8" s="251" t="s">
        <v>516</v>
      </c>
      <c r="E8" s="100" t="str">
        <f t="shared" si="0"/>
        <v>41030GRRESC</v>
      </c>
      <c r="F8" s="100" t="str">
        <f t="shared" si="1"/>
        <v>46082GRRES</v>
      </c>
      <c r="G8" s="251" t="str">
        <f>IFERROR(IF(VLOOKUP(H8,Lookup!$A$1:$B$200,2,0)="","",VLOOKUP(H8,Lookup!$A$1:$B$200,2,0)),"")</f>
        <v>THERM_DELIVERY_TIER1</v>
      </c>
      <c r="H8" s="57" t="s">
        <v>609</v>
      </c>
      <c r="I8" s="670">
        <f>VLOOKUP(E8,'UNSG - ALL RATES'!$A$1:$DF$38,MATCH($G8,'UNSG - ALL RATES'!$A$2:$DF$2,0),0)</f>
        <v>0.34339999999999998</v>
      </c>
      <c r="J8" s="670">
        <f>VLOOKUP(F8,'UNSG - ALL RATES'!$A$1:$DF$38,MATCH($G8,'UNSG - ALL RATES'!$A$2:$DF$2,0),0)</f>
        <v>0.38009999999999999</v>
      </c>
      <c r="K8" s="264"/>
      <c r="L8" s="56" t="s">
        <v>520</v>
      </c>
      <c r="M8" s="260">
        <f t="shared" si="5"/>
        <v>86</v>
      </c>
      <c r="N8" s="261">
        <f t="shared" si="6"/>
        <v>7</v>
      </c>
      <c r="O8" s="261">
        <f t="shared" si="6"/>
        <v>16.632399999999997</v>
      </c>
      <c r="P8" s="261">
        <f t="shared" si="6"/>
        <v>24.416700000000002</v>
      </c>
      <c r="Q8" s="261">
        <f t="shared" si="7"/>
        <v>37.883000000000003</v>
      </c>
      <c r="R8" s="261">
        <f t="shared" si="8"/>
        <v>-1.3846000000000001</v>
      </c>
      <c r="S8" s="261">
        <f t="shared" si="9"/>
        <v>84.547499999999985</v>
      </c>
      <c r="V8" s="262"/>
      <c r="W8" s="261">
        <f>S8*'UNSG Riders- Current'!$C$4</f>
        <v>0.15928748999999998</v>
      </c>
      <c r="X8" s="263">
        <f t="shared" si="10"/>
        <v>84.71</v>
      </c>
      <c r="AB8" s="251"/>
      <c r="AE8" s="255"/>
      <c r="AF8" s="251"/>
    </row>
    <row r="9" spans="1:34">
      <c r="A9" s="100">
        <v>41030</v>
      </c>
      <c r="B9" s="100">
        <f t="shared" si="3"/>
        <v>46082</v>
      </c>
      <c r="C9" s="251" t="str">
        <f t="shared" si="4"/>
        <v>GRRESC</v>
      </c>
      <c r="D9" s="251" t="s">
        <v>516</v>
      </c>
      <c r="E9" s="100" t="str">
        <f t="shared" si="0"/>
        <v>41030GRRESC</v>
      </c>
      <c r="F9" s="100" t="str">
        <f t="shared" si="1"/>
        <v>46082GRRES</v>
      </c>
      <c r="G9" s="251" t="str">
        <f>IFERROR(IF(VLOOKUP(H9,Lookup!$A$1:$B$200,2,0)="","",VLOOKUP(H9,Lookup!$A$1:$B$200,2,0)),"")</f>
        <v/>
      </c>
      <c r="H9" s="57" t="s">
        <v>882</v>
      </c>
      <c r="I9" s="670">
        <f>I8-0.15</f>
        <v>0.19339999999999999</v>
      </c>
      <c r="J9" s="670"/>
      <c r="K9" s="264"/>
      <c r="L9" s="56" t="s">
        <v>868</v>
      </c>
      <c r="M9" s="260">
        <f t="shared" si="5"/>
        <v>103</v>
      </c>
      <c r="N9" s="261">
        <f t="shared" si="6"/>
        <v>7</v>
      </c>
      <c r="O9" s="261">
        <f t="shared" si="6"/>
        <v>19.920199999999998</v>
      </c>
      <c r="P9" s="261">
        <f t="shared" si="6"/>
        <v>19.4374</v>
      </c>
      <c r="Q9" s="261">
        <f t="shared" si="7"/>
        <v>45.371499999999997</v>
      </c>
      <c r="R9" s="261">
        <f t="shared" si="8"/>
        <v>-1.6582999999999999</v>
      </c>
      <c r="S9" s="261">
        <f t="shared" si="9"/>
        <v>90.070799999999991</v>
      </c>
      <c r="V9" s="262"/>
      <c r="W9" s="261">
        <f>S9*'UNSG Riders- Current'!$C$4</f>
        <v>0.16969338719999999</v>
      </c>
      <c r="X9" s="263">
        <f t="shared" si="10"/>
        <v>90.24</v>
      </c>
      <c r="AB9" s="251"/>
      <c r="AE9" s="255"/>
      <c r="AF9" s="251"/>
    </row>
    <row r="10" spans="1:34">
      <c r="A10" s="100">
        <v>41030</v>
      </c>
      <c r="B10" s="100">
        <f t="shared" si="3"/>
        <v>46082</v>
      </c>
      <c r="C10" s="251" t="str">
        <f t="shared" si="4"/>
        <v>GRRESC</v>
      </c>
      <c r="D10" s="251" t="s">
        <v>516</v>
      </c>
      <c r="E10" s="100" t="str">
        <f t="shared" si="0"/>
        <v>41030GRRESC</v>
      </c>
      <c r="F10" s="100" t="str">
        <f t="shared" si="1"/>
        <v>46082GRRES</v>
      </c>
      <c r="G10" s="251" t="str">
        <f>IFERROR(IF(VLOOKUP(H10,Lookup!$A$1:$B$200,2,0)="","",VLOOKUP(H10,Lookup!$A$1:$B$200,2,0)),"")</f>
        <v/>
      </c>
      <c r="H10" s="57" t="s">
        <v>867</v>
      </c>
      <c r="I10" s="264">
        <v>-1.61E-2</v>
      </c>
      <c r="J10" s="671">
        <v>0</v>
      </c>
      <c r="K10" s="264"/>
      <c r="L10" s="267" t="s">
        <v>869</v>
      </c>
      <c r="M10" s="260">
        <f t="shared" si="5"/>
        <v>47.901158732245804</v>
      </c>
      <c r="N10" s="261">
        <f t="shared" si="6"/>
        <v>7</v>
      </c>
      <c r="O10" s="261">
        <f t="shared" si="6"/>
        <v>9.2640840988163369</v>
      </c>
      <c r="P10" s="261">
        <f t="shared" si="6"/>
        <v>0</v>
      </c>
      <c r="Q10" s="261">
        <f t="shared" si="7"/>
        <v>21.100460421554278</v>
      </c>
      <c r="R10" s="261">
        <f t="shared" si="8"/>
        <v>-0.77120865558915741</v>
      </c>
      <c r="S10" s="261">
        <f t="shared" si="9"/>
        <v>36.593335864781459</v>
      </c>
      <c r="V10" s="262"/>
      <c r="W10" s="261">
        <f>S10*'UNSG Riders- Current'!$C$4</f>
        <v>6.8941844769248264E-2</v>
      </c>
      <c r="X10" s="263">
        <f t="shared" si="10"/>
        <v>36.659999999999997</v>
      </c>
      <c r="AB10" s="251"/>
      <c r="AE10" s="255"/>
      <c r="AF10" s="251"/>
    </row>
    <row r="11" spans="1:34">
      <c r="A11" s="100">
        <v>41030</v>
      </c>
      <c r="B11" s="100">
        <f t="shared" si="3"/>
        <v>46082</v>
      </c>
      <c r="C11" s="251" t="str">
        <f t="shared" si="4"/>
        <v>GRRESC</v>
      </c>
      <c r="D11" s="251" t="s">
        <v>516</v>
      </c>
      <c r="E11" s="100" t="str">
        <f t="shared" si="0"/>
        <v>41030GRRESC</v>
      </c>
      <c r="F11" s="100" t="str">
        <f t="shared" si="1"/>
        <v>46082GRRES</v>
      </c>
      <c r="G11" s="251" t="str">
        <f>IFERROR(IF(VLOOKUP(H11,Lookup!$A$1:$B$200,2,0)="","",VLOOKUP(H11,Lookup!$A$1:$B$200,2,0)),"")</f>
        <v/>
      </c>
      <c r="H11" s="266" t="s">
        <v>610</v>
      </c>
      <c r="I11" s="264">
        <f>'PGA Calculation'!B3</f>
        <v>0.4405</v>
      </c>
      <c r="J11" s="264">
        <f>I11*(0.6)</f>
        <v>0.26429999999999998</v>
      </c>
      <c r="K11" s="264"/>
      <c r="L11" s="252"/>
      <c r="M11" s="252"/>
      <c r="N11" s="252"/>
      <c r="O11" s="252"/>
      <c r="P11" s="252"/>
      <c r="Q11" s="252"/>
      <c r="R11" s="264"/>
      <c r="S11" s="252"/>
      <c r="T11" s="252"/>
      <c r="U11" s="252"/>
      <c r="V11" s="253"/>
      <c r="W11" s="254"/>
      <c r="AA11" s="269"/>
      <c r="AC11" s="262"/>
      <c r="AF11" s="251"/>
      <c r="AG11" s="255"/>
    </row>
    <row r="12" spans="1:34">
      <c r="A12" s="100"/>
      <c r="B12" s="100"/>
      <c r="E12" s="100"/>
      <c r="F12" s="100"/>
      <c r="H12" s="258" t="s">
        <v>883</v>
      </c>
      <c r="I12" s="672">
        <v>0</v>
      </c>
      <c r="J12" s="672">
        <v>-5</v>
      </c>
      <c r="K12" s="264"/>
      <c r="M12" s="256" t="s">
        <v>856</v>
      </c>
      <c r="AC12" s="57"/>
      <c r="AF12" s="251"/>
      <c r="AG12" s="255"/>
    </row>
    <row r="13" spans="1:34" ht="15" customHeight="1">
      <c r="A13" s="100">
        <v>41030</v>
      </c>
      <c r="B13" s="100">
        <f t="shared" si="3"/>
        <v>46082</v>
      </c>
      <c r="C13" s="251" t="str">
        <f>C11</f>
        <v>GRRESC</v>
      </c>
      <c r="D13" s="251" t="s">
        <v>516</v>
      </c>
      <c r="E13" s="100" t="str">
        <f t="shared" ref="E13:E18" si="11">IF(C13="","",A13&amp;$C13)</f>
        <v>41030GRRESC</v>
      </c>
      <c r="F13" s="100" t="str">
        <f>IF(D13="","",B13&amp;$D13)</f>
        <v>46082GRRES</v>
      </c>
      <c r="G13" s="251" t="str">
        <f>IFERROR(IF(VLOOKUP(H13,Lookup!$A$1:$B$200,2,0)="","",VLOOKUP(H13,Lookup!$A$1:$B$200,2,0)),"")</f>
        <v/>
      </c>
      <c r="H13" s="258" t="s">
        <v>870</v>
      </c>
      <c r="I13" s="264"/>
      <c r="J13" s="679">
        <v>0</v>
      </c>
      <c r="M13" s="813" t="s">
        <v>872</v>
      </c>
      <c r="N13" s="814"/>
      <c r="O13" s="814"/>
      <c r="P13" s="814"/>
      <c r="Q13" s="815"/>
      <c r="R13" s="296"/>
      <c r="V13" s="251"/>
      <c r="AB13" s="251"/>
      <c r="AE13" s="255"/>
      <c r="AF13" s="251"/>
    </row>
    <row r="14" spans="1:34">
      <c r="A14" s="100">
        <v>41030</v>
      </c>
      <c r="B14" s="100">
        <f t="shared" si="3"/>
        <v>46082</v>
      </c>
      <c r="C14" s="251" t="str">
        <f t="shared" si="4"/>
        <v>GRRESC</v>
      </c>
      <c r="D14" s="251" t="s">
        <v>516</v>
      </c>
      <c r="E14" s="100" t="str">
        <f t="shared" si="11"/>
        <v>41030GRRESC</v>
      </c>
      <c r="F14" s="100" t="str">
        <f t="shared" ref="F14:F18" si="12">IF(D14="","",B14&amp;$D14)</f>
        <v>46082GRRES</v>
      </c>
      <c r="G14" s="251" t="str">
        <f>IFERROR(IF(VLOOKUP(H14,Lookup!$A$1:$B$200,2,0)="","",VLOOKUP(H14,Lookup!$A$1:$B$200,2,0)),"")</f>
        <v/>
      </c>
      <c r="H14" s="266" t="s">
        <v>871</v>
      </c>
      <c r="I14" s="264"/>
      <c r="J14" s="673">
        <f>'UNSG Riders- Current'!$C$5</f>
        <v>0</v>
      </c>
      <c r="M14" s="810" t="s">
        <v>859</v>
      </c>
      <c r="N14" s="816" t="s">
        <v>860</v>
      </c>
      <c r="O14" s="808" t="s">
        <v>861</v>
      </c>
      <c r="P14" s="808" t="s">
        <v>881</v>
      </c>
      <c r="Q14" s="808" t="s">
        <v>610</v>
      </c>
      <c r="R14" s="808" t="s">
        <v>873</v>
      </c>
      <c r="S14" s="810" t="s">
        <v>863</v>
      </c>
      <c r="T14" s="808" t="s">
        <v>874</v>
      </c>
      <c r="U14" s="808" t="s">
        <v>875</v>
      </c>
      <c r="W14" s="811" t="s">
        <v>864</v>
      </c>
      <c r="X14" s="811" t="s">
        <v>870</v>
      </c>
      <c r="Y14" s="811" t="s">
        <v>871</v>
      </c>
      <c r="Z14" s="811" t="s">
        <v>865</v>
      </c>
      <c r="AA14" s="808" t="s">
        <v>874</v>
      </c>
      <c r="AB14" s="808" t="s">
        <v>875</v>
      </c>
      <c r="AC14" s="57"/>
      <c r="AD14" s="57"/>
      <c r="AF14" s="251"/>
      <c r="AH14" s="255"/>
    </row>
    <row r="15" spans="1:34" ht="16.5" customHeight="1">
      <c r="A15" s="100">
        <v>41030</v>
      </c>
      <c r="B15" s="100">
        <f t="shared" si="3"/>
        <v>46082</v>
      </c>
      <c r="C15" s="251" t="str">
        <f t="shared" si="4"/>
        <v>GRRESC</v>
      </c>
      <c r="D15" s="251" t="s">
        <v>516</v>
      </c>
      <c r="E15" s="100" t="str">
        <f t="shared" si="11"/>
        <v>41030GRRESC</v>
      </c>
      <c r="F15" s="100" t="str">
        <f t="shared" si="12"/>
        <v>46082GRRES</v>
      </c>
      <c r="G15" s="251" t="str">
        <f>IFERROR(IF(VLOOKUP(H15,Lookup!$A$1:$B$200,2,0)="","",VLOOKUP(H15,Lookup!$A$1:$B$200,2,0)),"")</f>
        <v/>
      </c>
      <c r="I15"/>
      <c r="J15"/>
      <c r="M15" s="810"/>
      <c r="N15" s="817"/>
      <c r="O15" s="809"/>
      <c r="P15" s="809"/>
      <c r="Q15" s="809"/>
      <c r="R15" s="809"/>
      <c r="S15" s="810"/>
      <c r="T15" s="809"/>
      <c r="U15" s="809"/>
      <c r="V15" s="251"/>
      <c r="W15" s="812"/>
      <c r="X15" s="812"/>
      <c r="Y15" s="812"/>
      <c r="Z15" s="812"/>
      <c r="AA15" s="809"/>
      <c r="AB15" s="809"/>
      <c r="AC15" s="57"/>
      <c r="AD15" s="57"/>
      <c r="AF15" s="251"/>
      <c r="AH15" s="255"/>
    </row>
    <row r="16" spans="1:34">
      <c r="A16" s="100">
        <v>41030</v>
      </c>
      <c r="B16" s="100">
        <f t="shared" si="3"/>
        <v>46082</v>
      </c>
      <c r="C16" s="251" t="str">
        <f t="shared" si="4"/>
        <v>GRRESC</v>
      </c>
      <c r="D16" s="251" t="s">
        <v>516</v>
      </c>
      <c r="E16" s="100" t="str">
        <f t="shared" si="11"/>
        <v>41030GRRESC</v>
      </c>
      <c r="F16" s="100" t="str">
        <f t="shared" si="12"/>
        <v>46082GRRES</v>
      </c>
      <c r="H16" s="130"/>
      <c r="I16"/>
      <c r="J16"/>
      <c r="K16" s="264"/>
      <c r="L16" s="56" t="s">
        <v>482</v>
      </c>
      <c r="M16" s="260">
        <f>M6</f>
        <v>44</v>
      </c>
      <c r="N16" s="261">
        <f>AVERAGE(N36,N56)</f>
        <v>15</v>
      </c>
      <c r="O16" s="261">
        <f t="shared" ref="O16:P16" si="13">AVERAGE(O36,O56)</f>
        <v>16.724399999999999</v>
      </c>
      <c r="P16" s="261">
        <f t="shared" si="13"/>
        <v>0</v>
      </c>
      <c r="Q16" s="261">
        <f>$J$11*M16+$J$12</f>
        <v>6.6291999999999991</v>
      </c>
      <c r="R16" s="261">
        <f>M16*$J$10</f>
        <v>0</v>
      </c>
      <c r="S16" s="261">
        <f>SUM(N16:R16)</f>
        <v>38.3536</v>
      </c>
      <c r="T16" s="261">
        <f>S16-S6</f>
        <v>4.1704000000000008</v>
      </c>
      <c r="U16" s="272">
        <f>T16/S16</f>
        <v>0.10873555546285096</v>
      </c>
      <c r="V16" s="262"/>
      <c r="W16" s="261">
        <f>S16*'UNSG Riders- Current'!$C$4</f>
        <v>7.2258182399999996E-2</v>
      </c>
      <c r="X16" s="261">
        <f>M16*$J$13</f>
        <v>0</v>
      </c>
      <c r="Y16" s="261">
        <f>S16*$J$14</f>
        <v>0</v>
      </c>
      <c r="Z16" s="263">
        <f>ROUND(SUM(S16,W16:Y16),2)</f>
        <v>38.43</v>
      </c>
      <c r="AA16" s="261">
        <f>Z16-X6</f>
        <v>4.18</v>
      </c>
      <c r="AB16" s="272">
        <f>AA16/Z16</f>
        <v>0.10876919073640384</v>
      </c>
      <c r="AC16" s="262"/>
      <c r="AD16" s="57"/>
      <c r="AF16" s="251"/>
      <c r="AH16" s="255"/>
    </row>
    <row r="17" spans="1:34">
      <c r="A17" s="100">
        <v>41030</v>
      </c>
      <c r="B17" s="100">
        <f t="shared" si="3"/>
        <v>46082</v>
      </c>
      <c r="C17" s="251" t="str">
        <f t="shared" si="4"/>
        <v>GRRESC</v>
      </c>
      <c r="D17" s="251" t="s">
        <v>516</v>
      </c>
      <c r="E17" s="100" t="str">
        <f t="shared" si="11"/>
        <v>41030GRRESC</v>
      </c>
      <c r="F17" s="100" t="str">
        <f t="shared" si="12"/>
        <v>46082GRRES</v>
      </c>
      <c r="I17"/>
      <c r="J17"/>
      <c r="K17" s="264"/>
      <c r="L17" s="56" t="s">
        <v>866</v>
      </c>
      <c r="M17" s="260">
        <f t="shared" ref="M17:M20" si="14">M7</f>
        <v>64.5</v>
      </c>
      <c r="N17" s="261">
        <f t="shared" ref="N17:P20" si="15">AVERAGE(N37,N57)</f>
        <v>15</v>
      </c>
      <c r="O17" s="261">
        <f t="shared" si="15"/>
        <v>24.516449999999999</v>
      </c>
      <c r="P17" s="261">
        <f t="shared" si="15"/>
        <v>28.524350000000002</v>
      </c>
      <c r="Q17" s="261">
        <f t="shared" ref="Q17:Q20" si="16">$J$11*M17+$J$12</f>
        <v>12.047349999999998</v>
      </c>
      <c r="R17" s="261">
        <f t="shared" ref="R17:R20" si="17">M17*$J$10</f>
        <v>0</v>
      </c>
      <c r="S17" s="261">
        <f t="shared" ref="S17:S20" si="18">SUM(N17:R17)</f>
        <v>80.088149999999999</v>
      </c>
      <c r="T17" s="261">
        <f t="shared" ref="T17:T20" si="19">S17-S7</f>
        <v>2.6421500000000009</v>
      </c>
      <c r="U17" s="272">
        <f>T17/S17</f>
        <v>3.2990523566844794E-2</v>
      </c>
      <c r="V17" s="262"/>
      <c r="W17" s="261">
        <f>S17*'UNSG Riders- Current'!$C$4</f>
        <v>0.1508860746</v>
      </c>
      <c r="X17" s="261">
        <f t="shared" ref="X17:X20" si="20">M17*$J$13</f>
        <v>0</v>
      </c>
      <c r="Y17" s="261">
        <f t="shared" ref="Y17:Y20" si="21">S17*$J$14</f>
        <v>0</v>
      </c>
      <c r="Z17" s="263">
        <f t="shared" ref="Z17:Z20" si="22">ROUND(SUM(S17,W17:Y17),2)</f>
        <v>80.239999999999995</v>
      </c>
      <c r="AA17" s="261">
        <f>Z17-X7</f>
        <v>2.6499999999999915</v>
      </c>
      <c r="AB17" s="272">
        <f>AA17/Z17</f>
        <v>3.3025922233299997E-2</v>
      </c>
      <c r="AC17" s="262"/>
      <c r="AD17" s="57"/>
      <c r="AF17" s="251"/>
      <c r="AH17" s="255"/>
    </row>
    <row r="18" spans="1:34">
      <c r="A18" s="100">
        <v>41030</v>
      </c>
      <c r="B18" s="100">
        <f t="shared" si="3"/>
        <v>46082</v>
      </c>
      <c r="C18" s="251" t="str">
        <f t="shared" si="4"/>
        <v>GRRESC</v>
      </c>
      <c r="D18" s="251" t="s">
        <v>516</v>
      </c>
      <c r="E18" s="100" t="str">
        <f t="shared" si="11"/>
        <v>41030GRRESC</v>
      </c>
      <c r="F18" s="100" t="str">
        <f t="shared" si="12"/>
        <v>46082GRRES</v>
      </c>
      <c r="G18" s="251" t="str">
        <f>IFERROR(IF(VLOOKUP(H18,Lookup!$A$1:$B$200,2,0)="","",VLOOKUP(H18,Lookup!$A$1:$B$200,2,0)),"")</f>
        <v/>
      </c>
      <c r="H18"/>
      <c r="I18"/>
      <c r="J18"/>
      <c r="K18" s="264"/>
      <c r="L18" s="56" t="s">
        <v>520</v>
      </c>
      <c r="M18" s="260">
        <f t="shared" si="14"/>
        <v>86</v>
      </c>
      <c r="N18" s="261">
        <f t="shared" si="15"/>
        <v>15</v>
      </c>
      <c r="O18" s="261">
        <f t="shared" si="15"/>
        <v>32.688600000000001</v>
      </c>
      <c r="P18" s="261">
        <f t="shared" si="15"/>
        <v>21.682549999999999</v>
      </c>
      <c r="Q18" s="261">
        <f t="shared" si="16"/>
        <v>17.729799999999997</v>
      </c>
      <c r="R18" s="261">
        <f t="shared" si="17"/>
        <v>0</v>
      </c>
      <c r="S18" s="261">
        <f t="shared" si="18"/>
        <v>87.100949999999997</v>
      </c>
      <c r="T18" s="261">
        <f t="shared" si="19"/>
        <v>2.5534500000000122</v>
      </c>
      <c r="U18" s="272">
        <f>T18/S18</f>
        <v>2.9315983350353955E-2</v>
      </c>
      <c r="V18" s="262"/>
      <c r="W18" s="261">
        <f>S18*'UNSG Riders- Current'!$C$4</f>
        <v>0.16409818979999999</v>
      </c>
      <c r="X18" s="261">
        <f t="shared" si="20"/>
        <v>0</v>
      </c>
      <c r="Y18" s="261">
        <f t="shared" si="21"/>
        <v>0</v>
      </c>
      <c r="Z18" s="263">
        <f t="shared" si="22"/>
        <v>87.27</v>
      </c>
      <c r="AA18" s="261">
        <f>Z18-X8</f>
        <v>2.5600000000000023</v>
      </c>
      <c r="AB18" s="272">
        <f>AA18/Z18</f>
        <v>2.9334250028646754E-2</v>
      </c>
      <c r="AC18" s="262"/>
      <c r="AD18" s="57"/>
      <c r="AF18" s="251"/>
      <c r="AH18" s="255"/>
    </row>
    <row r="19" spans="1:34">
      <c r="L19" s="56" t="s">
        <v>868</v>
      </c>
      <c r="M19" s="260">
        <f t="shared" si="14"/>
        <v>103</v>
      </c>
      <c r="N19" s="261">
        <f t="shared" si="15"/>
        <v>15</v>
      </c>
      <c r="O19" s="261">
        <f t="shared" si="15"/>
        <v>39.150299999999994</v>
      </c>
      <c r="P19" s="261">
        <f t="shared" ref="P19" si="23">AVERAGE(P39,P59)</f>
        <v>16.171100000000003</v>
      </c>
      <c r="Q19" s="261">
        <f t="shared" si="16"/>
        <v>22.222899999999999</v>
      </c>
      <c r="R19" s="261">
        <f t="shared" si="17"/>
        <v>0</v>
      </c>
      <c r="S19" s="261">
        <f t="shared" si="18"/>
        <v>92.544299999999993</v>
      </c>
      <c r="T19" s="261">
        <f t="shared" si="19"/>
        <v>2.4735000000000014</v>
      </c>
      <c r="U19" s="272">
        <f>T19/S19</f>
        <v>2.6727740120137077E-2</v>
      </c>
      <c r="V19" s="262"/>
      <c r="W19" s="261">
        <f>S19*'UNSG Riders- Current'!$C$4</f>
        <v>0.17435346119999998</v>
      </c>
      <c r="X19" s="261">
        <f t="shared" si="20"/>
        <v>0</v>
      </c>
      <c r="Y19" s="261">
        <f t="shared" si="21"/>
        <v>0</v>
      </c>
      <c r="Z19" s="263">
        <f t="shared" si="22"/>
        <v>92.72</v>
      </c>
      <c r="AA19" s="261">
        <f>Z19-X9</f>
        <v>2.480000000000004</v>
      </c>
      <c r="AB19" s="272">
        <f>AA19/Z19</f>
        <v>2.6747195858498749E-2</v>
      </c>
      <c r="AC19" s="262"/>
      <c r="AD19" s="57"/>
      <c r="AF19" s="251"/>
      <c r="AH19" s="255"/>
    </row>
    <row r="20" spans="1:34">
      <c r="I20" s="262"/>
      <c r="L20" s="267" t="s">
        <v>869</v>
      </c>
      <c r="M20" s="260">
        <f t="shared" si="14"/>
        <v>47.901158732245804</v>
      </c>
      <c r="N20" s="261">
        <f t="shared" si="15"/>
        <v>15</v>
      </c>
      <c r="O20" s="261">
        <f t="shared" si="15"/>
        <v>18.207230434126629</v>
      </c>
      <c r="P20" s="261">
        <f t="shared" ref="P20" si="24">AVERAGE(P40,P60)</f>
        <v>0</v>
      </c>
      <c r="Q20" s="261">
        <f t="shared" si="16"/>
        <v>7.6602762529325652</v>
      </c>
      <c r="R20" s="261">
        <f t="shared" si="17"/>
        <v>0</v>
      </c>
      <c r="S20" s="261">
        <f t="shared" si="18"/>
        <v>40.867506687059191</v>
      </c>
      <c r="T20" s="261">
        <f t="shared" si="19"/>
        <v>4.2741708222777319</v>
      </c>
      <c r="U20" s="272">
        <f>T20/S20</f>
        <v>0.10458604325942791</v>
      </c>
      <c r="V20" s="262"/>
      <c r="W20" s="261">
        <f>S20*'UNSG Riders- Current'!$C$4</f>
        <v>7.6994382598419522E-2</v>
      </c>
      <c r="X20" s="261">
        <f t="shared" si="20"/>
        <v>0</v>
      </c>
      <c r="Y20" s="261">
        <f t="shared" si="21"/>
        <v>0</v>
      </c>
      <c r="Z20" s="263">
        <f t="shared" si="22"/>
        <v>40.94</v>
      </c>
      <c r="AA20" s="261">
        <f>Z20-X10</f>
        <v>4.2800000000000011</v>
      </c>
      <c r="AB20" s="272">
        <f>AA20/Z20</f>
        <v>0.10454323400097708</v>
      </c>
      <c r="AC20" s="262"/>
      <c r="AD20" s="57"/>
      <c r="AF20" s="251"/>
      <c r="AH20" s="255"/>
    </row>
    <row r="21" spans="1:34">
      <c r="H21"/>
      <c r="I21" s="262"/>
      <c r="K21" s="275"/>
      <c r="L21" s="264"/>
      <c r="M21" s="264"/>
      <c r="N21" s="264"/>
      <c r="O21" s="264"/>
      <c r="P21" s="264"/>
      <c r="Q21" s="264"/>
      <c r="R21" s="264"/>
      <c r="S21" s="264"/>
      <c r="T21" s="264"/>
      <c r="U21" s="264"/>
      <c r="W21" s="268"/>
      <c r="X21" s="268"/>
      <c r="Y21" s="268"/>
      <c r="AA21" s="268"/>
      <c r="AB21" s="276"/>
    </row>
    <row r="22" spans="1:34" ht="14.45" customHeight="1">
      <c r="H22"/>
      <c r="I22" s="262"/>
      <c r="M22" s="58" t="s">
        <v>884</v>
      </c>
      <c r="R22" s="270"/>
      <c r="S22"/>
      <c r="T22"/>
    </row>
    <row r="23" spans="1:34" ht="14.45" customHeight="1">
      <c r="H23"/>
      <c r="K23" s="275"/>
      <c r="M23" s="813" t="s">
        <v>857</v>
      </c>
      <c r="N23" s="814"/>
      <c r="O23" s="814"/>
      <c r="P23" s="814"/>
      <c r="Q23" s="815"/>
      <c r="S23"/>
      <c r="T23"/>
      <c r="U23" s="251"/>
      <c r="W23" s="271"/>
      <c r="Z23"/>
      <c r="AA23"/>
    </row>
    <row r="24" spans="1:34" ht="15" customHeight="1">
      <c r="K24" s="277"/>
      <c r="M24" s="808" t="s">
        <v>859</v>
      </c>
      <c r="N24" s="816" t="s">
        <v>860</v>
      </c>
      <c r="O24" s="808" t="s">
        <v>861</v>
      </c>
      <c r="P24" s="808" t="s">
        <v>881</v>
      </c>
      <c r="Q24" s="808" t="s">
        <v>610</v>
      </c>
      <c r="R24" s="808" t="s">
        <v>862</v>
      </c>
      <c r="S24" s="808" t="s">
        <v>863</v>
      </c>
      <c r="T24"/>
      <c r="U24"/>
      <c r="W24" s="811" t="s">
        <v>864</v>
      </c>
      <c r="X24" s="811" t="s">
        <v>865</v>
      </c>
      <c r="Y24"/>
      <c r="Z24"/>
      <c r="AB24"/>
      <c r="AC24"/>
      <c r="AD24" s="57"/>
      <c r="AF24" s="251"/>
      <c r="AH24" s="255"/>
    </row>
    <row r="25" spans="1:34" ht="24" customHeight="1">
      <c r="K25" s="275"/>
      <c r="M25" s="809"/>
      <c r="N25" s="817"/>
      <c r="O25" s="809"/>
      <c r="P25" s="809"/>
      <c r="Q25" s="809"/>
      <c r="R25" s="809"/>
      <c r="S25" s="809"/>
      <c r="T25"/>
      <c r="U25"/>
      <c r="W25" s="812"/>
      <c r="X25" s="812"/>
      <c r="Y25"/>
      <c r="Z25"/>
      <c r="AB25"/>
      <c r="AC25"/>
    </row>
    <row r="26" spans="1:34">
      <c r="K26" s="275"/>
      <c r="L26" s="56" t="s">
        <v>482</v>
      </c>
      <c r="M26" s="260">
        <f>'[18]Percentiles_All_Bills Jan'!$I$3</f>
        <v>78</v>
      </c>
      <c r="N26" s="261">
        <f>VLOOKUP(N24,$H$5:$J$5,2,0)</f>
        <v>7</v>
      </c>
      <c r="O26" s="261">
        <f>$I$9*M26</f>
        <v>15.085199999999999</v>
      </c>
      <c r="P26" s="261">
        <v>0</v>
      </c>
      <c r="Q26" s="261">
        <f>$I$11*M26</f>
        <v>34.359000000000002</v>
      </c>
      <c r="R26" s="261">
        <f>M26*$I$10</f>
        <v>-1.2558</v>
      </c>
      <c r="S26" s="261">
        <f>SUM(N26:R26)</f>
        <v>55.188400000000001</v>
      </c>
      <c r="T26"/>
      <c r="U26"/>
      <c r="V26" s="273"/>
      <c r="W26" s="261">
        <f>S26*'UNSG Riders- Current'!$C$4</f>
        <v>0.10397494560000001</v>
      </c>
      <c r="X26" s="263">
        <f>ROUND(SUM(S26,W26:W26),2)</f>
        <v>55.29</v>
      </c>
      <c r="Y26"/>
      <c r="Z26"/>
      <c r="AB26"/>
      <c r="AC26"/>
    </row>
    <row r="27" spans="1:34">
      <c r="L27" s="56" t="s">
        <v>866</v>
      </c>
      <c r="M27" s="260">
        <f>'[18]Percentiles_All_Bills Jan'!$J$3</f>
        <v>113</v>
      </c>
      <c r="N27" s="261">
        <f>N26</f>
        <v>7</v>
      </c>
      <c r="O27" s="261">
        <f t="shared" ref="O27:O30" si="25">$I$9*M27</f>
        <v>21.854199999999999</v>
      </c>
      <c r="P27" s="261">
        <f>100-M27*$I$8</f>
        <v>61.195799999999998</v>
      </c>
      <c r="Q27" s="261">
        <f t="shared" ref="Q27:Q30" si="26">$I$11*M27</f>
        <v>49.776499999999999</v>
      </c>
      <c r="R27" s="261">
        <f t="shared" ref="R27:R30" si="27">M27*$I$10</f>
        <v>-1.8192999999999999</v>
      </c>
      <c r="S27" s="261">
        <f t="shared" ref="S27:S30" si="28">SUM(N27:R27)</f>
        <v>138.00720000000001</v>
      </c>
      <c r="T27"/>
      <c r="U27"/>
      <c r="V27" s="273"/>
      <c r="W27" s="261">
        <f>S27*'UNSG Riders- Current'!$C$4</f>
        <v>0.26000556480000003</v>
      </c>
      <c r="X27" s="263">
        <f t="shared" ref="X27:X30" si="29">ROUND(SUM(S27,W27:W27),2)</f>
        <v>138.27000000000001</v>
      </c>
      <c r="Y27"/>
      <c r="Z27"/>
      <c r="AB27"/>
      <c r="AC27"/>
    </row>
    <row r="28" spans="1:34">
      <c r="L28" s="56" t="s">
        <v>520</v>
      </c>
      <c r="M28" s="260">
        <f>'[18]Percentiles_All_Bills Jan'!$K$3</f>
        <v>149</v>
      </c>
      <c r="N28" s="261">
        <f t="shared" ref="N28:N30" si="30">N27</f>
        <v>7</v>
      </c>
      <c r="O28" s="261">
        <f t="shared" si="25"/>
        <v>28.816599999999998</v>
      </c>
      <c r="P28" s="261">
        <f t="shared" ref="P28:P29" si="31">100-M28*$I$8</f>
        <v>48.833400000000005</v>
      </c>
      <c r="Q28" s="261">
        <f t="shared" si="26"/>
        <v>65.634500000000003</v>
      </c>
      <c r="R28" s="261">
        <f t="shared" si="27"/>
        <v>-2.3988999999999998</v>
      </c>
      <c r="S28" s="261">
        <f t="shared" si="28"/>
        <v>147.88560000000001</v>
      </c>
      <c r="T28"/>
      <c r="U28"/>
      <c r="V28" s="273"/>
      <c r="W28" s="261">
        <f>S28*'UNSG Riders- Current'!$C$4</f>
        <v>0.27861647040000004</v>
      </c>
      <c r="X28" s="263">
        <f t="shared" si="29"/>
        <v>148.16</v>
      </c>
      <c r="Y28"/>
      <c r="Z28"/>
      <c r="AB28"/>
      <c r="AC28"/>
    </row>
    <row r="29" spans="1:34">
      <c r="L29" s="56" t="s">
        <v>868</v>
      </c>
      <c r="M29" s="260">
        <f>'[18]Percentiles_All_Bills Jan'!$L$3</f>
        <v>178</v>
      </c>
      <c r="N29" s="261">
        <f t="shared" si="30"/>
        <v>7</v>
      </c>
      <c r="O29" s="261">
        <f t="shared" si="25"/>
        <v>34.425199999999997</v>
      </c>
      <c r="P29" s="261">
        <f t="shared" si="31"/>
        <v>38.8748</v>
      </c>
      <c r="Q29" s="261">
        <f t="shared" si="26"/>
        <v>78.409000000000006</v>
      </c>
      <c r="R29" s="261">
        <f t="shared" si="27"/>
        <v>-2.8658000000000001</v>
      </c>
      <c r="S29" s="261">
        <f t="shared" si="28"/>
        <v>155.8432</v>
      </c>
      <c r="T29"/>
      <c r="U29"/>
      <c r="V29" s="273"/>
      <c r="W29" s="261">
        <f>S29*'UNSG Riders- Current'!$C$4</f>
        <v>0.29360858880000001</v>
      </c>
      <c r="X29" s="263">
        <f t="shared" si="29"/>
        <v>156.13999999999999</v>
      </c>
      <c r="Y29"/>
      <c r="Z29"/>
      <c r="AB29"/>
      <c r="AC29"/>
    </row>
    <row r="30" spans="1:34">
      <c r="L30" s="267" t="s">
        <v>877</v>
      </c>
      <c r="M30" s="260">
        <f>'[18]Percentiles_All_Bills Jan'!$O$3</f>
        <v>84.064252336448604</v>
      </c>
      <c r="N30" s="261">
        <f t="shared" si="30"/>
        <v>7</v>
      </c>
      <c r="O30" s="261">
        <f t="shared" si="25"/>
        <v>16.258026401869159</v>
      </c>
      <c r="P30" s="261">
        <v>0</v>
      </c>
      <c r="Q30" s="261">
        <f t="shared" si="26"/>
        <v>37.030303154205612</v>
      </c>
      <c r="R30" s="261">
        <f t="shared" si="27"/>
        <v>-1.3534344626168224</v>
      </c>
      <c r="S30" s="261">
        <f t="shared" si="28"/>
        <v>58.934895093457946</v>
      </c>
      <c r="T30"/>
      <c r="U30"/>
      <c r="V30" s="273"/>
      <c r="W30" s="261">
        <f>S30*'UNSG Riders- Current'!$C$4</f>
        <v>0.11103334235607477</v>
      </c>
      <c r="X30" s="263">
        <f t="shared" si="29"/>
        <v>59.05</v>
      </c>
      <c r="Y30"/>
      <c r="Z30"/>
      <c r="AB30"/>
      <c r="AC30"/>
    </row>
    <row r="31" spans="1:34" ht="14.45" customHeight="1">
      <c r="R31" s="264"/>
      <c r="T31"/>
      <c r="U31"/>
      <c r="AA31"/>
      <c r="AB31"/>
      <c r="AE31" s="255"/>
      <c r="AF31" s="251"/>
    </row>
    <row r="32" spans="1:34" ht="14.45" customHeight="1">
      <c r="M32" s="58" t="s">
        <v>884</v>
      </c>
      <c r="S32" s="270"/>
      <c r="T32"/>
      <c r="U32"/>
      <c r="AA32"/>
      <c r="AB32"/>
      <c r="AE32" s="255"/>
      <c r="AF32" s="251"/>
    </row>
    <row r="33" spans="12:36" ht="14.45" customHeight="1">
      <c r="M33" s="813" t="s">
        <v>872</v>
      </c>
      <c r="N33" s="814"/>
      <c r="O33" s="814"/>
      <c r="P33" s="814"/>
      <c r="Q33" s="815"/>
      <c r="R33" s="296"/>
      <c r="V33" s="251"/>
      <c r="X33" s="271"/>
      <c r="Z33"/>
      <c r="AA33"/>
      <c r="AB33"/>
      <c r="AE33" s="255"/>
      <c r="AF33" s="251"/>
    </row>
    <row r="34" spans="12:36" ht="14.45" customHeight="1">
      <c r="M34" s="808" t="s">
        <v>859</v>
      </c>
      <c r="N34" s="816" t="s">
        <v>860</v>
      </c>
      <c r="O34" s="808" t="s">
        <v>861</v>
      </c>
      <c r="P34" s="808" t="s">
        <v>881</v>
      </c>
      <c r="Q34" s="808" t="s">
        <v>610</v>
      </c>
      <c r="R34" s="808" t="s">
        <v>873</v>
      </c>
      <c r="S34" s="808" t="s">
        <v>863</v>
      </c>
      <c r="T34" s="808" t="s">
        <v>874</v>
      </c>
      <c r="U34" s="808" t="s">
        <v>875</v>
      </c>
      <c r="W34" s="811" t="s">
        <v>864</v>
      </c>
      <c r="X34" s="811" t="s">
        <v>870</v>
      </c>
      <c r="Y34" s="811" t="s">
        <v>871</v>
      </c>
      <c r="Z34" s="811" t="s">
        <v>865</v>
      </c>
      <c r="AA34" s="808" t="s">
        <v>874</v>
      </c>
      <c r="AB34" s="808" t="s">
        <v>875</v>
      </c>
      <c r="AC34"/>
      <c r="AD34"/>
      <c r="AE34"/>
      <c r="AF34" s="57"/>
      <c r="AJ34" s="255"/>
    </row>
    <row r="35" spans="12:36">
      <c r="M35" s="809"/>
      <c r="N35" s="817"/>
      <c r="O35" s="809"/>
      <c r="P35" s="809"/>
      <c r="Q35" s="809"/>
      <c r="R35" s="809"/>
      <c r="S35" s="809"/>
      <c r="T35" s="809"/>
      <c r="U35" s="809"/>
      <c r="W35" s="812"/>
      <c r="X35" s="812"/>
      <c r="Y35" s="812"/>
      <c r="Z35" s="812"/>
      <c r="AA35" s="809"/>
      <c r="AB35" s="809"/>
      <c r="AC35"/>
      <c r="AD35"/>
      <c r="AE35"/>
      <c r="AF35" s="57"/>
      <c r="AJ35" s="255"/>
    </row>
    <row r="36" spans="12:36" ht="15" customHeight="1">
      <c r="L36" s="56" t="s">
        <v>482</v>
      </c>
      <c r="M36" s="260">
        <f>M26</f>
        <v>78</v>
      </c>
      <c r="N36" s="261">
        <f>VLOOKUP(N34,$H$5:$J$5,3,0)</f>
        <v>15</v>
      </c>
      <c r="O36" s="261">
        <f>$J$8*M36</f>
        <v>29.6478</v>
      </c>
      <c r="P36" s="261">
        <v>0</v>
      </c>
      <c r="Q36" s="261">
        <f>$J$11*M36+$J$12</f>
        <v>15.615399999999998</v>
      </c>
      <c r="R36" s="261">
        <f>M36*$J$10</f>
        <v>0</v>
      </c>
      <c r="S36" s="261">
        <f>SUM(N36:R36)</f>
        <v>60.263199999999998</v>
      </c>
      <c r="T36" s="261">
        <f>S36-S26</f>
        <v>5.0747999999999962</v>
      </c>
      <c r="U36" s="272">
        <f>T36/S26</f>
        <v>9.1954106297700164E-2</v>
      </c>
      <c r="V36" s="273"/>
      <c r="W36" s="261">
        <f>S36*'UNSG Riders- Current'!$C$4</f>
        <v>0.11353586879999999</v>
      </c>
      <c r="X36" s="261">
        <f>M36*$J$13</f>
        <v>0</v>
      </c>
      <c r="Y36" s="261">
        <f>S36*$J$14</f>
        <v>0</v>
      </c>
      <c r="Z36" s="263">
        <f>ROUND(SUM(S36,W36:Y36),2)</f>
        <v>60.38</v>
      </c>
      <c r="AA36" s="261">
        <f>Z36-X26</f>
        <v>5.0900000000000034</v>
      </c>
      <c r="AB36" s="272">
        <f>AA36/Z36</f>
        <v>8.4299436899635691E-2</v>
      </c>
      <c r="AC36"/>
      <c r="AD36"/>
      <c r="AE36"/>
      <c r="AF36" s="57"/>
      <c r="AJ36" s="255"/>
    </row>
    <row r="37" spans="12:36">
      <c r="L37" s="56" t="s">
        <v>866</v>
      </c>
      <c r="M37" s="260">
        <f t="shared" ref="M37:M40" si="32">M27</f>
        <v>113</v>
      </c>
      <c r="N37" s="261">
        <f>N36</f>
        <v>15</v>
      </c>
      <c r="O37" s="261">
        <f t="shared" ref="O37:O40" si="33">$J$8*M37</f>
        <v>42.951299999999996</v>
      </c>
      <c r="P37" s="261">
        <f>100-M37*$J$8</f>
        <v>57.048700000000004</v>
      </c>
      <c r="Q37" s="261">
        <f t="shared" ref="Q37:Q40" si="34">$J$11*M37+$J$12</f>
        <v>24.865899999999996</v>
      </c>
      <c r="R37" s="261">
        <f t="shared" ref="R37:R40" si="35">M37*$J$10</f>
        <v>0</v>
      </c>
      <c r="S37" s="261">
        <f t="shared" ref="S37:S40" si="36">SUM(N37:R37)</f>
        <v>139.86590000000001</v>
      </c>
      <c r="T37" s="261">
        <f t="shared" ref="T37:T40" si="37">S37-S27</f>
        <v>1.8586999999999989</v>
      </c>
      <c r="U37" s="272">
        <f>T37/S27</f>
        <v>1.3468137894254783E-2</v>
      </c>
      <c r="V37" s="273"/>
      <c r="W37" s="261">
        <f>S37*'UNSG Riders- Current'!$C$4</f>
        <v>0.26350735560000005</v>
      </c>
      <c r="X37" s="261">
        <f t="shared" ref="X37:X40" si="38">M37*$J$13</f>
        <v>0</v>
      </c>
      <c r="Y37" s="261">
        <f t="shared" ref="Y37:Y40" si="39">S37*$J$14</f>
        <v>0</v>
      </c>
      <c r="Z37" s="263">
        <f t="shared" ref="Z37:Z40" si="40">ROUND(SUM(S37,W37:Y37),2)</f>
        <v>140.13</v>
      </c>
      <c r="AA37" s="261">
        <f>Z37-X27</f>
        <v>1.8599999999999852</v>
      </c>
      <c r="AB37" s="272">
        <f>AA37/Z37</f>
        <v>1.3273388995932243E-2</v>
      </c>
      <c r="AC37"/>
      <c r="AD37"/>
      <c r="AE37"/>
      <c r="AF37" s="251"/>
      <c r="AH37" s="255"/>
    </row>
    <row r="38" spans="12:36" ht="15.75" customHeight="1">
      <c r="L38" s="56" t="s">
        <v>520</v>
      </c>
      <c r="M38" s="260">
        <f t="shared" si="32"/>
        <v>149</v>
      </c>
      <c r="N38" s="261">
        <f t="shared" ref="N38:N40" si="41">N37</f>
        <v>15</v>
      </c>
      <c r="O38" s="261">
        <f t="shared" si="33"/>
        <v>56.634900000000002</v>
      </c>
      <c r="P38" s="261">
        <f>100-M38*$J$8</f>
        <v>43.365099999999998</v>
      </c>
      <c r="Q38" s="261">
        <f t="shared" si="34"/>
        <v>34.380699999999997</v>
      </c>
      <c r="R38" s="261">
        <f t="shared" si="35"/>
        <v>0</v>
      </c>
      <c r="S38" s="261">
        <f t="shared" si="36"/>
        <v>149.38069999999999</v>
      </c>
      <c r="T38" s="261">
        <f t="shared" si="37"/>
        <v>1.4950999999999794</v>
      </c>
      <c r="U38" s="272">
        <f>T38/S28</f>
        <v>1.010984166139218E-2</v>
      </c>
      <c r="V38" s="273"/>
      <c r="W38" s="261">
        <f>S38*'UNSG Riders- Current'!$C$4</f>
        <v>0.28143323879999999</v>
      </c>
      <c r="X38" s="261">
        <f t="shared" si="38"/>
        <v>0</v>
      </c>
      <c r="Y38" s="261">
        <f t="shared" si="39"/>
        <v>0</v>
      </c>
      <c r="Z38" s="263">
        <f t="shared" si="40"/>
        <v>149.66</v>
      </c>
      <c r="AA38" s="261">
        <f>Z38-X28</f>
        <v>1.5</v>
      </c>
      <c r="AB38" s="272">
        <f>AA38/Z38</f>
        <v>1.0022718161165308E-2</v>
      </c>
      <c r="AC38"/>
      <c r="AD38"/>
      <c r="AE38"/>
      <c r="AF38" s="251"/>
      <c r="AH38" s="255"/>
    </row>
    <row r="39" spans="12:36">
      <c r="L39" s="56" t="s">
        <v>868</v>
      </c>
      <c r="M39" s="260">
        <f t="shared" si="32"/>
        <v>178</v>
      </c>
      <c r="N39" s="261">
        <f t="shared" si="41"/>
        <v>15</v>
      </c>
      <c r="O39" s="261">
        <f t="shared" si="33"/>
        <v>67.657799999999995</v>
      </c>
      <c r="P39" s="261">
        <f>100-M39*$J$8</f>
        <v>32.342200000000005</v>
      </c>
      <c r="Q39" s="261">
        <f t="shared" si="34"/>
        <v>42.045399999999994</v>
      </c>
      <c r="R39" s="261">
        <f t="shared" si="35"/>
        <v>0</v>
      </c>
      <c r="S39" s="261">
        <f t="shared" si="36"/>
        <v>157.0454</v>
      </c>
      <c r="T39" s="261">
        <f t="shared" si="37"/>
        <v>1.2022000000000048</v>
      </c>
      <c r="U39" s="272">
        <f>T39/S29</f>
        <v>7.7141639802057764E-3</v>
      </c>
      <c r="V39" s="273"/>
      <c r="W39" s="261">
        <f>S39*'UNSG Riders- Current'!$C$4</f>
        <v>0.29587353360000002</v>
      </c>
      <c r="X39" s="261">
        <f t="shared" si="38"/>
        <v>0</v>
      </c>
      <c r="Y39" s="261">
        <f t="shared" si="39"/>
        <v>0</v>
      </c>
      <c r="Z39" s="263">
        <f t="shared" si="40"/>
        <v>157.34</v>
      </c>
      <c r="AA39" s="261">
        <f>Z39-X29</f>
        <v>1.2000000000000171</v>
      </c>
      <c r="AB39" s="272">
        <f>AA39/Z39</f>
        <v>7.6267954747681263E-3</v>
      </c>
      <c r="AC39"/>
      <c r="AD39"/>
      <c r="AE39"/>
      <c r="AF39" s="251"/>
      <c r="AH39" s="255"/>
    </row>
    <row r="40" spans="12:36" ht="14.45" customHeight="1">
      <c r="L40" s="267" t="s">
        <v>877</v>
      </c>
      <c r="M40" s="260">
        <f t="shared" si="32"/>
        <v>84.064252336448604</v>
      </c>
      <c r="N40" s="261">
        <f t="shared" si="41"/>
        <v>15</v>
      </c>
      <c r="O40" s="261">
        <f t="shared" si="33"/>
        <v>31.952822313084113</v>
      </c>
      <c r="P40" s="261">
        <v>0</v>
      </c>
      <c r="Q40" s="261">
        <f t="shared" si="34"/>
        <v>17.218181892523365</v>
      </c>
      <c r="R40" s="261">
        <f t="shared" si="35"/>
        <v>0</v>
      </c>
      <c r="S40" s="261">
        <f t="shared" si="36"/>
        <v>64.171004205607474</v>
      </c>
      <c r="T40" s="261">
        <f t="shared" si="37"/>
        <v>5.2361091121495278</v>
      </c>
      <c r="U40" s="272">
        <f>T40/S30</f>
        <v>8.8845650846517937E-2</v>
      </c>
      <c r="V40" s="273"/>
      <c r="W40" s="261">
        <f>S40*'UNSG Riders- Current'!$C$4</f>
        <v>0.12089817192336448</v>
      </c>
      <c r="X40" s="261">
        <f t="shared" si="38"/>
        <v>0</v>
      </c>
      <c r="Y40" s="261">
        <f t="shared" si="39"/>
        <v>0</v>
      </c>
      <c r="Z40" s="263">
        <f t="shared" si="40"/>
        <v>64.290000000000006</v>
      </c>
      <c r="AA40" s="261">
        <f>Z40-X30</f>
        <v>5.2400000000000091</v>
      </c>
      <c r="AB40" s="272">
        <f>AA40/Z40</f>
        <v>8.1505677399284632E-2</v>
      </c>
      <c r="AC40"/>
      <c r="AD40"/>
      <c r="AE40"/>
      <c r="AF40" s="251"/>
      <c r="AH40" s="255"/>
    </row>
    <row r="41" spans="12:36" ht="14.45" customHeight="1"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E41" s="255"/>
      <c r="AF41" s="251"/>
    </row>
    <row r="42" spans="12:36">
      <c r="M42" s="58" t="s">
        <v>885</v>
      </c>
      <c r="S42" s="270"/>
      <c r="Y42"/>
      <c r="Z42"/>
      <c r="AA42"/>
      <c r="AB42"/>
      <c r="AE42" s="255"/>
      <c r="AF42" s="251"/>
    </row>
    <row r="43" spans="12:36" ht="14.45" customHeight="1">
      <c r="M43" s="813" t="s">
        <v>857</v>
      </c>
      <c r="N43" s="814"/>
      <c r="O43" s="814"/>
      <c r="P43" s="814"/>
      <c r="Q43" s="815"/>
      <c r="R43" s="296"/>
      <c r="V43" s="251"/>
      <c r="X43" s="271"/>
      <c r="Y43"/>
      <c r="Z43"/>
      <c r="AA43"/>
      <c r="AB43"/>
      <c r="AE43" s="255"/>
      <c r="AF43" s="251"/>
    </row>
    <row r="44" spans="12:36" ht="14.45" customHeight="1">
      <c r="M44" s="808" t="s">
        <v>859</v>
      </c>
      <c r="N44" s="816" t="s">
        <v>860</v>
      </c>
      <c r="O44" s="808" t="s">
        <v>861</v>
      </c>
      <c r="P44" s="808" t="s">
        <v>881</v>
      </c>
      <c r="Q44" s="808" t="s">
        <v>610</v>
      </c>
      <c r="R44" s="808" t="s">
        <v>862</v>
      </c>
      <c r="S44" s="808" t="s">
        <v>863</v>
      </c>
      <c r="T44"/>
      <c r="U44"/>
      <c r="W44" s="811" t="s">
        <v>864</v>
      </c>
      <c r="X44" s="811" t="s">
        <v>865</v>
      </c>
      <c r="Y44"/>
      <c r="Z44"/>
      <c r="AA44"/>
      <c r="AB44"/>
      <c r="AC44"/>
    </row>
    <row r="45" spans="12:36">
      <c r="M45" s="809"/>
      <c r="N45" s="817"/>
      <c r="O45" s="809"/>
      <c r="P45" s="809"/>
      <c r="Q45" s="809"/>
      <c r="R45" s="809"/>
      <c r="S45" s="809"/>
      <c r="T45"/>
      <c r="U45"/>
      <c r="W45" s="812"/>
      <c r="X45" s="812"/>
      <c r="Y45"/>
      <c r="Z45"/>
      <c r="AA45"/>
      <c r="AB45"/>
      <c r="AC45"/>
    </row>
    <row r="46" spans="12:36">
      <c r="L46" s="56" t="s">
        <v>482</v>
      </c>
      <c r="M46" s="260">
        <f>'[18]Percentiles_All_Bills July'!$I$3</f>
        <v>10</v>
      </c>
      <c r="N46" s="261">
        <f>VLOOKUP(N44,$H$5:$J$5,2,0)</f>
        <v>7</v>
      </c>
      <c r="O46" s="261">
        <f>$I$9*M46</f>
        <v>1.9339999999999999</v>
      </c>
      <c r="P46" s="261">
        <v>0</v>
      </c>
      <c r="Q46" s="261">
        <f>$I$11*M46</f>
        <v>4.4050000000000002</v>
      </c>
      <c r="R46" s="261">
        <f>M46*$I$10</f>
        <v>-0.161</v>
      </c>
      <c r="S46" s="261">
        <f>SUM(N46:R46)</f>
        <v>13.177999999999999</v>
      </c>
      <c r="T46"/>
      <c r="U46"/>
      <c r="V46" s="273"/>
      <c r="W46" s="261">
        <f>S46*'UNSG Riders- Current'!$C$4</f>
        <v>2.4827352E-2</v>
      </c>
      <c r="X46" s="263">
        <f>ROUND(SUM(S46,W46:W46),2)</f>
        <v>13.2</v>
      </c>
      <c r="Y46"/>
      <c r="Z46"/>
      <c r="AA46"/>
      <c r="AB46"/>
      <c r="AC46"/>
      <c r="AD46" s="57"/>
      <c r="AF46" s="251"/>
      <c r="AH46" s="255"/>
    </row>
    <row r="47" spans="12:36">
      <c r="L47" s="56" t="s">
        <v>866</v>
      </c>
      <c r="M47" s="260">
        <f>'[18]Percentiles_All_Bills July'!$J$3</f>
        <v>16</v>
      </c>
      <c r="N47" s="261">
        <f>N46</f>
        <v>7</v>
      </c>
      <c r="O47" s="261">
        <f t="shared" ref="O47:O50" si="42">$I$9*M47</f>
        <v>3.0943999999999998</v>
      </c>
      <c r="P47" s="261">
        <v>0</v>
      </c>
      <c r="Q47" s="261">
        <f t="shared" ref="Q47:Q50" si="43">$I$11*M47</f>
        <v>7.048</v>
      </c>
      <c r="R47" s="261">
        <f t="shared" ref="R47:R50" si="44">M47*$I$10</f>
        <v>-0.2576</v>
      </c>
      <c r="S47" s="261">
        <f t="shared" ref="S47:S50" si="45">SUM(N47:R47)</f>
        <v>16.884800000000002</v>
      </c>
      <c r="T47"/>
      <c r="U47"/>
      <c r="V47" s="273"/>
      <c r="W47" s="261">
        <f>S47*'UNSG Riders- Current'!$C$4</f>
        <v>3.1810963200000007E-2</v>
      </c>
      <c r="X47" s="263">
        <f t="shared" ref="X47:X50" si="46">ROUND(SUM(S47,W47:W47),2)</f>
        <v>16.920000000000002</v>
      </c>
      <c r="Y47"/>
      <c r="Z47"/>
      <c r="AA47"/>
      <c r="AB47"/>
      <c r="AC47"/>
      <c r="AD47" s="57"/>
      <c r="AF47" s="251"/>
      <c r="AH47" s="255"/>
    </row>
    <row r="48" spans="12:36">
      <c r="L48" s="56" t="s">
        <v>520</v>
      </c>
      <c r="M48" s="260">
        <f>'[18]Percentiles_All_Bills July'!$K$3</f>
        <v>23</v>
      </c>
      <c r="N48" s="261">
        <f t="shared" ref="N48:N50" si="47">N47</f>
        <v>7</v>
      </c>
      <c r="O48" s="261">
        <f t="shared" si="42"/>
        <v>4.4481999999999999</v>
      </c>
      <c r="P48" s="261">
        <v>0</v>
      </c>
      <c r="Q48" s="261">
        <f t="shared" si="43"/>
        <v>10.131500000000001</v>
      </c>
      <c r="R48" s="261">
        <f t="shared" si="44"/>
        <v>-0.37030000000000002</v>
      </c>
      <c r="S48" s="261">
        <f t="shared" si="45"/>
        <v>21.209400000000002</v>
      </c>
      <c r="T48"/>
      <c r="U48"/>
      <c r="V48" s="273"/>
      <c r="W48" s="261">
        <f>S48*'UNSG Riders- Current'!$C$4</f>
        <v>3.9958509600000004E-2</v>
      </c>
      <c r="X48" s="263">
        <f t="shared" si="46"/>
        <v>21.25</v>
      </c>
      <c r="Y48"/>
      <c r="Z48"/>
      <c r="AA48"/>
      <c r="AB48"/>
      <c r="AC48"/>
      <c r="AD48" s="57"/>
      <c r="AF48" s="251"/>
      <c r="AH48" s="255"/>
    </row>
    <row r="49" spans="11:36" ht="15" customHeight="1">
      <c r="L49" s="56" t="s">
        <v>868</v>
      </c>
      <c r="M49" s="260">
        <f>'[18]Percentiles_All_Bills July'!$L$3</f>
        <v>28</v>
      </c>
      <c r="N49" s="261">
        <f t="shared" si="47"/>
        <v>7</v>
      </c>
      <c r="O49" s="261">
        <f t="shared" si="42"/>
        <v>5.4151999999999996</v>
      </c>
      <c r="P49" s="261">
        <v>0</v>
      </c>
      <c r="Q49" s="261">
        <f t="shared" si="43"/>
        <v>12.334</v>
      </c>
      <c r="R49" s="261">
        <f t="shared" si="44"/>
        <v>-0.45079999999999998</v>
      </c>
      <c r="S49" s="261">
        <f t="shared" si="45"/>
        <v>24.298399999999997</v>
      </c>
      <c r="T49"/>
      <c r="U49"/>
      <c r="V49" s="273"/>
      <c r="W49" s="261">
        <f>S49*'UNSG Riders- Current'!$C$4</f>
        <v>4.5778185599999993E-2</v>
      </c>
      <c r="X49" s="263">
        <f t="shared" si="46"/>
        <v>24.34</v>
      </c>
      <c r="Y49"/>
      <c r="Z49"/>
      <c r="AA49"/>
      <c r="AB49"/>
      <c r="AC49"/>
    </row>
    <row r="50" spans="11:36" ht="14.45" customHeight="1">
      <c r="L50" s="267" t="s">
        <v>877</v>
      </c>
      <c r="M50" s="260">
        <f>'[18]Percentiles_All_Bills July'!$O$3</f>
        <v>11.738065128042997</v>
      </c>
      <c r="N50" s="261">
        <f t="shared" si="47"/>
        <v>7</v>
      </c>
      <c r="O50" s="261">
        <f t="shared" si="42"/>
        <v>2.2701417957635157</v>
      </c>
      <c r="P50" s="261">
        <v>0</v>
      </c>
      <c r="Q50" s="261">
        <f t="shared" si="43"/>
        <v>5.17061768890294</v>
      </c>
      <c r="R50" s="261">
        <f t="shared" si="44"/>
        <v>-0.18898284856149225</v>
      </c>
      <c r="S50" s="261">
        <f t="shared" si="45"/>
        <v>14.251776636104964</v>
      </c>
      <c r="T50"/>
      <c r="U50"/>
      <c r="V50" s="273"/>
      <c r="W50" s="261">
        <f>S50*'UNSG Riders- Current'!$C$4</f>
        <v>2.6850347182421751E-2</v>
      </c>
      <c r="X50" s="263">
        <f t="shared" si="46"/>
        <v>14.28</v>
      </c>
      <c r="Y50"/>
      <c r="Z50"/>
      <c r="AA50"/>
      <c r="AB50"/>
      <c r="AC50"/>
    </row>
    <row r="51" spans="11:36">
      <c r="L51" s="264"/>
      <c r="M51" s="264"/>
      <c r="N51" s="264"/>
      <c r="O51" s="264"/>
      <c r="P51" s="264"/>
      <c r="Q51" s="264"/>
      <c r="R51" s="264"/>
      <c r="T51" s="264"/>
      <c r="U51" s="264"/>
      <c r="V51" s="264"/>
      <c r="X51" s="268"/>
      <c r="Y51"/>
      <c r="Z51"/>
      <c r="AA51"/>
      <c r="AB51"/>
      <c r="AE51" s="255"/>
      <c r="AF51" s="251"/>
    </row>
    <row r="52" spans="11:36">
      <c r="K52" s="278"/>
      <c r="M52" s="58" t="s">
        <v>885</v>
      </c>
      <c r="S52" s="270"/>
      <c r="Y52"/>
      <c r="Z52"/>
      <c r="AA52"/>
      <c r="AB52"/>
      <c r="AE52" s="255"/>
      <c r="AF52" s="251"/>
    </row>
    <row r="53" spans="11:36" ht="14.45" customHeight="1">
      <c r="M53" s="813" t="s">
        <v>872</v>
      </c>
      <c r="N53" s="814"/>
      <c r="O53" s="814"/>
      <c r="P53" s="814"/>
      <c r="Q53" s="815"/>
      <c r="R53" s="296"/>
      <c r="V53" s="251"/>
      <c r="X53" s="271"/>
      <c r="Y53"/>
      <c r="Z53"/>
      <c r="AA53"/>
      <c r="AB53"/>
      <c r="AE53" s="255"/>
      <c r="AF53" s="251"/>
    </row>
    <row r="54" spans="11:36" ht="14.45" customHeight="1">
      <c r="M54" s="808" t="s">
        <v>859</v>
      </c>
      <c r="N54" s="816" t="s">
        <v>860</v>
      </c>
      <c r="O54" s="808" t="s">
        <v>861</v>
      </c>
      <c r="P54" s="808" t="s">
        <v>881</v>
      </c>
      <c r="Q54" s="808" t="s">
        <v>610</v>
      </c>
      <c r="R54" s="808" t="s">
        <v>873</v>
      </c>
      <c r="S54" s="808" t="s">
        <v>863</v>
      </c>
      <c r="T54" s="808" t="s">
        <v>874</v>
      </c>
      <c r="U54" s="808" t="s">
        <v>875</v>
      </c>
      <c r="W54" s="811" t="s">
        <v>864</v>
      </c>
      <c r="X54" s="811" t="s">
        <v>870</v>
      </c>
      <c r="Y54" s="811" t="s">
        <v>886</v>
      </c>
      <c r="Z54" s="811" t="s">
        <v>865</v>
      </c>
      <c r="AA54" s="808" t="s">
        <v>874</v>
      </c>
      <c r="AB54" s="808" t="s">
        <v>875</v>
      </c>
      <c r="AC54"/>
      <c r="AD54"/>
      <c r="AE54"/>
      <c r="AF54" s="251"/>
      <c r="AH54" s="255"/>
    </row>
    <row r="55" spans="11:36">
      <c r="M55" s="809"/>
      <c r="N55" s="817"/>
      <c r="O55" s="809"/>
      <c r="P55" s="809"/>
      <c r="Q55" s="809"/>
      <c r="R55" s="809"/>
      <c r="S55" s="809"/>
      <c r="T55" s="809"/>
      <c r="U55" s="809"/>
      <c r="W55" s="812"/>
      <c r="X55" s="812"/>
      <c r="Y55" s="812"/>
      <c r="Z55" s="812"/>
      <c r="AA55" s="809"/>
      <c r="AB55" s="809"/>
      <c r="AC55"/>
      <c r="AD55"/>
      <c r="AE55"/>
      <c r="AF55" s="251"/>
      <c r="AH55" s="255"/>
    </row>
    <row r="56" spans="11:36">
      <c r="L56" s="56" t="s">
        <v>482</v>
      </c>
      <c r="M56" s="260">
        <f>M46</f>
        <v>10</v>
      </c>
      <c r="N56" s="261">
        <f>VLOOKUP(N54,$H$5:$J$5,3,0)</f>
        <v>15</v>
      </c>
      <c r="O56" s="261">
        <f>$J$8*M56</f>
        <v>3.8010000000000002</v>
      </c>
      <c r="P56" s="261">
        <v>0</v>
      </c>
      <c r="Q56" s="261">
        <f>$J$11*M56+$J$12</f>
        <v>-2.3570000000000002</v>
      </c>
      <c r="R56" s="261">
        <f>M56*$J$10</f>
        <v>0</v>
      </c>
      <c r="S56" s="261">
        <f>SUM(N56:R56)</f>
        <v>16.444000000000003</v>
      </c>
      <c r="T56" s="261">
        <f>S56-S46</f>
        <v>3.2660000000000036</v>
      </c>
      <c r="U56" s="272">
        <f>T56/S46</f>
        <v>0.24783730459857367</v>
      </c>
      <c r="V56" s="273"/>
      <c r="W56" s="261">
        <f>S56*'UNSG Riders- Current'!$C$4</f>
        <v>3.0980496000000007E-2</v>
      </c>
      <c r="X56" s="261">
        <f>M56*$J$13</f>
        <v>0</v>
      </c>
      <c r="Y56" s="261">
        <f>S56*$J$14</f>
        <v>0</v>
      </c>
      <c r="Z56" s="263">
        <f>ROUND(SUM(S56,W56:Y56),2)</f>
        <v>16.47</v>
      </c>
      <c r="AA56" s="261">
        <f>Z56-X46</f>
        <v>3.2699999999999996</v>
      </c>
      <c r="AB56" s="272">
        <f>AA56/X46</f>
        <v>0.24772727272727271</v>
      </c>
      <c r="AC56"/>
      <c r="AD56"/>
      <c r="AE56"/>
      <c r="AF56" s="251"/>
      <c r="AH56" s="255"/>
    </row>
    <row r="57" spans="11:36">
      <c r="L57" s="56" t="s">
        <v>866</v>
      </c>
      <c r="M57" s="260">
        <f t="shared" ref="M57:M60" si="48">M47</f>
        <v>16</v>
      </c>
      <c r="N57" s="261">
        <f>N56</f>
        <v>15</v>
      </c>
      <c r="O57" s="261">
        <f t="shared" ref="O57:O60" si="49">$J$8*M57</f>
        <v>6.0815999999999999</v>
      </c>
      <c r="P57" s="261">
        <v>0</v>
      </c>
      <c r="Q57" s="261">
        <f t="shared" ref="Q57:Q60" si="50">$J$11*M57+$J$12</f>
        <v>-0.77120000000000033</v>
      </c>
      <c r="R57" s="261">
        <f t="shared" ref="R57:R60" si="51">M57*$J$10</f>
        <v>0</v>
      </c>
      <c r="S57" s="261">
        <f t="shared" ref="S57:S60" si="52">SUM(N57:R57)</f>
        <v>20.310400000000001</v>
      </c>
      <c r="T57" s="261">
        <f t="shared" ref="T57:T60" si="53">S57-S47</f>
        <v>3.4255999999999993</v>
      </c>
      <c r="U57" s="272">
        <f>T57/S47</f>
        <v>0.20288069743200979</v>
      </c>
      <c r="V57" s="273"/>
      <c r="W57" s="261">
        <f>S57*'UNSG Riders- Current'!$C$4</f>
        <v>3.8264793600000006E-2</v>
      </c>
      <c r="X57" s="261">
        <f t="shared" ref="X57:X60" si="54">M57*$J$13</f>
        <v>0</v>
      </c>
      <c r="Y57" s="261">
        <f t="shared" ref="Y57:Y60" si="55">S57*$J$14</f>
        <v>0</v>
      </c>
      <c r="Z57" s="263">
        <f t="shared" ref="Z57:Z60" si="56">ROUND(SUM(S57,W57:Y57),2)</f>
        <v>20.350000000000001</v>
      </c>
      <c r="AA57" s="261">
        <f>Z57-X47</f>
        <v>3.4299999999999997</v>
      </c>
      <c r="AB57" s="272">
        <f t="shared" ref="AB57:AB60" si="57">AA57/X47</f>
        <v>0.2027186761229314</v>
      </c>
      <c r="AC57"/>
      <c r="AD57"/>
      <c r="AE57"/>
      <c r="AF57" s="251"/>
      <c r="AH57" s="255"/>
    </row>
    <row r="58" spans="11:36">
      <c r="L58" s="56" t="s">
        <v>520</v>
      </c>
      <c r="M58" s="260">
        <f t="shared" si="48"/>
        <v>23</v>
      </c>
      <c r="N58" s="261">
        <f t="shared" ref="N58:N60" si="58">N57</f>
        <v>15</v>
      </c>
      <c r="O58" s="261">
        <f t="shared" si="49"/>
        <v>8.7423000000000002</v>
      </c>
      <c r="P58" s="261">
        <v>0</v>
      </c>
      <c r="Q58" s="261">
        <f t="shared" si="50"/>
        <v>1.0788999999999991</v>
      </c>
      <c r="R58" s="261">
        <f t="shared" si="51"/>
        <v>0</v>
      </c>
      <c r="S58" s="261">
        <f t="shared" si="52"/>
        <v>24.821199999999997</v>
      </c>
      <c r="T58" s="261">
        <f t="shared" si="53"/>
        <v>3.6117999999999952</v>
      </c>
      <c r="U58" s="272">
        <f>T58/S48</f>
        <v>0.17029241751298929</v>
      </c>
      <c r="V58" s="273"/>
      <c r="W58" s="261">
        <f>S58*'UNSG Riders- Current'!$C$4</f>
        <v>4.6763140799999998E-2</v>
      </c>
      <c r="X58" s="261">
        <f t="shared" si="54"/>
        <v>0</v>
      </c>
      <c r="Y58" s="261">
        <f t="shared" si="55"/>
        <v>0</v>
      </c>
      <c r="Z58" s="263">
        <f t="shared" si="56"/>
        <v>24.87</v>
      </c>
      <c r="AA58" s="261">
        <f>Z58-X48</f>
        <v>3.620000000000001</v>
      </c>
      <c r="AB58" s="272">
        <f t="shared" si="57"/>
        <v>0.17035294117647062</v>
      </c>
      <c r="AC58"/>
      <c r="AD58"/>
      <c r="AE58"/>
      <c r="AF58" s="251"/>
      <c r="AH58" s="255"/>
    </row>
    <row r="59" spans="11:36">
      <c r="L59" s="56" t="s">
        <v>868</v>
      </c>
      <c r="M59" s="260">
        <f t="shared" si="48"/>
        <v>28</v>
      </c>
      <c r="N59" s="261">
        <f t="shared" si="58"/>
        <v>15</v>
      </c>
      <c r="O59" s="261">
        <f t="shared" si="49"/>
        <v>10.642799999999999</v>
      </c>
      <c r="P59" s="261">
        <v>0</v>
      </c>
      <c r="Q59" s="261">
        <f t="shared" si="50"/>
        <v>2.4003999999999994</v>
      </c>
      <c r="R59" s="261">
        <f t="shared" si="51"/>
        <v>0</v>
      </c>
      <c r="S59" s="261">
        <f t="shared" si="52"/>
        <v>28.043199999999999</v>
      </c>
      <c r="T59" s="261">
        <f t="shared" si="53"/>
        <v>3.7448000000000015</v>
      </c>
      <c r="U59" s="272">
        <f>T59/S49</f>
        <v>0.1541171435156225</v>
      </c>
      <c r="V59" s="273"/>
      <c r="W59" s="261">
        <f>S59*'UNSG Riders- Current'!$C$4</f>
        <v>5.2833388799999999E-2</v>
      </c>
      <c r="X59" s="261">
        <f t="shared" si="54"/>
        <v>0</v>
      </c>
      <c r="Y59" s="261">
        <f t="shared" si="55"/>
        <v>0</v>
      </c>
      <c r="Z59" s="263">
        <f t="shared" si="56"/>
        <v>28.1</v>
      </c>
      <c r="AA59" s="261">
        <f>Z59-X49</f>
        <v>3.7600000000000016</v>
      </c>
      <c r="AB59" s="272">
        <f t="shared" si="57"/>
        <v>0.15447822514379628</v>
      </c>
      <c r="AC59"/>
      <c r="AD59"/>
      <c r="AE59"/>
      <c r="AF59" s="57"/>
      <c r="AJ59" s="255"/>
    </row>
    <row r="60" spans="11:36">
      <c r="L60" s="267" t="s">
        <v>877</v>
      </c>
      <c r="M60" s="260">
        <f t="shared" si="48"/>
        <v>11.738065128042997</v>
      </c>
      <c r="N60" s="261">
        <f t="shared" si="58"/>
        <v>15</v>
      </c>
      <c r="O60" s="261">
        <f t="shared" si="49"/>
        <v>4.4616385551691433</v>
      </c>
      <c r="P60" s="261">
        <v>0</v>
      </c>
      <c r="Q60" s="261">
        <f t="shared" si="50"/>
        <v>-1.8976293866582359</v>
      </c>
      <c r="R60" s="261">
        <f t="shared" si="51"/>
        <v>0</v>
      </c>
      <c r="S60" s="261">
        <f t="shared" si="52"/>
        <v>17.564009168510911</v>
      </c>
      <c r="T60" s="261">
        <f t="shared" si="53"/>
        <v>3.3122325324059467</v>
      </c>
      <c r="U60" s="272">
        <f>T60/S50</f>
        <v>0.23240839489547219</v>
      </c>
      <c r="V60" s="273"/>
      <c r="W60" s="261">
        <f>S60*'UNSG Riders- Current'!$C$4</f>
        <v>3.3090593273474557E-2</v>
      </c>
      <c r="X60" s="261">
        <f t="shared" si="54"/>
        <v>0</v>
      </c>
      <c r="Y60" s="261">
        <f t="shared" si="55"/>
        <v>0</v>
      </c>
      <c r="Z60" s="263">
        <f t="shared" si="56"/>
        <v>17.600000000000001</v>
      </c>
      <c r="AA60" s="261">
        <f>Z60-X50</f>
        <v>3.3200000000000021</v>
      </c>
      <c r="AB60" s="272">
        <f t="shared" si="57"/>
        <v>0.2324929971988797</v>
      </c>
      <c r="AC60"/>
      <c r="AD60"/>
      <c r="AE60"/>
      <c r="AF60" s="57"/>
      <c r="AJ60" s="255"/>
    </row>
    <row r="61" spans="11:36" ht="15" customHeight="1">
      <c r="X61"/>
      <c r="Y61"/>
      <c r="Z61"/>
      <c r="AA61"/>
      <c r="AB61" s="251"/>
      <c r="AD61" s="255"/>
      <c r="AF61" s="251"/>
    </row>
    <row r="62" spans="11:36" ht="21.75" customHeight="1">
      <c r="L62"/>
      <c r="M62"/>
      <c r="N62"/>
      <c r="O62"/>
      <c r="P62"/>
      <c r="Q62"/>
      <c r="R62"/>
      <c r="S62"/>
      <c r="T62"/>
      <c r="U62"/>
      <c r="X62"/>
      <c r="Y62"/>
      <c r="Z62"/>
      <c r="AA62"/>
      <c r="AB62" s="251"/>
      <c r="AD62" s="255"/>
      <c r="AF62" s="251"/>
    </row>
    <row r="63" spans="11:36"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 s="251"/>
      <c r="AD63" s="255"/>
      <c r="AF63" s="251"/>
    </row>
    <row r="64" spans="11:36"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 s="251"/>
      <c r="AD64" s="255"/>
      <c r="AF64" s="251"/>
    </row>
    <row r="65" spans="12:32"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 s="251"/>
      <c r="AD65" s="255"/>
      <c r="AF65" s="251"/>
    </row>
    <row r="66" spans="12:32"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 s="251"/>
      <c r="AD66" s="255"/>
      <c r="AF66" s="251"/>
    </row>
    <row r="67" spans="12:32"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 s="251"/>
      <c r="AD67" s="255"/>
      <c r="AF67" s="251"/>
    </row>
    <row r="68" spans="12:32"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 s="251"/>
      <c r="AD68" s="255"/>
      <c r="AF68" s="251"/>
    </row>
    <row r="69" spans="12:32"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 s="251"/>
      <c r="AD69" s="255"/>
      <c r="AF69" s="251"/>
    </row>
    <row r="70" spans="12:32"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 s="251"/>
      <c r="AD70" s="255"/>
      <c r="AF70" s="251"/>
    </row>
    <row r="71" spans="12:32">
      <c r="L71"/>
      <c r="M71"/>
      <c r="N71"/>
      <c r="O71"/>
      <c r="P71"/>
      <c r="Q71"/>
      <c r="R71"/>
      <c r="S71"/>
      <c r="T71"/>
      <c r="U71"/>
      <c r="V71"/>
      <c r="W71"/>
      <c r="X71"/>
      <c r="Y71"/>
    </row>
    <row r="72" spans="12:32">
      <c r="L72"/>
      <c r="M72"/>
      <c r="N72"/>
      <c r="O72"/>
      <c r="P72"/>
      <c r="Q72"/>
      <c r="R72"/>
      <c r="S72"/>
      <c r="T72"/>
      <c r="U72"/>
      <c r="V72"/>
      <c r="W72"/>
      <c r="X72"/>
      <c r="Y72"/>
    </row>
    <row r="73" spans="12:32">
      <c r="L73"/>
      <c r="M73"/>
      <c r="N73"/>
      <c r="O73"/>
      <c r="P73"/>
      <c r="Q73"/>
      <c r="R73"/>
      <c r="S73"/>
      <c r="T73"/>
      <c r="U73"/>
      <c r="V73"/>
      <c r="W73"/>
      <c r="X73"/>
      <c r="Y73"/>
    </row>
    <row r="74" spans="12:32">
      <c r="L74"/>
      <c r="M74"/>
      <c r="N74"/>
      <c r="O74"/>
      <c r="P74"/>
      <c r="Q74"/>
      <c r="R74"/>
      <c r="S74"/>
      <c r="T74"/>
      <c r="U74"/>
      <c r="V74"/>
      <c r="W74"/>
      <c r="X74"/>
      <c r="Y74"/>
    </row>
    <row r="75" spans="12:32">
      <c r="L75"/>
      <c r="M75"/>
      <c r="N75"/>
      <c r="O75"/>
      <c r="P75"/>
      <c r="Q75"/>
      <c r="R75"/>
      <c r="S75"/>
      <c r="T75"/>
      <c r="U75"/>
      <c r="V75"/>
      <c r="W75"/>
      <c r="X75"/>
      <c r="Y75"/>
    </row>
    <row r="76" spans="12:32">
      <c r="L76"/>
      <c r="M76"/>
      <c r="N76"/>
      <c r="O76"/>
      <c r="P76"/>
      <c r="Q76"/>
      <c r="R76"/>
      <c r="S76"/>
      <c r="T76"/>
      <c r="U76"/>
      <c r="V76"/>
      <c r="W76"/>
      <c r="X76"/>
      <c r="Y76"/>
    </row>
    <row r="77" spans="12:32">
      <c r="L77"/>
      <c r="M77"/>
      <c r="N77"/>
      <c r="O77"/>
      <c r="P77"/>
      <c r="Q77"/>
      <c r="R77"/>
      <c r="S77"/>
      <c r="T77"/>
      <c r="U77"/>
      <c r="V77"/>
      <c r="W77"/>
      <c r="X77"/>
      <c r="Y77"/>
    </row>
    <row r="78" spans="12:32">
      <c r="L78"/>
      <c r="M78"/>
      <c r="N78"/>
      <c r="O78"/>
      <c r="P78"/>
      <c r="Q78"/>
      <c r="R78"/>
      <c r="S78"/>
      <c r="T78"/>
      <c r="U78"/>
      <c r="V78"/>
      <c r="W78"/>
      <c r="X78"/>
      <c r="Y78"/>
    </row>
    <row r="79" spans="12:32">
      <c r="L79"/>
      <c r="M79"/>
      <c r="N79"/>
      <c r="O79"/>
      <c r="P79"/>
      <c r="Q79"/>
      <c r="R79"/>
      <c r="S79"/>
      <c r="T79"/>
      <c r="U79"/>
      <c r="V79"/>
      <c r="W79"/>
      <c r="X79"/>
      <c r="Y79"/>
    </row>
    <row r="80" spans="12:32">
      <c r="L80"/>
      <c r="M80"/>
      <c r="N80"/>
      <c r="O80"/>
      <c r="P80"/>
      <c r="Q80"/>
      <c r="R80"/>
      <c r="S80"/>
      <c r="T80"/>
      <c r="U80"/>
      <c r="V80"/>
      <c r="W80"/>
      <c r="X80"/>
      <c r="Y80"/>
    </row>
  </sheetData>
  <mergeCells count="79">
    <mergeCell ref="S54:S55"/>
    <mergeCell ref="T54:T55"/>
    <mergeCell ref="AB54:AB55"/>
    <mergeCell ref="U54:U55"/>
    <mergeCell ref="W54:W55"/>
    <mergeCell ref="X54:X55"/>
    <mergeCell ref="Y54:Y55"/>
    <mergeCell ref="Z54:Z55"/>
    <mergeCell ref="AA54:AA55"/>
    <mergeCell ref="M53:Q53"/>
    <mergeCell ref="M54:M55"/>
    <mergeCell ref="N54:N55"/>
    <mergeCell ref="O54:O55"/>
    <mergeCell ref="P54:P55"/>
    <mergeCell ref="Q54:Q55"/>
    <mergeCell ref="AB34:AB35"/>
    <mergeCell ref="M43:Q43"/>
    <mergeCell ref="M44:M45"/>
    <mergeCell ref="N44:N45"/>
    <mergeCell ref="O44:O45"/>
    <mergeCell ref="P44:P45"/>
    <mergeCell ref="Q44:Q45"/>
    <mergeCell ref="S44:S45"/>
    <mergeCell ref="S34:S35"/>
    <mergeCell ref="T34:T35"/>
    <mergeCell ref="U34:U35"/>
    <mergeCell ref="W34:W35"/>
    <mergeCell ref="X34:X35"/>
    <mergeCell ref="Y34:Y35"/>
    <mergeCell ref="W44:W45"/>
    <mergeCell ref="X44:X45"/>
    <mergeCell ref="O34:O35"/>
    <mergeCell ref="P34:P35"/>
    <mergeCell ref="Q34:Q35"/>
    <mergeCell ref="Z34:Z35"/>
    <mergeCell ref="AA34:AA35"/>
    <mergeCell ref="AB14:AB15"/>
    <mergeCell ref="M23:Q23"/>
    <mergeCell ref="M24:M25"/>
    <mergeCell ref="N24:N25"/>
    <mergeCell ref="O24:O25"/>
    <mergeCell ref="P24:P25"/>
    <mergeCell ref="Q24:Q25"/>
    <mergeCell ref="S24:S25"/>
    <mergeCell ref="W24:W25"/>
    <mergeCell ref="X24:X25"/>
    <mergeCell ref="U14:U15"/>
    <mergeCell ref="W14:W15"/>
    <mergeCell ref="X14:X15"/>
    <mergeCell ref="Y14:Y15"/>
    <mergeCell ref="Z14:Z15"/>
    <mergeCell ref="AA14:AA15"/>
    <mergeCell ref="W4:W5"/>
    <mergeCell ref="X4:X5"/>
    <mergeCell ref="M13:Q13"/>
    <mergeCell ref="M14:M15"/>
    <mergeCell ref="N14:N15"/>
    <mergeCell ref="O14:O15"/>
    <mergeCell ref="P14:P15"/>
    <mergeCell ref="Q14:Q15"/>
    <mergeCell ref="S14:S15"/>
    <mergeCell ref="T14:T15"/>
    <mergeCell ref="R14:R15"/>
    <mergeCell ref="R24:R25"/>
    <mergeCell ref="R34:R35"/>
    <mergeCell ref="R44:R45"/>
    <mergeCell ref="R54:R55"/>
    <mergeCell ref="L1:T1"/>
    <mergeCell ref="M3:Q3"/>
    <mergeCell ref="M4:M5"/>
    <mergeCell ref="N4:N5"/>
    <mergeCell ref="O4:O5"/>
    <mergeCell ref="P4:P5"/>
    <mergeCell ref="Q4:Q5"/>
    <mergeCell ref="S4:S5"/>
    <mergeCell ref="R4:R5"/>
    <mergeCell ref="M33:Q33"/>
    <mergeCell ref="M34:M35"/>
    <mergeCell ref="N34:N35"/>
  </mergeCells>
  <conditionalFormatting sqref="J13">
    <cfRule type="containsBlanks" dxfId="125" priority="1">
      <formula>LEN(TRIM(J13))=0</formula>
    </cfRule>
  </conditionalFormatting>
  <printOptions horizontalCentered="1"/>
  <pageMargins left="0.45" right="0.45" top="1.25" bottom="0.75" header="0.5" footer="0.3"/>
  <pageSetup scale="91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1" max="27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861C5-A96F-4197-948A-ADA1051A259F}">
  <sheetPr codeName="Sheet33">
    <tabColor rgb="FFFFFF00"/>
    <pageSetUpPr fitToPage="1"/>
  </sheetPr>
  <dimension ref="A1:AG70"/>
  <sheetViews>
    <sheetView zoomScale="90" zoomScaleNormal="90" zoomScaleSheetLayoutView="70" workbookViewId="0">
      <selection activeCell="B6" sqref="B6"/>
    </sheetView>
  </sheetViews>
  <sheetFormatPr defaultColWidth="9.28515625" defaultRowHeight="15"/>
  <cols>
    <col min="1" max="4" width="9.28515625" style="251" customWidth="1"/>
    <col min="5" max="5" width="12.5703125" style="251" customWidth="1"/>
    <col min="6" max="6" width="14.42578125" style="251" customWidth="1"/>
    <col min="7" max="7" width="20.28515625" style="251" customWidth="1"/>
    <col min="8" max="8" width="22.42578125" style="57" customWidth="1"/>
    <col min="9" max="10" width="9.7109375" style="57" bestFit="1" customWidth="1"/>
    <col min="11" max="11" width="3.42578125" style="57" customWidth="1"/>
    <col min="12" max="12" width="9.7109375" style="57" bestFit="1" customWidth="1"/>
    <col min="13" max="17" width="10.28515625" style="57" customWidth="1"/>
    <col min="18" max="18" width="8.28515625" style="57" customWidth="1"/>
    <col min="19" max="19" width="6.85546875" style="57" bestFit="1" customWidth="1"/>
    <col min="20" max="20" width="7.5703125" style="57" bestFit="1" customWidth="1"/>
    <col min="21" max="21" width="7.5703125" style="57" customWidth="1"/>
    <col min="22" max="22" width="7" style="57" bestFit="1" customWidth="1"/>
    <col min="23" max="28" width="7.5703125" style="57" customWidth="1"/>
    <col min="29" max="31" width="9.28515625" style="251"/>
    <col min="32" max="32" width="9.28515625" style="255"/>
    <col min="33" max="16384" width="9.28515625" style="251"/>
  </cols>
  <sheetData>
    <row r="1" spans="1:33">
      <c r="H1" s="57" t="s">
        <v>854</v>
      </c>
      <c r="I1" s="240" t="s">
        <v>777</v>
      </c>
      <c r="J1" s="56" t="s">
        <v>540</v>
      </c>
      <c r="L1" s="818" t="s">
        <v>887</v>
      </c>
      <c r="M1" s="818"/>
      <c r="N1" s="818"/>
      <c r="O1" s="818"/>
      <c r="P1" s="818"/>
      <c r="Q1" s="818"/>
      <c r="R1" s="818"/>
      <c r="S1" s="818"/>
      <c r="T1" s="818"/>
      <c r="U1" s="253"/>
      <c r="V1" s="254"/>
    </row>
    <row r="2" spans="1:33">
      <c r="M2" s="256" t="s">
        <v>856</v>
      </c>
    </row>
    <row r="3" spans="1:33" ht="15" customHeight="1">
      <c r="J3" s="100"/>
      <c r="M3" s="819" t="s">
        <v>857</v>
      </c>
      <c r="N3" s="820"/>
      <c r="O3" s="820"/>
      <c r="P3" s="821"/>
      <c r="Q3" s="296"/>
      <c r="U3" s="251"/>
      <c r="AA3" s="251"/>
      <c r="AB3" s="251"/>
      <c r="AD3" s="255"/>
      <c r="AF3" s="251"/>
    </row>
    <row r="4" spans="1:33" ht="21.75" customHeight="1">
      <c r="A4" s="251" t="s">
        <v>598</v>
      </c>
      <c r="B4" s="251" t="s">
        <v>599</v>
      </c>
      <c r="C4" s="251" t="s">
        <v>587</v>
      </c>
      <c r="D4" s="251" t="s">
        <v>880</v>
      </c>
      <c r="E4" s="251" t="s">
        <v>600</v>
      </c>
      <c r="F4" s="251" t="s">
        <v>601</v>
      </c>
      <c r="G4" s="251" t="s">
        <v>858</v>
      </c>
      <c r="I4" s="257" t="s">
        <v>828</v>
      </c>
      <c r="J4" s="257" t="s">
        <v>551</v>
      </c>
      <c r="M4" s="810" t="s">
        <v>859</v>
      </c>
      <c r="N4" s="822" t="s">
        <v>860</v>
      </c>
      <c r="O4" s="810" t="s">
        <v>861</v>
      </c>
      <c r="P4" s="810" t="s">
        <v>610</v>
      </c>
      <c r="Q4" s="808" t="s">
        <v>862</v>
      </c>
      <c r="R4" s="810" t="s">
        <v>863</v>
      </c>
      <c r="V4" s="811" t="s">
        <v>864</v>
      </c>
      <c r="W4" s="811" t="s">
        <v>865</v>
      </c>
      <c r="AB4" s="251"/>
      <c r="AE4" s="255"/>
      <c r="AF4" s="251"/>
    </row>
    <row r="5" spans="1:33">
      <c r="A5" s="100">
        <v>41030</v>
      </c>
      <c r="B5" s="100">
        <v>46082</v>
      </c>
      <c r="C5" s="251" t="str">
        <f>J1</f>
        <v>GRCNG</v>
      </c>
      <c r="D5" s="251" t="s">
        <v>516</v>
      </c>
      <c r="E5" s="100" t="str">
        <f t="shared" ref="E5:E11" si="0">IF(C5="","",A5&amp;$C5)</f>
        <v>41030GRCNG</v>
      </c>
      <c r="F5" s="100" t="str">
        <f>IF(D5="","",B5&amp;$D5)</f>
        <v>46082GRRES</v>
      </c>
      <c r="G5" s="251" t="str">
        <f>IFERROR(IF(VLOOKUP(H5,Lookup!$A$1:$B$200,2,0)="","",VLOOKUP(H5,Lookup!$A$1:$B$200,2,0)),"")</f>
        <v>BASIC_SERVICE_CHARGE</v>
      </c>
      <c r="H5" s="258" t="s">
        <v>607</v>
      </c>
      <c r="I5" s="259">
        <f>VLOOKUP(E5,'UNSG - ALL RATES'!$A$1:$DF$43,MATCH($G5,'UNSG - ALL RATES'!$A$2:$DF$2,0),0)</f>
        <v>10</v>
      </c>
      <c r="J5" s="259">
        <f>VLOOKUP(F5,'UNSG - ALL RATES'!$A$1:$DF$43,MATCH($G5,'UNSG - ALL RATES'!$A$2:$DF$2,0),0)</f>
        <v>11.94</v>
      </c>
      <c r="K5" s="259"/>
      <c r="M5" s="810"/>
      <c r="N5" s="822"/>
      <c r="O5" s="810"/>
      <c r="P5" s="810"/>
      <c r="Q5" s="809"/>
      <c r="R5" s="810"/>
      <c r="U5" s="251"/>
      <c r="V5" s="812"/>
      <c r="W5" s="812"/>
      <c r="AA5" s="251"/>
      <c r="AB5" s="251"/>
      <c r="AD5" s="255"/>
      <c r="AF5" s="251"/>
    </row>
    <row r="6" spans="1:33">
      <c r="A6" s="100">
        <v>41030</v>
      </c>
      <c r="B6" s="100">
        <f>$B$5</f>
        <v>46082</v>
      </c>
      <c r="C6" s="251" t="str">
        <f>C5</f>
        <v>GRCNG</v>
      </c>
      <c r="D6" s="251" t="s">
        <v>516</v>
      </c>
      <c r="E6" s="100" t="str">
        <f t="shared" si="0"/>
        <v>41030GRCNG</v>
      </c>
      <c r="F6" s="100" t="str">
        <f t="shared" ref="F6:F11" si="1">IF(D6="","",B6&amp;$D6)</f>
        <v>46082GRRES</v>
      </c>
      <c r="G6" s="251" t="str">
        <f>IFERROR(IF(VLOOKUP(H6,Lookup!$A$1:$B$200,2,0)="","",VLOOKUP(H6,Lookup!$A$1:$B$200,2,0)),"")</f>
        <v/>
      </c>
      <c r="H6" s="258"/>
      <c r="I6" s="259"/>
      <c r="J6" s="259"/>
      <c r="K6" s="259"/>
      <c r="L6" s="56" t="s">
        <v>482</v>
      </c>
      <c r="M6" s="260">
        <f>AVERAGE(M25,M43)</f>
        <v>0</v>
      </c>
      <c r="N6" s="261">
        <f>VLOOKUP(N4,$H$5:$J$5,2,0)</f>
        <v>10</v>
      </c>
      <c r="O6" s="261">
        <f>$I$8*M6</f>
        <v>0</v>
      </c>
      <c r="P6" s="261">
        <f>$I$10*M6</f>
        <v>0</v>
      </c>
      <c r="Q6" s="261">
        <f>M6*$I$9</f>
        <v>0</v>
      </c>
      <c r="R6" s="261">
        <f>SUM(N6:Q6)</f>
        <v>10</v>
      </c>
      <c r="U6" s="262"/>
      <c r="V6" s="261">
        <v>1.2489999999999999E-2</v>
      </c>
      <c r="W6" s="263">
        <f>ROUND(SUM(R6,V6:V6),2)</f>
        <v>10.01</v>
      </c>
      <c r="Z6" s="262"/>
      <c r="AA6" s="251"/>
      <c r="AB6" s="251"/>
      <c r="AD6" s="255"/>
      <c r="AF6" s="251"/>
    </row>
    <row r="7" spans="1:33">
      <c r="A7" s="100">
        <v>41030</v>
      </c>
      <c r="B7" s="100">
        <f t="shared" ref="B7:B18" si="2">$B$5</f>
        <v>46082</v>
      </c>
      <c r="C7" s="251" t="str">
        <f t="shared" ref="C7:C18" si="3">C6</f>
        <v>GRCNG</v>
      </c>
      <c r="D7" s="251" t="s">
        <v>516</v>
      </c>
      <c r="E7" s="100" t="str">
        <f t="shared" si="0"/>
        <v>41030GRCNG</v>
      </c>
      <c r="F7" s="100" t="str">
        <f t="shared" si="1"/>
        <v>46082GRRES</v>
      </c>
      <c r="G7" s="251" t="str">
        <f>IFERROR(IF(VLOOKUP(H7,Lookup!$A$1:$B$200,2,0)="","",VLOOKUP(H7,Lookup!$A$1:$B$200,2,0)),"")</f>
        <v/>
      </c>
      <c r="H7" s="258" t="s">
        <v>512</v>
      </c>
      <c r="I7" s="259"/>
      <c r="J7" s="259"/>
      <c r="K7" s="264"/>
      <c r="L7" s="56" t="s">
        <v>866</v>
      </c>
      <c r="M7" s="260">
        <f t="shared" ref="M7:M10" si="4">AVERAGE(M26,M44)</f>
        <v>11.5</v>
      </c>
      <c r="N7" s="261">
        <f>N6</f>
        <v>10</v>
      </c>
      <c r="O7" s="261">
        <f t="shared" ref="O7:O10" si="5">$I$8*M7</f>
        <v>3.9490999999999996</v>
      </c>
      <c r="P7" s="261">
        <f t="shared" ref="P7:P10" si="6">$I$10*M7</f>
        <v>5.0657500000000004</v>
      </c>
      <c r="Q7" s="261">
        <f t="shared" ref="Q7:Q10" si="7">M7*$I$9</f>
        <v>-0.18515000000000001</v>
      </c>
      <c r="R7" s="261">
        <f t="shared" ref="R7:R10" si="8">SUM(N7:Q7)</f>
        <v>18.829699999999999</v>
      </c>
      <c r="U7" s="262"/>
      <c r="V7" s="261">
        <v>2.3518295299999995E-2</v>
      </c>
      <c r="W7" s="263">
        <f t="shared" ref="W7:W10" si="9">ROUND(SUM(R7,V7:V7),2)</f>
        <v>18.850000000000001</v>
      </c>
      <c r="Z7" s="262"/>
      <c r="AA7" s="251"/>
      <c r="AB7" s="251"/>
      <c r="AD7" s="255"/>
      <c r="AF7" s="251"/>
    </row>
    <row r="8" spans="1:33">
      <c r="A8" s="100">
        <v>41030</v>
      </c>
      <c r="B8" s="100">
        <f t="shared" si="2"/>
        <v>46082</v>
      </c>
      <c r="C8" s="251" t="str">
        <f t="shared" si="3"/>
        <v>GRCNG</v>
      </c>
      <c r="D8" s="251" t="s">
        <v>516</v>
      </c>
      <c r="E8" s="100" t="str">
        <f t="shared" si="0"/>
        <v>41030GRCNG</v>
      </c>
      <c r="F8" s="100" t="str">
        <f t="shared" si="1"/>
        <v>46082GRRES</v>
      </c>
      <c r="G8" s="251" t="str">
        <f>IFERROR(IF(VLOOKUP(H8,Lookup!$A$1:$B$200,2,0)="","",VLOOKUP(H8,Lookup!$A$1:$B$200,2,0)),"")</f>
        <v>THERM_DELIVERY_TIER1</v>
      </c>
      <c r="H8" s="57" t="s">
        <v>609</v>
      </c>
      <c r="I8" s="265">
        <f>VLOOKUP(E8,'UNSG - ALL RATES'!$A$1:$DF$43,MATCH($G8,'UNSG - ALL RATES'!$A$2:$DF$2,0),0)</f>
        <v>0.34339999999999998</v>
      </c>
      <c r="J8" s="265">
        <f>VLOOKUP(F8,'UNSG - ALL RATES'!$A$1:$DF$43,MATCH($G8,'UNSG - ALL RATES'!$A$2:$DF$2,0),0)</f>
        <v>0.38009999999999999</v>
      </c>
      <c r="K8" s="264"/>
      <c r="L8" s="56" t="s">
        <v>520</v>
      </c>
      <c r="M8" s="260">
        <f t="shared" si="4"/>
        <v>74</v>
      </c>
      <c r="N8" s="261">
        <f t="shared" ref="N8:N10" si="10">N7</f>
        <v>10</v>
      </c>
      <c r="O8" s="261">
        <f t="shared" si="5"/>
        <v>25.4116</v>
      </c>
      <c r="P8" s="261">
        <f t="shared" si="6"/>
        <v>32.597000000000001</v>
      </c>
      <c r="Q8" s="261">
        <f t="shared" si="7"/>
        <v>-1.1914</v>
      </c>
      <c r="R8" s="261">
        <f t="shared" si="8"/>
        <v>66.8172</v>
      </c>
      <c r="U8" s="262"/>
      <c r="V8" s="261">
        <v>8.3454682799999999E-2</v>
      </c>
      <c r="W8" s="263">
        <f t="shared" si="9"/>
        <v>66.900000000000006</v>
      </c>
      <c r="Z8" s="262"/>
      <c r="AA8" s="251"/>
      <c r="AB8" s="251"/>
      <c r="AD8" s="255"/>
      <c r="AF8" s="251"/>
    </row>
    <row r="9" spans="1:33">
      <c r="A9" s="100">
        <v>41030</v>
      </c>
      <c r="B9" s="100">
        <f t="shared" si="2"/>
        <v>46082</v>
      </c>
      <c r="C9" s="251" t="str">
        <f t="shared" si="3"/>
        <v>GRCNG</v>
      </c>
      <c r="D9" s="251" t="s">
        <v>516</v>
      </c>
      <c r="E9" s="100" t="str">
        <f t="shared" si="0"/>
        <v>41030GRCNG</v>
      </c>
      <c r="F9" s="100" t="str">
        <f t="shared" si="1"/>
        <v>46082GRRES</v>
      </c>
      <c r="G9" s="251" t="str">
        <f>IFERROR(IF(VLOOKUP(H9,Lookup!$A$1:$B$200,2,0)="","",VLOOKUP(H9,Lookup!$A$1:$B$200,2,0)),"")</f>
        <v/>
      </c>
      <c r="H9" s="57" t="s">
        <v>867</v>
      </c>
      <c r="I9" s="264">
        <v>-1.61E-2</v>
      </c>
      <c r="J9" s="674">
        <v>0</v>
      </c>
      <c r="K9" s="264"/>
      <c r="L9" s="56" t="s">
        <v>868</v>
      </c>
      <c r="M9" s="260">
        <f t="shared" si="4"/>
        <v>74</v>
      </c>
      <c r="N9" s="261">
        <f t="shared" si="10"/>
        <v>10</v>
      </c>
      <c r="O9" s="261">
        <f t="shared" si="5"/>
        <v>25.4116</v>
      </c>
      <c r="P9" s="261">
        <f t="shared" si="6"/>
        <v>32.597000000000001</v>
      </c>
      <c r="Q9" s="261">
        <f t="shared" si="7"/>
        <v>-1.1914</v>
      </c>
      <c r="R9" s="261">
        <f t="shared" si="8"/>
        <v>66.8172</v>
      </c>
      <c r="U9" s="262"/>
      <c r="V9" s="261">
        <v>8.3454682799999999E-2</v>
      </c>
      <c r="W9" s="263">
        <f t="shared" si="9"/>
        <v>66.900000000000006</v>
      </c>
      <c r="Z9" s="262"/>
      <c r="AA9" s="251"/>
      <c r="AB9" s="251"/>
      <c r="AD9" s="255"/>
      <c r="AF9" s="251"/>
    </row>
    <row r="10" spans="1:33">
      <c r="A10" s="100">
        <v>41030</v>
      </c>
      <c r="B10" s="100">
        <f t="shared" si="2"/>
        <v>46082</v>
      </c>
      <c r="C10" s="251" t="str">
        <f t="shared" si="3"/>
        <v>GRCNG</v>
      </c>
      <c r="D10" s="251" t="s">
        <v>516</v>
      </c>
      <c r="E10" s="100" t="str">
        <f t="shared" si="0"/>
        <v>41030GRCNG</v>
      </c>
      <c r="F10" s="100" t="str">
        <f t="shared" si="1"/>
        <v>46082GRRES</v>
      </c>
      <c r="G10" s="251" t="str">
        <f>IFERROR(IF(VLOOKUP(H10,Lookup!$A$1:$B$200,2,0)="","",VLOOKUP(H10,Lookup!$A$1:$B$200,2,0)),"")</f>
        <v/>
      </c>
      <c r="H10" s="266" t="s">
        <v>610</v>
      </c>
      <c r="I10" s="264">
        <f>'PGA Calculation'!$B$3</f>
        <v>0.4405</v>
      </c>
      <c r="J10" s="264">
        <f>'PGA Calculation'!$B$13</f>
        <v>0.44669999999999999</v>
      </c>
      <c r="K10" s="264"/>
      <c r="L10" s="280" t="s">
        <v>869</v>
      </c>
      <c r="M10" s="260">
        <f t="shared" si="4"/>
        <v>39.875</v>
      </c>
      <c r="N10" s="261">
        <f t="shared" si="10"/>
        <v>10</v>
      </c>
      <c r="O10" s="261">
        <f t="shared" si="5"/>
        <v>13.693074999999999</v>
      </c>
      <c r="P10" s="261">
        <f t="shared" si="6"/>
        <v>17.564937499999999</v>
      </c>
      <c r="Q10" s="261">
        <f t="shared" si="7"/>
        <v>-0.64198750000000004</v>
      </c>
      <c r="R10" s="261">
        <f t="shared" si="8"/>
        <v>40.616025</v>
      </c>
      <c r="U10" s="262"/>
      <c r="V10" s="261">
        <v>5.0729415224999998E-2</v>
      </c>
      <c r="W10" s="263">
        <f t="shared" si="9"/>
        <v>40.67</v>
      </c>
      <c r="Z10" s="262"/>
      <c r="AA10" s="251"/>
      <c r="AB10" s="251"/>
      <c r="AD10" s="255"/>
      <c r="AF10" s="251"/>
    </row>
    <row r="11" spans="1:33">
      <c r="A11" s="100">
        <v>41030</v>
      </c>
      <c r="B11" s="100">
        <f t="shared" si="2"/>
        <v>46082</v>
      </c>
      <c r="C11" s="251" t="str">
        <f t="shared" si="3"/>
        <v>GRCNG</v>
      </c>
      <c r="D11" s="251" t="s">
        <v>516</v>
      </c>
      <c r="E11" s="100" t="str">
        <f t="shared" si="0"/>
        <v>41030GRCNG</v>
      </c>
      <c r="F11" s="100" t="str">
        <f t="shared" si="1"/>
        <v>46082GRRES</v>
      </c>
      <c r="G11" s="251" t="str">
        <f>IFERROR(IF(VLOOKUP(H11,Lookup!$A$1:$B$200,2,0)="","",VLOOKUP(H11,Lookup!$A$1:$B$200,2,0)),"")</f>
        <v/>
      </c>
      <c r="H11" s="258"/>
      <c r="I11" s="264"/>
      <c r="J11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W11" s="268"/>
      <c r="X11" s="268"/>
      <c r="Y11" s="268"/>
      <c r="Z11" s="269"/>
      <c r="AB11" s="262"/>
    </row>
    <row r="12" spans="1:33">
      <c r="A12" s="100"/>
      <c r="B12" s="100"/>
      <c r="E12" s="100"/>
      <c r="F12" s="100"/>
      <c r="H12" s="258" t="s">
        <v>870</v>
      </c>
      <c r="I12" s="264">
        <v>0</v>
      </c>
      <c r="J12" s="669">
        <f>'UNSG Riders- Current'!$C$3</f>
        <v>0</v>
      </c>
      <c r="K12" s="264"/>
      <c r="R12" s="270"/>
    </row>
    <row r="13" spans="1:33" ht="15" customHeight="1">
      <c r="A13" s="100">
        <v>41030</v>
      </c>
      <c r="B13" s="100">
        <f t="shared" si="2"/>
        <v>46082</v>
      </c>
      <c r="C13" s="251" t="str">
        <f>C11</f>
        <v>GRCNG</v>
      </c>
      <c r="D13" s="251" t="s">
        <v>516</v>
      </c>
      <c r="E13" s="100" t="str">
        <f t="shared" ref="E13:E18" si="11">IF(C13="","",A13&amp;$C13)</f>
        <v>41030GRCNG</v>
      </c>
      <c r="F13" s="100" t="str">
        <f>IF(D13="","",B13&amp;$D13)</f>
        <v>46082GRRES</v>
      </c>
      <c r="G13" s="251" t="str">
        <f>IFERROR(IF(VLOOKUP(H13,Lookup!$A$1:$B$200,2,0)="","",VLOOKUP(H13,Lookup!$A$1:$B$200,2,0)),"")</f>
        <v/>
      </c>
      <c r="H13" s="266" t="s">
        <v>871</v>
      </c>
      <c r="I13" s="264">
        <v>0</v>
      </c>
      <c r="J13" s="675">
        <f>'UNSG Riders- Current'!$C$5</f>
        <v>0</v>
      </c>
      <c r="M13" s="813" t="s">
        <v>872</v>
      </c>
      <c r="N13" s="814"/>
      <c r="O13" s="814"/>
      <c r="P13" s="815"/>
      <c r="Q13" s="296"/>
      <c r="U13" s="251"/>
      <c r="W13" s="271"/>
      <c r="AA13" s="251"/>
      <c r="AB13" s="251"/>
      <c r="AD13" s="255"/>
      <c r="AF13" s="251"/>
    </row>
    <row r="14" spans="1:33" ht="22.5" customHeight="1">
      <c r="A14" s="100">
        <v>41030</v>
      </c>
      <c r="B14" s="100">
        <f t="shared" si="2"/>
        <v>46082</v>
      </c>
      <c r="C14" s="251" t="str">
        <f t="shared" si="3"/>
        <v>GRCNG</v>
      </c>
      <c r="D14" s="251" t="s">
        <v>516</v>
      </c>
      <c r="E14" s="100" t="str">
        <f t="shared" si="11"/>
        <v>41030GRCNG</v>
      </c>
      <c r="F14" s="100" t="str">
        <f t="shared" ref="F14:F18" si="12">IF(D14="","",B14&amp;$D14)</f>
        <v>46082GRRES</v>
      </c>
      <c r="G14" s="251" t="str">
        <f>IFERROR(IF(VLOOKUP(H14,Lookup!$A$1:$B$200,2,0)="","",VLOOKUP(H14,Lookup!$A$1:$B$200,2,0)),"")</f>
        <v/>
      </c>
      <c r="J14"/>
      <c r="M14" s="810" t="s">
        <v>859</v>
      </c>
      <c r="N14" s="816" t="s">
        <v>860</v>
      </c>
      <c r="O14" s="808" t="s">
        <v>861</v>
      </c>
      <c r="P14" s="808" t="s">
        <v>610</v>
      </c>
      <c r="Q14" s="808" t="s">
        <v>873</v>
      </c>
      <c r="R14" s="810" t="s">
        <v>863</v>
      </c>
      <c r="S14" s="808" t="s">
        <v>874</v>
      </c>
      <c r="T14" s="808" t="s">
        <v>875</v>
      </c>
      <c r="V14" s="811" t="s">
        <v>864</v>
      </c>
      <c r="W14" s="811" t="s">
        <v>870</v>
      </c>
      <c r="X14" s="811" t="s">
        <v>871</v>
      </c>
      <c r="Y14" s="811" t="s">
        <v>865</v>
      </c>
      <c r="Z14" s="808" t="s">
        <v>874</v>
      </c>
      <c r="AA14" s="808" t="s">
        <v>875</v>
      </c>
      <c r="AC14" s="57"/>
      <c r="AF14" s="251"/>
      <c r="AG14" s="255"/>
    </row>
    <row r="15" spans="1:33" ht="16.5" customHeight="1">
      <c r="A15" s="100">
        <v>41030</v>
      </c>
      <c r="B15" s="100">
        <f t="shared" si="2"/>
        <v>46082</v>
      </c>
      <c r="C15" s="251" t="str">
        <f t="shared" si="3"/>
        <v>GRCNG</v>
      </c>
      <c r="D15" s="251" t="s">
        <v>516</v>
      </c>
      <c r="E15" s="100" t="str">
        <f t="shared" si="11"/>
        <v>41030GRCNG</v>
      </c>
      <c r="F15" s="100" t="str">
        <f t="shared" si="12"/>
        <v>46082GRRES</v>
      </c>
      <c r="G15" s="251" t="str">
        <f>IFERROR(IF(VLOOKUP(H15,Lookup!$A$1:$B$200,2,0)="","",VLOOKUP(H15,Lookup!$A$1:$B$200,2,0)),"")</f>
        <v/>
      </c>
      <c r="I15" s="264"/>
      <c r="J15"/>
      <c r="M15" s="810"/>
      <c r="N15" s="817"/>
      <c r="O15" s="809"/>
      <c r="P15" s="809"/>
      <c r="Q15" s="809"/>
      <c r="R15" s="810"/>
      <c r="S15" s="809"/>
      <c r="T15" s="809"/>
      <c r="V15" s="812"/>
      <c r="W15" s="812"/>
      <c r="X15" s="812"/>
      <c r="Y15" s="812"/>
      <c r="Z15" s="809"/>
      <c r="AA15" s="809"/>
      <c r="AC15" s="57"/>
      <c r="AF15" s="251"/>
      <c r="AG15" s="255"/>
    </row>
    <row r="16" spans="1:33">
      <c r="A16" s="100">
        <v>41030</v>
      </c>
      <c r="B16" s="100">
        <f t="shared" si="2"/>
        <v>46082</v>
      </c>
      <c r="C16" s="251" t="str">
        <f t="shared" si="3"/>
        <v>GRCNG</v>
      </c>
      <c r="D16" s="251" t="s">
        <v>516</v>
      </c>
      <c r="E16" s="100" t="str">
        <f t="shared" si="11"/>
        <v>41030GRCNG</v>
      </c>
      <c r="F16" s="100" t="str">
        <f t="shared" si="12"/>
        <v>46082GRRES</v>
      </c>
      <c r="H16" s="130"/>
      <c r="I16" s="264"/>
      <c r="J16" s="264"/>
      <c r="K16" s="264"/>
      <c r="L16" s="56" t="s">
        <v>482</v>
      </c>
      <c r="M16" s="260">
        <f>M6</f>
        <v>0</v>
      </c>
      <c r="N16" s="261">
        <f>VLOOKUP(N14,$H$5:$J$5,3,0)</f>
        <v>11.94</v>
      </c>
      <c r="O16" s="261">
        <f>$J$8*M16</f>
        <v>0</v>
      </c>
      <c r="P16" s="261">
        <f>$J$10*M16</f>
        <v>0</v>
      </c>
      <c r="Q16" s="261">
        <f>M16*$J$9</f>
        <v>0</v>
      </c>
      <c r="R16" s="261">
        <f>SUM(N16:Q16)</f>
        <v>11.94</v>
      </c>
      <c r="S16" s="261">
        <f>R16-R6</f>
        <v>1.9399999999999995</v>
      </c>
      <c r="T16" s="272">
        <f>S16/R6</f>
        <v>0.19399999999999995</v>
      </c>
      <c r="U16" s="273"/>
      <c r="V16" s="261">
        <v>1.8734999999999998E-2</v>
      </c>
      <c r="W16" s="261">
        <f>M16*$J$12</f>
        <v>0</v>
      </c>
      <c r="X16" s="261">
        <f>R16*$J$13</f>
        <v>0</v>
      </c>
      <c r="Y16" s="263">
        <f>ROUND(SUM(R16,V16:X16),2)</f>
        <v>11.96</v>
      </c>
      <c r="Z16" s="261">
        <f>Y16-W6</f>
        <v>1.9500000000000011</v>
      </c>
      <c r="AA16" s="272">
        <f>Z16/W6</f>
        <v>0.19480519480519493</v>
      </c>
      <c r="AC16" s="57"/>
      <c r="AF16" s="251"/>
      <c r="AG16" s="255"/>
    </row>
    <row r="17" spans="1:33">
      <c r="A17" s="100">
        <v>41030</v>
      </c>
      <c r="B17" s="100">
        <f t="shared" si="2"/>
        <v>46082</v>
      </c>
      <c r="C17" s="251" t="str">
        <f t="shared" si="3"/>
        <v>GRCNG</v>
      </c>
      <c r="D17" s="251" t="s">
        <v>516</v>
      </c>
      <c r="E17" s="100" t="str">
        <f t="shared" si="11"/>
        <v>41030GRCNG</v>
      </c>
      <c r="F17" s="100" t="str">
        <f t="shared" si="12"/>
        <v>46082GRRES</v>
      </c>
      <c r="I17" s="274"/>
      <c r="J17" s="274"/>
      <c r="K17" s="264"/>
      <c r="L17" s="56" t="s">
        <v>866</v>
      </c>
      <c r="M17" s="260">
        <f t="shared" ref="M17:M20" si="13">M7</f>
        <v>11.5</v>
      </c>
      <c r="N17" s="261">
        <f>N16</f>
        <v>11.94</v>
      </c>
      <c r="O17" s="261">
        <f t="shared" ref="O17:O20" si="14">$J$8*M17</f>
        <v>4.3711500000000001</v>
      </c>
      <c r="P17" s="261">
        <f t="shared" ref="P17:P20" si="15">$J$10*M17</f>
        <v>5.1370499999999995</v>
      </c>
      <c r="Q17" s="261">
        <f t="shared" ref="Q17:Q20" si="16">M17*$J$9</f>
        <v>0</v>
      </c>
      <c r="R17" s="261">
        <f t="shared" ref="R17:R20" si="17">SUM(N17:Q17)</f>
        <v>21.448199999999996</v>
      </c>
      <c r="S17" s="261">
        <f>R17-R7</f>
        <v>2.6184999999999974</v>
      </c>
      <c r="T17" s="272">
        <f>S17/R7</f>
        <v>0.13906222616398548</v>
      </c>
      <c r="U17" s="273"/>
      <c r="V17" s="261">
        <v>3.0083601349999996E-2</v>
      </c>
      <c r="W17" s="261">
        <f t="shared" ref="W17:W20" si="18">M17*$J$12</f>
        <v>0</v>
      </c>
      <c r="X17" s="261">
        <f t="shared" ref="X17:X20" si="19">R17*$J$13</f>
        <v>0</v>
      </c>
      <c r="Y17" s="263">
        <f t="shared" ref="Y17:Y20" si="20">ROUND(SUM(R17,V17:X17),2)</f>
        <v>21.48</v>
      </c>
      <c r="Z17" s="261">
        <f>Y17-W7</f>
        <v>2.629999999999999</v>
      </c>
      <c r="AA17" s="272">
        <f>Z17/W7</f>
        <v>0.13952254641909809</v>
      </c>
      <c r="AC17" s="57"/>
      <c r="AF17" s="251"/>
      <c r="AG17" s="255"/>
    </row>
    <row r="18" spans="1:33">
      <c r="A18" s="100">
        <v>41030</v>
      </c>
      <c r="B18" s="100">
        <f t="shared" si="2"/>
        <v>46082</v>
      </c>
      <c r="C18" s="251" t="str">
        <f t="shared" si="3"/>
        <v>GRCNG</v>
      </c>
      <c r="D18" s="251" t="s">
        <v>516</v>
      </c>
      <c r="E18" s="100" t="str">
        <f t="shared" si="11"/>
        <v>41030GRCNG</v>
      </c>
      <c r="F18" s="100" t="str">
        <f t="shared" si="12"/>
        <v>46082GRRES</v>
      </c>
      <c r="G18" s="251" t="str">
        <f>IFERROR(IF(VLOOKUP(H18,Lookup!$A$1:$B$200,2,0)="","",VLOOKUP(H18,Lookup!$A$1:$B$200,2,0)),"")</f>
        <v/>
      </c>
      <c r="H18"/>
      <c r="I18"/>
      <c r="J18"/>
      <c r="K18" s="264"/>
      <c r="L18" s="56" t="s">
        <v>520</v>
      </c>
      <c r="M18" s="260">
        <f t="shared" si="13"/>
        <v>74</v>
      </c>
      <c r="N18" s="261">
        <f t="shared" ref="N18:N20" si="21">N17</f>
        <v>11.94</v>
      </c>
      <c r="O18" s="261">
        <f t="shared" si="14"/>
        <v>28.127399999999998</v>
      </c>
      <c r="P18" s="261">
        <f t="shared" si="15"/>
        <v>33.055799999999998</v>
      </c>
      <c r="Q18" s="261">
        <f t="shared" si="16"/>
        <v>0</v>
      </c>
      <c r="R18" s="261">
        <f t="shared" si="17"/>
        <v>73.123199999999997</v>
      </c>
      <c r="S18" s="261">
        <f>R18-R8</f>
        <v>6.3059999999999974</v>
      </c>
      <c r="T18" s="272">
        <f>S18/R8</f>
        <v>9.4376896966649262E-2</v>
      </c>
      <c r="U18" s="273"/>
      <c r="V18" s="261">
        <v>9.1760782599999993E-2</v>
      </c>
      <c r="W18" s="261">
        <f t="shared" si="18"/>
        <v>0</v>
      </c>
      <c r="X18" s="261">
        <f t="shared" si="19"/>
        <v>0</v>
      </c>
      <c r="Y18" s="263">
        <f t="shared" si="20"/>
        <v>73.209999999999994</v>
      </c>
      <c r="Z18" s="261">
        <f>Y18-W8</f>
        <v>6.3099999999999881</v>
      </c>
      <c r="AA18" s="272">
        <f>Z18/W8</f>
        <v>9.4319880418534938E-2</v>
      </c>
      <c r="AC18" s="57"/>
      <c r="AF18" s="251"/>
      <c r="AG18" s="255"/>
    </row>
    <row r="19" spans="1:33">
      <c r="L19" s="56" t="s">
        <v>868</v>
      </c>
      <c r="M19" s="260">
        <f t="shared" si="13"/>
        <v>74</v>
      </c>
      <c r="N19" s="261">
        <f t="shared" si="21"/>
        <v>11.94</v>
      </c>
      <c r="O19" s="261">
        <f t="shared" si="14"/>
        <v>28.127399999999998</v>
      </c>
      <c r="P19" s="261">
        <f t="shared" si="15"/>
        <v>33.055799999999998</v>
      </c>
      <c r="Q19" s="261">
        <f t="shared" si="16"/>
        <v>0</v>
      </c>
      <c r="R19" s="261">
        <f t="shared" si="17"/>
        <v>73.123199999999997</v>
      </c>
      <c r="S19" s="261">
        <f>R19-R9</f>
        <v>6.3059999999999974</v>
      </c>
      <c r="T19" s="272">
        <f>S19/R9</f>
        <v>9.4376896966649262E-2</v>
      </c>
      <c r="U19" s="273"/>
      <c r="V19" s="261">
        <v>9.1760782599999993E-2</v>
      </c>
      <c r="W19" s="261">
        <f t="shared" si="18"/>
        <v>0</v>
      </c>
      <c r="X19" s="261">
        <f t="shared" si="19"/>
        <v>0</v>
      </c>
      <c r="Y19" s="263">
        <f t="shared" si="20"/>
        <v>73.209999999999994</v>
      </c>
      <c r="Z19" s="261">
        <f>Y19-W9</f>
        <v>6.3099999999999881</v>
      </c>
      <c r="AA19" s="272">
        <f>Z19/W9</f>
        <v>9.4319880418534938E-2</v>
      </c>
      <c r="AC19" s="57"/>
      <c r="AF19" s="251"/>
      <c r="AG19" s="255"/>
    </row>
    <row r="20" spans="1:33">
      <c r="I20" s="262"/>
      <c r="L20" s="267" t="s">
        <v>869</v>
      </c>
      <c r="M20" s="260">
        <f t="shared" si="13"/>
        <v>39.875</v>
      </c>
      <c r="N20" s="261">
        <f t="shared" si="21"/>
        <v>11.94</v>
      </c>
      <c r="O20" s="261">
        <f t="shared" si="14"/>
        <v>15.156487499999999</v>
      </c>
      <c r="P20" s="261">
        <f t="shared" si="15"/>
        <v>17.812162499999999</v>
      </c>
      <c r="Q20" s="261">
        <f t="shared" si="16"/>
        <v>0</v>
      </c>
      <c r="R20" s="261">
        <f t="shared" si="17"/>
        <v>44.908649999999994</v>
      </c>
      <c r="S20" s="261">
        <f>R20-R10</f>
        <v>4.2926249999999939</v>
      </c>
      <c r="T20" s="272">
        <f>S20/R10</f>
        <v>0.10568796429488099</v>
      </c>
      <c r="U20" s="273"/>
      <c r="V20" s="261">
        <v>5.8085041637499994E-2</v>
      </c>
      <c r="W20" s="261">
        <f t="shared" si="18"/>
        <v>0</v>
      </c>
      <c r="X20" s="261">
        <f t="shared" si="19"/>
        <v>0</v>
      </c>
      <c r="Y20" s="263">
        <f t="shared" si="20"/>
        <v>44.97</v>
      </c>
      <c r="Z20" s="261">
        <f>Y20-W10</f>
        <v>4.2999999999999972</v>
      </c>
      <c r="AA20" s="272">
        <f>Z20/W10</f>
        <v>0.1057290386033931</v>
      </c>
      <c r="AC20" s="57"/>
      <c r="AF20" s="251"/>
      <c r="AG20" s="255"/>
    </row>
    <row r="21" spans="1:33">
      <c r="H21"/>
      <c r="I21" s="262"/>
      <c r="K21" s="275"/>
      <c r="AA21" s="268"/>
      <c r="AB21" s="276"/>
    </row>
    <row r="22" spans="1:33">
      <c r="H22"/>
      <c r="I22" s="262"/>
      <c r="L22" s="284" t="s">
        <v>876</v>
      </c>
      <c r="M22" s="813" t="s">
        <v>857</v>
      </c>
      <c r="N22" s="814"/>
      <c r="O22" s="814"/>
      <c r="P22" s="815"/>
      <c r="Q22" s="296"/>
      <c r="AA22" s="268"/>
    </row>
    <row r="23" spans="1:33">
      <c r="H23"/>
      <c r="K23" s="275"/>
      <c r="M23" s="810" t="s">
        <v>859</v>
      </c>
      <c r="N23" s="816" t="s">
        <v>860</v>
      </c>
      <c r="O23" s="808" t="s">
        <v>861</v>
      </c>
      <c r="P23" s="808" t="s">
        <v>610</v>
      </c>
      <c r="Q23" s="808" t="s">
        <v>862</v>
      </c>
      <c r="R23" s="810" t="s">
        <v>863</v>
      </c>
      <c r="V23" s="811" t="s">
        <v>864</v>
      </c>
      <c r="W23" s="811" t="s">
        <v>865</v>
      </c>
      <c r="AB23" s="251"/>
      <c r="AE23" s="255"/>
      <c r="AF23" s="251"/>
    </row>
    <row r="24" spans="1:33" ht="15" customHeight="1">
      <c r="K24" s="277"/>
      <c r="L24"/>
      <c r="M24" s="810"/>
      <c r="N24" s="817"/>
      <c r="O24" s="809"/>
      <c r="P24" s="809"/>
      <c r="Q24" s="809"/>
      <c r="R24" s="810"/>
      <c r="U24" s="251"/>
      <c r="V24" s="812"/>
      <c r="W24" s="812"/>
      <c r="X24"/>
      <c r="Y24"/>
      <c r="Z24"/>
      <c r="AB24" s="251"/>
      <c r="AE24" s="255"/>
      <c r="AF24" s="251"/>
    </row>
    <row r="25" spans="1:33">
      <c r="K25" s="275"/>
      <c r="L25" s="56" t="s">
        <v>482</v>
      </c>
      <c r="M25" s="282">
        <f>'[18]Percentiles_All_Bills Jan'!$I$9</f>
        <v>0</v>
      </c>
      <c r="N25" s="261">
        <f>VLOOKUP($N$23,$H$5:$J$5,2,0)</f>
        <v>10</v>
      </c>
      <c r="O25" s="261">
        <f>$I$8*M25</f>
        <v>0</v>
      </c>
      <c r="P25" s="261">
        <f>$I$10*M25</f>
        <v>0</v>
      </c>
      <c r="Q25" s="261">
        <f>M25*$I$9</f>
        <v>0</v>
      </c>
      <c r="R25" s="261">
        <f>SUM(N25:Q25)</f>
        <v>10</v>
      </c>
      <c r="S25"/>
      <c r="T25"/>
      <c r="U25"/>
      <c r="V25" s="261">
        <v>1.2489999999999999E-2</v>
      </c>
      <c r="W25" s="263">
        <f>ROUND(SUM(R25,V25:V25),2)</f>
        <v>10.01</v>
      </c>
      <c r="X25"/>
      <c r="Y25"/>
      <c r="Z25"/>
      <c r="AA25" s="251"/>
      <c r="AB25" s="251"/>
      <c r="AC25" s="255"/>
      <c r="AF25" s="251"/>
    </row>
    <row r="26" spans="1:33">
      <c r="K26" s="275"/>
      <c r="L26" s="56" t="s">
        <v>866</v>
      </c>
      <c r="M26" s="282">
        <f>'[18]Percentiles_All_Bills Jan'!$J$9</f>
        <v>8</v>
      </c>
      <c r="N26" s="261">
        <f t="shared" ref="N26:N29" si="22">VLOOKUP($N$23,$H$5:$J$5,2,0)</f>
        <v>10</v>
      </c>
      <c r="O26" s="261">
        <f t="shared" ref="O26:O29" si="23">$I$8*M26</f>
        <v>2.7471999999999999</v>
      </c>
      <c r="P26" s="261">
        <f t="shared" ref="P26:P29" si="24">$I$10*M26</f>
        <v>3.524</v>
      </c>
      <c r="Q26" s="261">
        <f t="shared" ref="Q26:Q29" si="25">M26*$I$9</f>
        <v>-0.1288</v>
      </c>
      <c r="R26" s="261">
        <f t="shared" ref="R26:R29" si="26">SUM(N26:Q26)</f>
        <v>16.142400000000002</v>
      </c>
      <c r="S26"/>
      <c r="T26"/>
      <c r="U26"/>
      <c r="V26" s="261">
        <v>2.0161857599999999E-2</v>
      </c>
      <c r="W26" s="263">
        <f t="shared" ref="W26:W29" si="27">ROUND(SUM(R26,V26:V26),2)</f>
        <v>16.16</v>
      </c>
      <c r="X26"/>
      <c r="Y26"/>
      <c r="Z26"/>
      <c r="AA26" s="251"/>
      <c r="AB26" s="251"/>
      <c r="AC26" s="255"/>
      <c r="AF26" s="251"/>
    </row>
    <row r="27" spans="1:33">
      <c r="L27" s="56" t="s">
        <v>520</v>
      </c>
      <c r="M27" s="282">
        <f>'[18]Percentiles_All_Bills Jan'!$K$9</f>
        <v>129</v>
      </c>
      <c r="N27" s="261">
        <f t="shared" si="22"/>
        <v>10</v>
      </c>
      <c r="O27" s="261">
        <f t="shared" si="23"/>
        <v>44.2986</v>
      </c>
      <c r="P27" s="261">
        <f t="shared" si="24"/>
        <v>56.8245</v>
      </c>
      <c r="Q27" s="261">
        <f t="shared" si="25"/>
        <v>-2.0768999999999997</v>
      </c>
      <c r="R27" s="261">
        <f t="shared" si="26"/>
        <v>109.0462</v>
      </c>
      <c r="S27"/>
      <c r="T27"/>
      <c r="U27"/>
      <c r="V27" s="261">
        <v>0.13619870379999999</v>
      </c>
      <c r="W27" s="263">
        <f t="shared" si="27"/>
        <v>109.18</v>
      </c>
      <c r="X27"/>
      <c r="Y27"/>
      <c r="Z27"/>
      <c r="AA27" s="251"/>
      <c r="AB27" s="251"/>
      <c r="AC27" s="255"/>
      <c r="AF27" s="251"/>
    </row>
    <row r="28" spans="1:33">
      <c r="L28" s="56" t="s">
        <v>868</v>
      </c>
      <c r="M28" s="282">
        <f>'[18]Percentiles_All_Bills Jan'!$L$9</f>
        <v>129</v>
      </c>
      <c r="N28" s="261">
        <f t="shared" si="22"/>
        <v>10</v>
      </c>
      <c r="O28" s="261">
        <f t="shared" si="23"/>
        <v>44.2986</v>
      </c>
      <c r="P28" s="261">
        <f t="shared" si="24"/>
        <v>56.8245</v>
      </c>
      <c r="Q28" s="261">
        <f t="shared" si="25"/>
        <v>-2.0768999999999997</v>
      </c>
      <c r="R28" s="261">
        <f t="shared" si="26"/>
        <v>109.0462</v>
      </c>
      <c r="S28"/>
      <c r="T28"/>
      <c r="U28"/>
      <c r="V28" s="261">
        <v>0.13619870379999999</v>
      </c>
      <c r="W28" s="263">
        <f t="shared" si="27"/>
        <v>109.18</v>
      </c>
      <c r="X28"/>
      <c r="Y28"/>
      <c r="Z28"/>
      <c r="AA28" s="251"/>
      <c r="AB28" s="251"/>
      <c r="AC28" s="255"/>
      <c r="AF28" s="251"/>
    </row>
    <row r="29" spans="1:33">
      <c r="L29" s="267" t="s">
        <v>877</v>
      </c>
      <c r="M29" s="282">
        <f>AVERAGE(M25:M28)</f>
        <v>66.5</v>
      </c>
      <c r="N29" s="261">
        <f t="shared" si="22"/>
        <v>10</v>
      </c>
      <c r="O29" s="261">
        <f t="shared" si="23"/>
        <v>22.836099999999998</v>
      </c>
      <c r="P29" s="261">
        <f t="shared" si="24"/>
        <v>29.29325</v>
      </c>
      <c r="Q29" s="261">
        <f t="shared" si="25"/>
        <v>-1.0706499999999999</v>
      </c>
      <c r="R29" s="261">
        <f t="shared" si="26"/>
        <v>61.058700000000002</v>
      </c>
      <c r="S29"/>
      <c r="T29"/>
      <c r="U29"/>
      <c r="V29" s="261">
        <v>7.6262316299999994E-2</v>
      </c>
      <c r="W29" s="263">
        <f t="shared" si="27"/>
        <v>61.13</v>
      </c>
      <c r="X29"/>
      <c r="Y29"/>
      <c r="Z29"/>
      <c r="AA29" s="251"/>
      <c r="AB29" s="251"/>
      <c r="AC29" s="255"/>
      <c r="AF29" s="251"/>
    </row>
    <row r="30" spans="1:33">
      <c r="L30" s="240"/>
      <c r="M30"/>
      <c r="N30"/>
      <c r="O30"/>
      <c r="P30"/>
      <c r="Q30" s="264"/>
      <c r="R30"/>
      <c r="S30"/>
      <c r="T30"/>
      <c r="U30"/>
      <c r="V30"/>
      <c r="W30"/>
      <c r="X30"/>
      <c r="Y30"/>
      <c r="Z30"/>
      <c r="AA30"/>
      <c r="AB30" s="251"/>
      <c r="AD30" s="255"/>
      <c r="AF30" s="251"/>
    </row>
    <row r="31" spans="1:33">
      <c r="L31" s="284" t="s">
        <v>876</v>
      </c>
      <c r="M31" s="813" t="s">
        <v>872</v>
      </c>
      <c r="N31" s="814"/>
      <c r="O31" s="814"/>
      <c r="P31" s="815"/>
      <c r="Q31" s="296"/>
      <c r="S31"/>
      <c r="T31"/>
      <c r="U31"/>
      <c r="V31"/>
      <c r="W31"/>
      <c r="X31"/>
      <c r="Y31"/>
      <c r="Z31"/>
      <c r="AA31"/>
      <c r="AB31" s="251"/>
      <c r="AD31" s="255"/>
      <c r="AF31" s="251"/>
    </row>
    <row r="32" spans="1:33">
      <c r="M32" s="810" t="s">
        <v>859</v>
      </c>
      <c r="N32" s="816" t="s">
        <v>860</v>
      </c>
      <c r="O32" s="808" t="s">
        <v>861</v>
      </c>
      <c r="P32" s="808" t="s">
        <v>610</v>
      </c>
      <c r="Q32" s="808" t="s">
        <v>873</v>
      </c>
      <c r="R32" s="810" t="s">
        <v>863</v>
      </c>
      <c r="S32" s="808" t="s">
        <v>874</v>
      </c>
      <c r="T32" s="808" t="s">
        <v>875</v>
      </c>
      <c r="V32" s="811" t="s">
        <v>864</v>
      </c>
      <c r="W32" s="811" t="s">
        <v>870</v>
      </c>
      <c r="X32" s="811" t="s">
        <v>871</v>
      </c>
      <c r="Y32" s="811" t="s">
        <v>865</v>
      </c>
      <c r="Z32" s="808" t="s">
        <v>874</v>
      </c>
      <c r="AA32" s="808" t="s">
        <v>875</v>
      </c>
      <c r="AB32" s="251"/>
      <c r="AD32" s="255"/>
      <c r="AF32" s="251"/>
    </row>
    <row r="33" spans="12:32">
      <c r="L33"/>
      <c r="M33" s="810"/>
      <c r="N33" s="817"/>
      <c r="O33" s="809"/>
      <c r="P33" s="809"/>
      <c r="Q33" s="809"/>
      <c r="R33" s="810"/>
      <c r="S33" s="809"/>
      <c r="T33" s="809"/>
      <c r="V33" s="812"/>
      <c r="W33" s="812"/>
      <c r="X33" s="812"/>
      <c r="Y33" s="812"/>
      <c r="Z33" s="809"/>
      <c r="AA33" s="809"/>
      <c r="AB33" s="251"/>
      <c r="AD33" s="255"/>
      <c r="AF33" s="251"/>
    </row>
    <row r="34" spans="12:32">
      <c r="L34" s="56" t="s">
        <v>482</v>
      </c>
      <c r="M34" s="282">
        <f>M25</f>
        <v>0</v>
      </c>
      <c r="N34" s="261">
        <f>VLOOKUP($N$32,$H$5:$J$5,3,0)</f>
        <v>11.94</v>
      </c>
      <c r="O34" s="261">
        <f>$J$8*M34</f>
        <v>0</v>
      </c>
      <c r="P34" s="261">
        <f>$J$10*M34</f>
        <v>0</v>
      </c>
      <c r="Q34" s="261">
        <f>M34*$J$9</f>
        <v>0</v>
      </c>
      <c r="R34" s="261">
        <f>SUM(N34:Q34)</f>
        <v>11.94</v>
      </c>
      <c r="S34" s="261">
        <f>R34-R25</f>
        <v>1.9399999999999995</v>
      </c>
      <c r="T34" s="272">
        <f>S34/R25</f>
        <v>0.19399999999999995</v>
      </c>
      <c r="U34"/>
      <c r="V34" s="261">
        <v>1.8734999999999998E-2</v>
      </c>
      <c r="W34" s="261">
        <f>M34*$J$12</f>
        <v>0</v>
      </c>
      <c r="X34" s="261">
        <f>R34*$J$13</f>
        <v>0</v>
      </c>
      <c r="Y34" s="263">
        <f>ROUND(SUM(R34,V34:X34),2)</f>
        <v>11.96</v>
      </c>
      <c r="Z34" s="261">
        <f>Y34-W25</f>
        <v>1.9500000000000011</v>
      </c>
      <c r="AA34" s="272">
        <f>Z34/W25</f>
        <v>0.19480519480519493</v>
      </c>
    </row>
    <row r="35" spans="12:32">
      <c r="L35" s="56" t="s">
        <v>866</v>
      </c>
      <c r="M35" s="282">
        <f t="shared" ref="M35:M38" si="28">M26</f>
        <v>8</v>
      </c>
      <c r="N35" s="261">
        <f t="shared" ref="N35:N38" si="29">VLOOKUP($N$32,$H$5:$J$5,3,0)</f>
        <v>11.94</v>
      </c>
      <c r="O35" s="261">
        <f t="shared" ref="O35:O38" si="30">$J$8*M35</f>
        <v>3.0407999999999999</v>
      </c>
      <c r="P35" s="261">
        <f t="shared" ref="P35:P38" si="31">$J$10*M35</f>
        <v>3.5735999999999999</v>
      </c>
      <c r="Q35" s="261">
        <f t="shared" ref="Q35:Q38" si="32">M35*$J$9</f>
        <v>0</v>
      </c>
      <c r="R35" s="261">
        <f t="shared" ref="R35:R38" si="33">SUM(N35:Q35)</f>
        <v>18.554399999999998</v>
      </c>
      <c r="S35" s="261">
        <f t="shared" ref="S35:S38" si="34">R35-R26</f>
        <v>2.4119999999999955</v>
      </c>
      <c r="T35" s="272">
        <f t="shared" ref="T35:T38" si="35">S35/R26</f>
        <v>0.14942016057091853</v>
      </c>
      <c r="U35"/>
      <c r="V35" s="261">
        <v>2.6629679199999996E-2</v>
      </c>
      <c r="W35" s="261">
        <f t="shared" ref="W35:W38" si="36">M35*$J$12</f>
        <v>0</v>
      </c>
      <c r="X35" s="261">
        <f t="shared" ref="X35:X38" si="37">R35*$J$13</f>
        <v>0</v>
      </c>
      <c r="Y35" s="263">
        <f t="shared" ref="Y35:Y38" si="38">ROUND(SUM(R35,V35:X35),2)</f>
        <v>18.579999999999998</v>
      </c>
      <c r="Z35" s="261">
        <f>Y35-W26</f>
        <v>2.4199999999999982</v>
      </c>
      <c r="AA35" s="272">
        <f>Z35/W26</f>
        <v>0.14975247524752464</v>
      </c>
    </row>
    <row r="36" spans="12:32" ht="15" customHeight="1">
      <c r="L36" s="56" t="s">
        <v>520</v>
      </c>
      <c r="M36" s="282">
        <f t="shared" si="28"/>
        <v>129</v>
      </c>
      <c r="N36" s="261">
        <f t="shared" si="29"/>
        <v>11.94</v>
      </c>
      <c r="O36" s="261">
        <f t="shared" si="30"/>
        <v>49.032899999999998</v>
      </c>
      <c r="P36" s="261">
        <f t="shared" si="31"/>
        <v>57.624299999999998</v>
      </c>
      <c r="Q36" s="261">
        <f t="shared" si="32"/>
        <v>0</v>
      </c>
      <c r="R36" s="261">
        <f t="shared" si="33"/>
        <v>118.59719999999999</v>
      </c>
      <c r="S36" s="261">
        <f t="shared" si="34"/>
        <v>9.5509999999999877</v>
      </c>
      <c r="T36" s="272">
        <f t="shared" si="35"/>
        <v>8.7586729294555771E-2</v>
      </c>
      <c r="U36"/>
      <c r="V36" s="261">
        <v>0.1460367021</v>
      </c>
      <c r="W36" s="261">
        <f t="shared" si="36"/>
        <v>0</v>
      </c>
      <c r="X36" s="261">
        <f t="shared" si="37"/>
        <v>0</v>
      </c>
      <c r="Y36" s="263">
        <f t="shared" si="38"/>
        <v>118.74</v>
      </c>
      <c r="Z36" s="261">
        <f>Y36-W27</f>
        <v>9.5599999999999881</v>
      </c>
      <c r="AA36" s="272">
        <f>Z36/W27</f>
        <v>8.7561824509983399E-2</v>
      </c>
    </row>
    <row r="37" spans="12:32">
      <c r="L37" s="56" t="s">
        <v>868</v>
      </c>
      <c r="M37" s="282">
        <f t="shared" si="28"/>
        <v>129</v>
      </c>
      <c r="N37" s="261">
        <f t="shared" si="29"/>
        <v>11.94</v>
      </c>
      <c r="O37" s="261">
        <f t="shared" si="30"/>
        <v>49.032899999999998</v>
      </c>
      <c r="P37" s="261">
        <f t="shared" si="31"/>
        <v>57.624299999999998</v>
      </c>
      <c r="Q37" s="261">
        <f t="shared" si="32"/>
        <v>0</v>
      </c>
      <c r="R37" s="261">
        <f t="shared" si="33"/>
        <v>118.59719999999999</v>
      </c>
      <c r="S37" s="261">
        <f t="shared" si="34"/>
        <v>9.5509999999999877</v>
      </c>
      <c r="T37" s="272">
        <f t="shared" si="35"/>
        <v>8.7586729294555771E-2</v>
      </c>
      <c r="U37"/>
      <c r="V37" s="261">
        <v>0.1460367021</v>
      </c>
      <c r="W37" s="261">
        <f t="shared" si="36"/>
        <v>0</v>
      </c>
      <c r="X37" s="261">
        <f t="shared" si="37"/>
        <v>0</v>
      </c>
      <c r="Y37" s="263">
        <f t="shared" si="38"/>
        <v>118.74</v>
      </c>
      <c r="Z37" s="261">
        <f>Y37-W28</f>
        <v>9.5599999999999881</v>
      </c>
      <c r="AA37" s="272">
        <f>Z37/W28</f>
        <v>8.7561824509983399E-2</v>
      </c>
      <c r="AB37" s="251"/>
      <c r="AD37" s="255"/>
      <c r="AF37" s="251"/>
    </row>
    <row r="38" spans="12:32" ht="15.75" customHeight="1">
      <c r="L38" s="267" t="s">
        <v>877</v>
      </c>
      <c r="M38" s="282">
        <f t="shared" si="28"/>
        <v>66.5</v>
      </c>
      <c r="N38" s="261">
        <f t="shared" si="29"/>
        <v>11.94</v>
      </c>
      <c r="O38" s="261">
        <f t="shared" si="30"/>
        <v>25.27665</v>
      </c>
      <c r="P38" s="261">
        <f t="shared" si="31"/>
        <v>29.705549999999999</v>
      </c>
      <c r="Q38" s="261">
        <f t="shared" si="32"/>
        <v>0</v>
      </c>
      <c r="R38" s="261">
        <f t="shared" si="33"/>
        <v>66.922200000000004</v>
      </c>
      <c r="S38" s="261">
        <f t="shared" si="34"/>
        <v>5.8635000000000019</v>
      </c>
      <c r="T38" s="272">
        <f t="shared" si="35"/>
        <v>9.6030541102250816E-2</v>
      </c>
      <c r="U38"/>
      <c r="V38" s="261">
        <v>8.4359520849999994E-2</v>
      </c>
      <c r="W38" s="261">
        <f t="shared" si="36"/>
        <v>0</v>
      </c>
      <c r="X38" s="261">
        <f t="shared" si="37"/>
        <v>0</v>
      </c>
      <c r="Y38" s="263">
        <f t="shared" si="38"/>
        <v>67.010000000000005</v>
      </c>
      <c r="Z38" s="261">
        <f>Y38-W29</f>
        <v>5.8800000000000026</v>
      </c>
      <c r="AA38" s="272">
        <f>Z38/W29</f>
        <v>9.618845084246691E-2</v>
      </c>
      <c r="AB38" s="251"/>
      <c r="AD38" s="255"/>
      <c r="AF38" s="251"/>
    </row>
    <row r="39" spans="12:32">
      <c r="L39"/>
      <c r="M39"/>
      <c r="N39"/>
      <c r="O39"/>
      <c r="P39"/>
      <c r="Q39" s="268"/>
      <c r="R39"/>
      <c r="S39"/>
      <c r="T39"/>
      <c r="U39"/>
      <c r="V39"/>
      <c r="W39"/>
      <c r="X39"/>
      <c r="Y39"/>
      <c r="Z39"/>
      <c r="AA39"/>
      <c r="AB39" s="251"/>
      <c r="AD39" s="255"/>
      <c r="AF39" s="251"/>
    </row>
    <row r="40" spans="12:32">
      <c r="L40" s="284" t="s">
        <v>878</v>
      </c>
      <c r="M40" s="813" t="s">
        <v>857</v>
      </c>
      <c r="N40" s="814"/>
      <c r="O40" s="814"/>
      <c r="P40" s="815"/>
      <c r="Q40" s="296"/>
      <c r="S40"/>
      <c r="T40"/>
      <c r="U40"/>
      <c r="V40"/>
      <c r="W40"/>
      <c r="X40"/>
      <c r="Y40"/>
      <c r="Z40"/>
      <c r="AA40"/>
      <c r="AB40" s="251"/>
      <c r="AD40" s="255"/>
      <c r="AF40" s="251"/>
    </row>
    <row r="41" spans="12:32">
      <c r="M41" s="810" t="s">
        <v>859</v>
      </c>
      <c r="N41" s="816" t="s">
        <v>860</v>
      </c>
      <c r="O41" s="808" t="s">
        <v>861</v>
      </c>
      <c r="P41" s="808" t="s">
        <v>610</v>
      </c>
      <c r="Q41" s="808" t="s">
        <v>862</v>
      </c>
      <c r="R41" s="810" t="s">
        <v>863</v>
      </c>
      <c r="S41"/>
      <c r="T41"/>
      <c r="V41" s="811" t="s">
        <v>864</v>
      </c>
      <c r="W41" s="811" t="s">
        <v>865</v>
      </c>
      <c r="X41"/>
      <c r="Y41"/>
      <c r="Z41" s="251"/>
      <c r="AA41" s="251"/>
      <c r="AB41" s="251"/>
      <c r="AC41" s="255"/>
      <c r="AF41" s="251"/>
    </row>
    <row r="42" spans="12:32">
      <c r="L42"/>
      <c r="M42" s="810"/>
      <c r="N42" s="817"/>
      <c r="O42" s="809"/>
      <c r="P42" s="809"/>
      <c r="Q42" s="809"/>
      <c r="R42" s="810"/>
      <c r="S42"/>
      <c r="T42"/>
      <c r="V42" s="812"/>
      <c r="W42" s="812"/>
      <c r="X42"/>
      <c r="Y42"/>
      <c r="Z42" s="251"/>
      <c r="AA42" s="251"/>
      <c r="AB42" s="251"/>
      <c r="AC42" s="255"/>
      <c r="AF42" s="251"/>
    </row>
    <row r="43" spans="12:32">
      <c r="L43" s="56" t="s">
        <v>482</v>
      </c>
      <c r="M43" s="282">
        <f>'[18]Percentiles_All_Bills July'!$I$9</f>
        <v>0</v>
      </c>
      <c r="N43" s="261">
        <f>VLOOKUP($N$23,$H$5:$J$5,2,0)</f>
        <v>10</v>
      </c>
      <c r="O43" s="261">
        <f>$I$8*M43</f>
        <v>0</v>
      </c>
      <c r="P43" s="261">
        <f>$I$10*M43</f>
        <v>0</v>
      </c>
      <c r="Q43" s="261">
        <f>M43*$I$9</f>
        <v>0</v>
      </c>
      <c r="R43" s="261">
        <f>SUM(N43:Q43)</f>
        <v>10</v>
      </c>
      <c r="S43"/>
      <c r="T43"/>
      <c r="U43"/>
      <c r="V43" s="261">
        <v>1.2489999999999999E-2</v>
      </c>
      <c r="W43" s="263">
        <f>ROUND(SUM(R43,V43:V43),2)</f>
        <v>10.01</v>
      </c>
      <c r="X43"/>
      <c r="Y43"/>
      <c r="Z43" s="251"/>
      <c r="AA43" s="251"/>
      <c r="AB43" s="251"/>
      <c r="AC43" s="255"/>
      <c r="AF43" s="251"/>
    </row>
    <row r="44" spans="12:32">
      <c r="L44" s="56" t="s">
        <v>866</v>
      </c>
      <c r="M44" s="282">
        <f>'[18]Percentiles_All_Bills July'!$J$9</f>
        <v>15</v>
      </c>
      <c r="N44" s="261">
        <f t="shared" ref="N44:N47" si="39">VLOOKUP($N$23,$H$5:$J$5,2,0)</f>
        <v>10</v>
      </c>
      <c r="O44" s="261">
        <f t="shared" ref="O44:O47" si="40">$I$8*M44</f>
        <v>5.1509999999999998</v>
      </c>
      <c r="P44" s="261">
        <f t="shared" ref="P44:P47" si="41">$I$10*M44</f>
        <v>6.6074999999999999</v>
      </c>
      <c r="Q44" s="261">
        <f t="shared" ref="Q44:Q47" si="42">M44*$I$9</f>
        <v>-0.24149999999999999</v>
      </c>
      <c r="R44" s="261">
        <f t="shared" ref="R44:R47" si="43">SUM(N44:Q44)</f>
        <v>21.516999999999999</v>
      </c>
      <c r="S44"/>
      <c r="T44"/>
      <c r="U44"/>
      <c r="V44" s="261">
        <v>2.6874732999999998E-2</v>
      </c>
      <c r="W44" s="263">
        <f t="shared" ref="W44:W47" si="44">ROUND(SUM(R44,V44:V44),2)</f>
        <v>21.54</v>
      </c>
      <c r="X44"/>
      <c r="Y44"/>
      <c r="Z44" s="251"/>
      <c r="AA44" s="251"/>
      <c r="AB44" s="251"/>
      <c r="AC44" s="255"/>
      <c r="AF44" s="251"/>
    </row>
    <row r="45" spans="12:32">
      <c r="L45" s="56" t="s">
        <v>520</v>
      </c>
      <c r="M45" s="282">
        <f>'[18]Percentiles_All_Bills July'!$K$9</f>
        <v>19</v>
      </c>
      <c r="N45" s="261">
        <f t="shared" si="39"/>
        <v>10</v>
      </c>
      <c r="O45" s="261">
        <f t="shared" si="40"/>
        <v>6.5245999999999995</v>
      </c>
      <c r="P45" s="261">
        <f t="shared" si="41"/>
        <v>8.3695000000000004</v>
      </c>
      <c r="Q45" s="261">
        <f t="shared" si="42"/>
        <v>-0.30590000000000001</v>
      </c>
      <c r="R45" s="261">
        <f t="shared" si="43"/>
        <v>24.588200000000001</v>
      </c>
      <c r="S45"/>
      <c r="T45"/>
      <c r="U45"/>
      <c r="V45" s="261">
        <v>3.0710661799999997E-2</v>
      </c>
      <c r="W45" s="263">
        <f t="shared" si="44"/>
        <v>24.62</v>
      </c>
      <c r="X45"/>
      <c r="Y45"/>
      <c r="AA45" s="251"/>
      <c r="AB45" s="251"/>
      <c r="AC45" s="255"/>
      <c r="AF45" s="251"/>
    </row>
    <row r="46" spans="12:32">
      <c r="L46" s="56" t="s">
        <v>868</v>
      </c>
      <c r="M46" s="282">
        <f>'[18]Percentiles_All_Bills July'!$L$9</f>
        <v>19</v>
      </c>
      <c r="N46" s="261">
        <f t="shared" si="39"/>
        <v>10</v>
      </c>
      <c r="O46" s="261">
        <f t="shared" si="40"/>
        <v>6.5245999999999995</v>
      </c>
      <c r="P46" s="261">
        <f t="shared" si="41"/>
        <v>8.3695000000000004</v>
      </c>
      <c r="Q46" s="261">
        <f t="shared" si="42"/>
        <v>-0.30590000000000001</v>
      </c>
      <c r="R46" s="261">
        <f t="shared" si="43"/>
        <v>24.588200000000001</v>
      </c>
      <c r="S46"/>
      <c r="T46"/>
      <c r="U46"/>
      <c r="V46" s="261">
        <v>3.0710661799999997E-2</v>
      </c>
      <c r="W46" s="263">
        <f t="shared" si="44"/>
        <v>24.62</v>
      </c>
      <c r="X46"/>
      <c r="Y46"/>
      <c r="AB46" s="251"/>
      <c r="AE46" s="255"/>
      <c r="AF46" s="251"/>
    </row>
    <row r="47" spans="12:32">
      <c r="L47" s="267" t="s">
        <v>877</v>
      </c>
      <c r="M47" s="282">
        <f>AVERAGE(M43:M46)</f>
        <v>13.25</v>
      </c>
      <c r="N47" s="261">
        <f t="shared" si="39"/>
        <v>10</v>
      </c>
      <c r="O47" s="261">
        <f t="shared" si="40"/>
        <v>4.5500499999999997</v>
      </c>
      <c r="P47" s="261">
        <f t="shared" si="41"/>
        <v>5.8366249999999997</v>
      </c>
      <c r="Q47" s="261">
        <f t="shared" si="42"/>
        <v>-0.21332499999999999</v>
      </c>
      <c r="R47" s="261">
        <f t="shared" si="43"/>
        <v>20.173349999999996</v>
      </c>
      <c r="S47"/>
      <c r="T47"/>
      <c r="U47"/>
      <c r="V47" s="261">
        <v>2.5196514149999991E-2</v>
      </c>
      <c r="W47" s="263">
        <f t="shared" si="44"/>
        <v>20.2</v>
      </c>
      <c r="X47"/>
      <c r="Y47"/>
      <c r="AB47" s="251"/>
      <c r="AE47" s="255"/>
      <c r="AF47" s="251"/>
    </row>
    <row r="48" spans="12:32">
      <c r="L48"/>
      <c r="M48"/>
      <c r="N48"/>
      <c r="O48"/>
      <c r="P48"/>
      <c r="Q48" s="264"/>
      <c r="R48"/>
      <c r="S48"/>
      <c r="T48"/>
      <c r="U48"/>
      <c r="V48"/>
      <c r="W48"/>
      <c r="X48"/>
      <c r="Y48"/>
      <c r="Z48"/>
      <c r="AA48"/>
    </row>
    <row r="49" spans="11:32" ht="15" customHeight="1">
      <c r="L49" s="284" t="s">
        <v>878</v>
      </c>
      <c r="M49" s="813" t="s">
        <v>872</v>
      </c>
      <c r="N49" s="814"/>
      <c r="O49" s="814"/>
      <c r="P49" s="815"/>
      <c r="Q49" s="296"/>
      <c r="S49"/>
      <c r="T49"/>
      <c r="U49"/>
      <c r="V49"/>
      <c r="W49"/>
      <c r="X49"/>
      <c r="Y49"/>
      <c r="Z49"/>
      <c r="AA49"/>
      <c r="AB49" s="251"/>
      <c r="AD49" s="255"/>
      <c r="AF49" s="251"/>
    </row>
    <row r="50" spans="11:32" ht="23.25" customHeight="1">
      <c r="M50" s="810" t="s">
        <v>859</v>
      </c>
      <c r="N50" s="816" t="s">
        <v>860</v>
      </c>
      <c r="O50" s="808" t="s">
        <v>861</v>
      </c>
      <c r="P50" s="808" t="s">
        <v>610</v>
      </c>
      <c r="Q50" s="808" t="s">
        <v>873</v>
      </c>
      <c r="R50" s="810" t="s">
        <v>863</v>
      </c>
      <c r="S50" s="808" t="s">
        <v>874</v>
      </c>
      <c r="T50" s="808" t="s">
        <v>875</v>
      </c>
      <c r="V50" s="811" t="s">
        <v>864</v>
      </c>
      <c r="W50" s="811" t="s">
        <v>870</v>
      </c>
      <c r="X50" s="811" t="s">
        <v>871</v>
      </c>
      <c r="Y50" s="811" t="s">
        <v>865</v>
      </c>
      <c r="Z50" s="808" t="s">
        <v>874</v>
      </c>
      <c r="AA50" s="808" t="s">
        <v>875</v>
      </c>
      <c r="AB50" s="251"/>
      <c r="AD50" s="255"/>
      <c r="AF50" s="251"/>
    </row>
    <row r="51" spans="11:32">
      <c r="L51"/>
      <c r="M51" s="810"/>
      <c r="N51" s="817"/>
      <c r="O51" s="809"/>
      <c r="P51" s="809"/>
      <c r="Q51" s="809"/>
      <c r="R51" s="810"/>
      <c r="S51" s="809"/>
      <c r="T51" s="809"/>
      <c r="V51" s="812"/>
      <c r="W51" s="812"/>
      <c r="X51" s="812"/>
      <c r="Y51" s="812"/>
      <c r="Z51" s="809"/>
      <c r="AA51" s="809"/>
      <c r="AB51" s="251"/>
      <c r="AD51" s="255"/>
      <c r="AF51" s="251"/>
    </row>
    <row r="52" spans="11:32">
      <c r="K52" s="278"/>
      <c r="L52" s="56" t="s">
        <v>482</v>
      </c>
      <c r="M52" s="282">
        <f>M43</f>
        <v>0</v>
      </c>
      <c r="N52" s="261">
        <f>VLOOKUP($N$32,$H$5:$J$5,3,0)</f>
        <v>11.94</v>
      </c>
      <c r="O52" s="261">
        <f>$J$8*M52</f>
        <v>0</v>
      </c>
      <c r="P52" s="261">
        <f>$J$10*M52</f>
        <v>0</v>
      </c>
      <c r="Q52" s="261">
        <f>M52*$J$9</f>
        <v>0</v>
      </c>
      <c r="R52" s="261">
        <f>SUM(N52:Q52)</f>
        <v>11.94</v>
      </c>
      <c r="S52" s="261">
        <f>R52-R43</f>
        <v>1.9399999999999995</v>
      </c>
      <c r="T52" s="272">
        <f>S52/R43</f>
        <v>0.19399999999999995</v>
      </c>
      <c r="U52"/>
      <c r="V52" s="261">
        <v>1.8734999999999998E-2</v>
      </c>
      <c r="W52" s="261">
        <f>M52*$J$12</f>
        <v>0</v>
      </c>
      <c r="X52" s="261">
        <f>R52*$J$13</f>
        <v>0</v>
      </c>
      <c r="Y52" s="263">
        <f>ROUND(SUM(R52,V52:X52),2)</f>
        <v>11.96</v>
      </c>
      <c r="Z52" s="261">
        <f>Y52-W43</f>
        <v>1.9500000000000011</v>
      </c>
      <c r="AA52" s="272">
        <f>Z52/W43</f>
        <v>0.19480519480519493</v>
      </c>
      <c r="AB52" s="251"/>
      <c r="AD52" s="255"/>
      <c r="AF52" s="251"/>
    </row>
    <row r="53" spans="11:32">
      <c r="L53" s="56" t="s">
        <v>866</v>
      </c>
      <c r="M53" s="282">
        <f t="shared" ref="M53:M55" si="45">M44</f>
        <v>15</v>
      </c>
      <c r="N53" s="261">
        <f t="shared" ref="N53:N56" si="46">VLOOKUP($N$32,$H$5:$J$5,3,0)</f>
        <v>11.94</v>
      </c>
      <c r="O53" s="261">
        <f t="shared" ref="O53:O56" si="47">$J$8*M53</f>
        <v>5.7015000000000002</v>
      </c>
      <c r="P53" s="261">
        <f t="shared" ref="P53:P56" si="48">$J$10*M53</f>
        <v>6.7004999999999999</v>
      </c>
      <c r="Q53" s="261">
        <f t="shared" ref="Q53:Q56" si="49">M53*$J$9</f>
        <v>0</v>
      </c>
      <c r="R53" s="261">
        <f t="shared" ref="R53:R56" si="50">SUM(N53:Q53)</f>
        <v>24.341999999999999</v>
      </c>
      <c r="S53" s="261">
        <f t="shared" ref="S53:S56" si="51">R53-R44</f>
        <v>2.8249999999999993</v>
      </c>
      <c r="T53" s="272">
        <f t="shared" ref="T53:T56" si="52">S53/R44</f>
        <v>0.13129153692429238</v>
      </c>
      <c r="U53"/>
      <c r="V53" s="261">
        <v>3.3537523499999999E-2</v>
      </c>
      <c r="W53" s="261">
        <f t="shared" ref="W53:W56" si="53">M53*$J$12</f>
        <v>0</v>
      </c>
      <c r="X53" s="261">
        <f t="shared" ref="X53:X56" si="54">R53*$J$13</f>
        <v>0</v>
      </c>
      <c r="Y53" s="263">
        <f t="shared" ref="Y53:Y56" si="55">ROUND(SUM(R53,V53:X53),2)</f>
        <v>24.38</v>
      </c>
      <c r="Z53" s="261">
        <f>Y53-W44</f>
        <v>2.84</v>
      </c>
      <c r="AA53" s="272">
        <f>Z53/W44</f>
        <v>0.13184772516248838</v>
      </c>
      <c r="AB53" s="251"/>
      <c r="AD53" s="255"/>
      <c r="AF53" s="251"/>
    </row>
    <row r="54" spans="11:32">
      <c r="L54" s="56" t="s">
        <v>520</v>
      </c>
      <c r="M54" s="282">
        <f t="shared" si="45"/>
        <v>19</v>
      </c>
      <c r="N54" s="261">
        <f t="shared" si="46"/>
        <v>11.94</v>
      </c>
      <c r="O54" s="261">
        <f t="shared" si="47"/>
        <v>7.2218999999999998</v>
      </c>
      <c r="P54" s="261">
        <f t="shared" si="48"/>
        <v>8.4872999999999994</v>
      </c>
      <c r="Q54" s="261">
        <f t="shared" si="49"/>
        <v>0</v>
      </c>
      <c r="R54" s="261">
        <f t="shared" si="50"/>
        <v>27.6492</v>
      </c>
      <c r="S54" s="261">
        <f t="shared" si="51"/>
        <v>3.0609999999999999</v>
      </c>
      <c r="T54" s="272">
        <f t="shared" si="52"/>
        <v>0.12449060931666409</v>
      </c>
      <c r="U54"/>
      <c r="V54" s="261">
        <v>3.7484863099999995E-2</v>
      </c>
      <c r="W54" s="261">
        <f t="shared" si="53"/>
        <v>0</v>
      </c>
      <c r="X54" s="261">
        <f t="shared" si="54"/>
        <v>0</v>
      </c>
      <c r="Y54" s="263">
        <f t="shared" si="55"/>
        <v>27.69</v>
      </c>
      <c r="Z54" s="261">
        <f>Y54-W45</f>
        <v>3.0700000000000003</v>
      </c>
      <c r="AA54" s="272">
        <f>Z54/W45</f>
        <v>0.12469536961819659</v>
      </c>
      <c r="AB54" s="251"/>
      <c r="AD54" s="255"/>
      <c r="AF54" s="251"/>
    </row>
    <row r="55" spans="11:32">
      <c r="L55" s="56" t="s">
        <v>868</v>
      </c>
      <c r="M55" s="282">
        <f t="shared" si="45"/>
        <v>19</v>
      </c>
      <c r="N55" s="261">
        <f t="shared" si="46"/>
        <v>11.94</v>
      </c>
      <c r="O55" s="261">
        <f t="shared" si="47"/>
        <v>7.2218999999999998</v>
      </c>
      <c r="P55" s="261">
        <f t="shared" si="48"/>
        <v>8.4872999999999994</v>
      </c>
      <c r="Q55" s="261">
        <f t="shared" si="49"/>
        <v>0</v>
      </c>
      <c r="R55" s="261">
        <f t="shared" si="50"/>
        <v>27.6492</v>
      </c>
      <c r="S55" s="261">
        <f t="shared" si="51"/>
        <v>3.0609999999999999</v>
      </c>
      <c r="T55" s="272">
        <f t="shared" si="52"/>
        <v>0.12449060931666409</v>
      </c>
      <c r="U55"/>
      <c r="V55" s="261">
        <v>3.7484863099999995E-2</v>
      </c>
      <c r="W55" s="261">
        <f t="shared" si="53"/>
        <v>0</v>
      </c>
      <c r="X55" s="261">
        <f t="shared" si="54"/>
        <v>0</v>
      </c>
      <c r="Y55" s="263">
        <f t="shared" si="55"/>
        <v>27.69</v>
      </c>
      <c r="Z55" s="261">
        <f>Y55-W46</f>
        <v>3.0700000000000003</v>
      </c>
      <c r="AA55" s="272">
        <f>Z55/W46</f>
        <v>0.12469536961819659</v>
      </c>
      <c r="AB55" s="251"/>
      <c r="AD55" s="255"/>
      <c r="AF55" s="251"/>
    </row>
    <row r="56" spans="11:32">
      <c r="L56" s="267" t="s">
        <v>877</v>
      </c>
      <c r="M56" s="282">
        <f>M47</f>
        <v>13.25</v>
      </c>
      <c r="N56" s="261">
        <f t="shared" si="46"/>
        <v>11.94</v>
      </c>
      <c r="O56" s="261">
        <f t="shared" si="47"/>
        <v>5.0363249999999997</v>
      </c>
      <c r="P56" s="261">
        <f t="shared" si="48"/>
        <v>5.9187750000000001</v>
      </c>
      <c r="Q56" s="261">
        <f t="shared" si="49"/>
        <v>0</v>
      </c>
      <c r="R56" s="261">
        <f t="shared" si="50"/>
        <v>22.895099999999999</v>
      </c>
      <c r="S56" s="261">
        <f t="shared" si="51"/>
        <v>2.7217500000000037</v>
      </c>
      <c r="T56" s="272">
        <f t="shared" si="52"/>
        <v>0.13491809739086488</v>
      </c>
      <c r="U56"/>
      <c r="V56" s="261">
        <v>3.1810562424999994E-2</v>
      </c>
      <c r="W56" s="261">
        <f t="shared" si="53"/>
        <v>0</v>
      </c>
      <c r="X56" s="261">
        <f t="shared" si="54"/>
        <v>0</v>
      </c>
      <c r="Y56" s="263">
        <f t="shared" si="55"/>
        <v>22.93</v>
      </c>
      <c r="Z56" s="261">
        <f>Y56-W47</f>
        <v>2.7300000000000004</v>
      </c>
      <c r="AA56" s="272">
        <f>Z56/W47</f>
        <v>0.13514851485148519</v>
      </c>
      <c r="AB56" s="251"/>
      <c r="AD56" s="255"/>
      <c r="AF56" s="251"/>
    </row>
    <row r="57" spans="11:32"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 s="251"/>
      <c r="AD57" s="255"/>
      <c r="AF57" s="251"/>
    </row>
    <row r="58" spans="11:32"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 s="251"/>
      <c r="AD58" s="255"/>
      <c r="AF58" s="251"/>
    </row>
    <row r="59" spans="11:32"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1:32"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1:32" ht="15" customHeight="1"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 s="251"/>
      <c r="AD61" s="255"/>
      <c r="AF61" s="251"/>
    </row>
    <row r="62" spans="11:32" ht="21.75" customHeight="1"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 s="251"/>
      <c r="AD62" s="255"/>
      <c r="AF62" s="251"/>
    </row>
    <row r="63" spans="11:32"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 s="251"/>
      <c r="AD63" s="255"/>
      <c r="AF63" s="251"/>
    </row>
    <row r="64" spans="11:32"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 s="251"/>
      <c r="AD64" s="255"/>
      <c r="AF64" s="251"/>
    </row>
    <row r="65" spans="12:32"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 s="251"/>
      <c r="AD65" s="255"/>
      <c r="AF65" s="251"/>
    </row>
    <row r="66" spans="12:32"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 s="251"/>
      <c r="AD66" s="255"/>
      <c r="AF66" s="251"/>
    </row>
    <row r="67" spans="12:32"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 s="251"/>
      <c r="AD67" s="255"/>
      <c r="AF67" s="251"/>
    </row>
    <row r="68" spans="12:32"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 s="251"/>
      <c r="AD68" s="255"/>
      <c r="AF68" s="251"/>
    </row>
    <row r="69" spans="12:32"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 s="251"/>
      <c r="AD69" s="255"/>
      <c r="AF69" s="251"/>
    </row>
    <row r="70" spans="12:32"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 s="251"/>
      <c r="AD70" s="255"/>
      <c r="AF70" s="251"/>
    </row>
  </sheetData>
  <mergeCells count="73">
    <mergeCell ref="AA32:AA33"/>
    <mergeCell ref="Y32:Y33"/>
    <mergeCell ref="Z32:Z33"/>
    <mergeCell ref="Z50:Z51"/>
    <mergeCell ref="AA50:AA51"/>
    <mergeCell ref="Y50:Y51"/>
    <mergeCell ref="AA14:AA15"/>
    <mergeCell ref="X14:X15"/>
    <mergeCell ref="Y14:Y15"/>
    <mergeCell ref="Z14:Z15"/>
    <mergeCell ref="V23:V24"/>
    <mergeCell ref="W23:W24"/>
    <mergeCell ref="V4:V5"/>
    <mergeCell ref="W4:W5"/>
    <mergeCell ref="M13:P13"/>
    <mergeCell ref="M14:M15"/>
    <mergeCell ref="N14:N15"/>
    <mergeCell ref="O14:O15"/>
    <mergeCell ref="P14:P15"/>
    <mergeCell ref="R14:R15"/>
    <mergeCell ref="S14:S15"/>
    <mergeCell ref="T14:T15"/>
    <mergeCell ref="V14:V15"/>
    <mergeCell ref="W14:W15"/>
    <mergeCell ref="Q14:Q15"/>
    <mergeCell ref="L1:T1"/>
    <mergeCell ref="M3:P3"/>
    <mergeCell ref="M4:M5"/>
    <mergeCell ref="N4:N5"/>
    <mergeCell ref="O4:O5"/>
    <mergeCell ref="P4:P5"/>
    <mergeCell ref="R4:R5"/>
    <mergeCell ref="Q4:Q5"/>
    <mergeCell ref="M22:P22"/>
    <mergeCell ref="M23:M24"/>
    <mergeCell ref="N23:N24"/>
    <mergeCell ref="O23:O24"/>
    <mergeCell ref="P23:P24"/>
    <mergeCell ref="M41:M42"/>
    <mergeCell ref="N41:N42"/>
    <mergeCell ref="O41:O42"/>
    <mergeCell ref="P41:P42"/>
    <mergeCell ref="N32:N33"/>
    <mergeCell ref="O32:O33"/>
    <mergeCell ref="P32:P33"/>
    <mergeCell ref="R23:R24"/>
    <mergeCell ref="M31:P31"/>
    <mergeCell ref="Q23:Q24"/>
    <mergeCell ref="M32:M33"/>
    <mergeCell ref="M40:P40"/>
    <mergeCell ref="Q32:Q33"/>
    <mergeCell ref="M49:P49"/>
    <mergeCell ref="M50:M51"/>
    <mergeCell ref="N50:N51"/>
    <mergeCell ref="O50:O51"/>
    <mergeCell ref="P50:P51"/>
    <mergeCell ref="Q41:Q42"/>
    <mergeCell ref="Q50:Q51"/>
    <mergeCell ref="R41:R42"/>
    <mergeCell ref="S50:S51"/>
    <mergeCell ref="T50:T51"/>
    <mergeCell ref="R50:R51"/>
    <mergeCell ref="X50:X51"/>
    <mergeCell ref="X32:X33"/>
    <mergeCell ref="R32:R33"/>
    <mergeCell ref="W32:W33"/>
    <mergeCell ref="V41:V42"/>
    <mergeCell ref="W41:W42"/>
    <mergeCell ref="V32:V33"/>
    <mergeCell ref="S32:S33"/>
    <mergeCell ref="T32:T33"/>
    <mergeCell ref="V50:V51"/>
    <mergeCell ref="W50:W51"/>
  </mergeCells>
  <conditionalFormatting sqref="J12">
    <cfRule type="containsBlanks" dxfId="124" priority="1">
      <formula>LEN(TRIM(J12))=0</formula>
    </cfRule>
  </conditionalFormatting>
  <printOptions horizontalCentered="1"/>
  <pageMargins left="0.45" right="0.45" top="1.25" bottom="0.75" header="0.5" footer="0.3"/>
  <pageSetup scale="95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1" max="26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26425-8C9A-488B-9B69-6E97A9DF281F}">
  <sheetPr codeName="Sheet25">
    <tabColor theme="2" tint="-0.249977111117893"/>
    <pageSetUpPr fitToPage="1"/>
  </sheetPr>
  <dimension ref="A1:AF70"/>
  <sheetViews>
    <sheetView zoomScale="90" zoomScaleNormal="90" zoomScaleSheetLayoutView="70" workbookViewId="0">
      <selection activeCell="G39" sqref="G39"/>
    </sheetView>
  </sheetViews>
  <sheetFormatPr defaultColWidth="9.28515625" defaultRowHeight="15"/>
  <cols>
    <col min="1" max="3" width="9.28515625" style="251"/>
    <col min="4" max="4" width="12.5703125" style="251" bestFit="1" customWidth="1"/>
    <col min="5" max="5" width="14.42578125" style="251" bestFit="1" customWidth="1"/>
    <col min="6" max="6" width="19.140625" style="251" bestFit="1" customWidth="1"/>
    <col min="7" max="7" width="22.42578125" style="57" bestFit="1" customWidth="1"/>
    <col min="8" max="9" width="9.7109375" style="57" bestFit="1" customWidth="1"/>
    <col min="10" max="10" width="3.42578125" style="57" customWidth="1"/>
    <col min="11" max="11" width="9.7109375" style="57" bestFit="1" customWidth="1"/>
    <col min="12" max="17" width="10.28515625" style="57" customWidth="1"/>
    <col min="18" max="18" width="7.42578125" style="57" bestFit="1" customWidth="1"/>
    <col min="19" max="19" width="7.5703125" style="57" bestFit="1" customWidth="1"/>
    <col min="20" max="20" width="7.5703125" style="57" customWidth="1"/>
    <col min="21" max="21" width="7" style="57" bestFit="1" customWidth="1"/>
    <col min="22" max="22" width="8.28515625" style="57" bestFit="1" customWidth="1"/>
    <col min="23" max="23" width="7.5703125" style="57" customWidth="1"/>
    <col min="24" max="24" width="8.28515625" style="57" bestFit="1" customWidth="1"/>
    <col min="25" max="27" width="7.5703125" style="57" customWidth="1"/>
    <col min="28" max="30" width="9.28515625" style="251"/>
    <col min="31" max="31" width="9.28515625" style="255"/>
    <col min="32" max="16384" width="9.28515625" style="251"/>
  </cols>
  <sheetData>
    <row r="1" spans="1:32">
      <c r="G1" s="57" t="s">
        <v>854</v>
      </c>
      <c r="H1" s="4" t="s">
        <v>765</v>
      </c>
      <c r="I1" s="56" t="s">
        <v>521</v>
      </c>
      <c r="K1" s="818" t="s">
        <v>888</v>
      </c>
      <c r="L1" s="818"/>
      <c r="M1" s="818"/>
      <c r="N1" s="818"/>
      <c r="O1" s="818"/>
      <c r="P1" s="818"/>
      <c r="Q1" s="818"/>
      <c r="R1" s="818"/>
      <c r="S1" s="818"/>
      <c r="T1" s="253"/>
      <c r="U1" s="254"/>
    </row>
    <row r="2" spans="1:32">
      <c r="L2" s="256" t="s">
        <v>856</v>
      </c>
    </row>
    <row r="3" spans="1:32" ht="15" customHeight="1">
      <c r="I3" s="100"/>
      <c r="L3" s="813" t="s">
        <v>857</v>
      </c>
      <c r="M3" s="814"/>
      <c r="N3" s="814"/>
      <c r="O3" s="815"/>
      <c r="P3" s="296"/>
      <c r="T3" s="251"/>
      <c r="Z3" s="251"/>
      <c r="AA3" s="251"/>
      <c r="AC3" s="255"/>
      <c r="AE3" s="251"/>
    </row>
    <row r="4" spans="1:32" ht="21.75" customHeight="1">
      <c r="A4" s="251" t="s">
        <v>598</v>
      </c>
      <c r="B4" s="251" t="s">
        <v>599</v>
      </c>
      <c r="C4" s="251" t="s">
        <v>587</v>
      </c>
      <c r="D4" s="251" t="s">
        <v>600</v>
      </c>
      <c r="E4" s="251" t="s">
        <v>601</v>
      </c>
      <c r="F4" s="251" t="s">
        <v>858</v>
      </c>
      <c r="H4" s="257" t="s">
        <v>828</v>
      </c>
      <c r="I4" s="257" t="s">
        <v>551</v>
      </c>
      <c r="L4" s="810" t="s">
        <v>859</v>
      </c>
      <c r="M4" s="816" t="s">
        <v>860</v>
      </c>
      <c r="N4" s="808" t="s">
        <v>861</v>
      </c>
      <c r="O4" s="808" t="s">
        <v>610</v>
      </c>
      <c r="P4" s="808" t="s">
        <v>862</v>
      </c>
      <c r="Q4" s="810" t="s">
        <v>863</v>
      </c>
      <c r="U4" s="811" t="s">
        <v>864</v>
      </c>
      <c r="V4" s="811" t="s">
        <v>865</v>
      </c>
      <c r="AA4" s="251"/>
      <c r="AD4" s="255"/>
      <c r="AE4" s="251"/>
    </row>
    <row r="5" spans="1:32">
      <c r="A5" s="100">
        <v>41030</v>
      </c>
      <c r="B5" s="100">
        <f>'Rate Changes'!J1</f>
        <v>46082</v>
      </c>
      <c r="C5" s="251" t="str">
        <f>I1</f>
        <v>GGSVS</v>
      </c>
      <c r="D5" s="100" t="str">
        <f t="shared" ref="D5:E11" si="0">IF(C5="","",A5&amp;$C5)</f>
        <v>41030GGSVS</v>
      </c>
      <c r="E5" s="100" t="str">
        <f t="shared" si="0"/>
        <v>46082GGSVS</v>
      </c>
      <c r="F5" s="251" t="str">
        <f>IFERROR(IF(VLOOKUP(G5,Lookup!$A$1:$B$200,2,0)="","",VLOOKUP(G5,Lookup!$A$1:$B$200,2,0)),"")</f>
        <v>BASIC_SERVICE_CHARGE</v>
      </c>
      <c r="G5" s="258" t="s">
        <v>607</v>
      </c>
      <c r="H5" s="259">
        <f>VLOOKUP(D5,'UNSG - ALL RATES'!$A$1:$DF$43,MATCH($F5,'UNSG - ALL RATES'!$A$2:$DF$2,0),0)</f>
        <v>20</v>
      </c>
      <c r="I5" s="259">
        <f>VLOOKUP(E5,'UNSG - ALL RATES'!$A$1:$DF$38,MATCH($F5,'UNSG - ALL RATES'!$A$2:$DF$2,0),0)</f>
        <v>28.32</v>
      </c>
      <c r="J5" s="259"/>
      <c r="L5" s="810"/>
      <c r="M5" s="817"/>
      <c r="N5" s="809"/>
      <c r="O5" s="809"/>
      <c r="P5" s="809"/>
      <c r="Q5" s="810"/>
      <c r="T5" s="251"/>
      <c r="U5" s="812"/>
      <c r="V5" s="812"/>
      <c r="Z5" s="251"/>
      <c r="AA5" s="251"/>
      <c r="AC5" s="255"/>
      <c r="AE5" s="251"/>
    </row>
    <row r="6" spans="1:32">
      <c r="A6" s="100">
        <v>41030</v>
      </c>
      <c r="B6" s="100">
        <f t="shared" ref="B6:B11" si="1">$B$5</f>
        <v>46082</v>
      </c>
      <c r="C6" s="251" t="str">
        <f t="shared" ref="C6:C11" si="2">C5</f>
        <v>GGSVS</v>
      </c>
      <c r="D6" s="100" t="str">
        <f t="shared" si="0"/>
        <v>41030GGSVS</v>
      </c>
      <c r="E6" s="100" t="str">
        <f t="shared" si="0"/>
        <v>46082GGSVS</v>
      </c>
      <c r="F6" s="251" t="str">
        <f>IFERROR(IF(VLOOKUP(G6,Lookup!$A$1:$B$200,2,0)="","",VLOOKUP(G6,Lookup!$A$1:$B$200,2,0)),"")</f>
        <v/>
      </c>
      <c r="G6" s="258"/>
      <c r="H6" s="259"/>
      <c r="I6" s="259"/>
      <c r="J6" s="259"/>
      <c r="K6" s="56" t="s">
        <v>482</v>
      </c>
      <c r="L6" s="260">
        <f>AVERAGE(L25,L43)</f>
        <v>79.5</v>
      </c>
      <c r="M6" s="261">
        <f>VLOOKUP(M4,$G$5:$I$5,2,0)</f>
        <v>20</v>
      </c>
      <c r="N6" s="261">
        <f>$H$8*L6</f>
        <v>22.55415</v>
      </c>
      <c r="O6" s="261">
        <f>$H$10*L6</f>
        <v>35.019750000000002</v>
      </c>
      <c r="P6" s="261">
        <f>L6*$H$9</f>
        <v>-1.2799499999999999</v>
      </c>
      <c r="Q6" s="261">
        <f>SUM(M6:P6)</f>
        <v>76.293950000000009</v>
      </c>
      <c r="T6" s="262"/>
      <c r="U6" s="261">
        <f>Q6*'UNSG Riders- Current'!$C$4</f>
        <v>0.14373780180000001</v>
      </c>
      <c r="V6" s="263">
        <f>ROUND(SUM(Q6,U6:U6),2)</f>
        <v>76.44</v>
      </c>
      <c r="Y6" s="262"/>
      <c r="Z6" s="251"/>
      <c r="AA6" s="251"/>
      <c r="AC6" s="255"/>
      <c r="AE6" s="251"/>
    </row>
    <row r="7" spans="1:32">
      <c r="A7" s="100">
        <v>41030</v>
      </c>
      <c r="B7" s="100">
        <f t="shared" si="1"/>
        <v>46082</v>
      </c>
      <c r="C7" s="251" t="str">
        <f t="shared" si="2"/>
        <v>GGSVS</v>
      </c>
      <c r="D7" s="100" t="str">
        <f t="shared" si="0"/>
        <v>41030GGSVS</v>
      </c>
      <c r="E7" s="100" t="str">
        <f t="shared" si="0"/>
        <v>46082GGSVS</v>
      </c>
      <c r="F7" s="251" t="str">
        <f>IFERROR(IF(VLOOKUP(G7,Lookup!$A$1:$B$200,2,0)="","",VLOOKUP(G7,Lookup!$A$1:$B$200,2,0)),"")</f>
        <v/>
      </c>
      <c r="G7" s="258" t="s">
        <v>512</v>
      </c>
      <c r="H7" s="259"/>
      <c r="I7" s="259"/>
      <c r="J7" s="264"/>
      <c r="K7" s="56" t="s">
        <v>866</v>
      </c>
      <c r="L7" s="260">
        <f t="shared" ref="L7:L10" si="3">AVERAGE(L26,L44)</f>
        <v>215</v>
      </c>
      <c r="M7" s="261">
        <f>M6</f>
        <v>20</v>
      </c>
      <c r="N7" s="261">
        <f t="shared" ref="N7:N10" si="4">$H$8*L7</f>
        <v>60.9955</v>
      </c>
      <c r="O7" s="261">
        <f t="shared" ref="O7:O10" si="5">$H$10*L7</f>
        <v>94.707499999999996</v>
      </c>
      <c r="P7" s="261">
        <f t="shared" ref="P7:P10" si="6">L7*$H$9</f>
        <v>-3.4615</v>
      </c>
      <c r="Q7" s="261">
        <f t="shared" ref="Q7:Q10" si="7">SUM(M7:P7)</f>
        <v>172.24149999999997</v>
      </c>
      <c r="T7" s="262"/>
      <c r="U7" s="261">
        <f>Q7*'UNSG Riders- Current'!$C$4</f>
        <v>0.32450298599999994</v>
      </c>
      <c r="V7" s="263">
        <f>ROUND(SUM(Q7,U7:U7),2)</f>
        <v>172.57</v>
      </c>
      <c r="Y7" s="262"/>
      <c r="Z7" s="251"/>
      <c r="AA7" s="251"/>
      <c r="AC7" s="255"/>
      <c r="AE7" s="251"/>
    </row>
    <row r="8" spans="1:32">
      <c r="A8" s="100">
        <v>41030</v>
      </c>
      <c r="B8" s="100">
        <f t="shared" si="1"/>
        <v>46082</v>
      </c>
      <c r="C8" s="251" t="str">
        <f t="shared" si="2"/>
        <v>GGSVS</v>
      </c>
      <c r="D8" s="100" t="str">
        <f t="shared" si="0"/>
        <v>41030GGSVS</v>
      </c>
      <c r="E8" s="100" t="str">
        <f t="shared" si="0"/>
        <v>46082GGSVS</v>
      </c>
      <c r="F8" s="251" t="str">
        <f>IFERROR(IF(VLOOKUP(G8,Lookup!$A$1:$B$200,2,0)="","",VLOOKUP(G8,Lookup!$A$1:$B$200,2,0)),"")</f>
        <v>THERM_DELIVERY_TIER1</v>
      </c>
      <c r="G8" s="57" t="s">
        <v>609</v>
      </c>
      <c r="H8" s="265">
        <f>VLOOKUP(D8,'UNSG - ALL RATES'!$A$1:$DF$38,MATCH($F8,'UNSG - ALL RATES'!$A$2:$DF$2,0),0)</f>
        <v>0.28370000000000001</v>
      </c>
      <c r="I8" s="265">
        <f>VLOOKUP(E8,'UNSG - ALL RATES'!$A$1:$DF$38,MATCH($F8,'UNSG - ALL RATES'!$A$2:$DF$2,0),0)</f>
        <v>0.31340000000000001</v>
      </c>
      <c r="J8" s="264"/>
      <c r="K8" s="56" t="s">
        <v>520</v>
      </c>
      <c r="L8" s="260">
        <f t="shared" si="3"/>
        <v>622</v>
      </c>
      <c r="M8" s="261">
        <f t="shared" ref="M8:M10" si="8">M7</f>
        <v>20</v>
      </c>
      <c r="N8" s="261">
        <f t="shared" si="4"/>
        <v>176.4614</v>
      </c>
      <c r="O8" s="261">
        <f t="shared" si="5"/>
        <v>273.99099999999999</v>
      </c>
      <c r="P8" s="261">
        <f t="shared" si="6"/>
        <v>-10.014200000000001</v>
      </c>
      <c r="Q8" s="261">
        <f t="shared" si="7"/>
        <v>460.43819999999999</v>
      </c>
      <c r="T8" s="262"/>
      <c r="U8" s="261">
        <f>Q8*'UNSG Riders- Current'!$C$4</f>
        <v>0.86746556880000003</v>
      </c>
      <c r="V8" s="263">
        <f>ROUND(SUM(Q8,U8:U8),2)</f>
        <v>461.31</v>
      </c>
      <c r="Y8" s="262"/>
      <c r="Z8" s="251"/>
      <c r="AA8" s="251"/>
      <c r="AC8" s="255"/>
      <c r="AE8" s="251"/>
    </row>
    <row r="9" spans="1:32">
      <c r="A9" s="100">
        <v>41030</v>
      </c>
      <c r="B9" s="100">
        <f t="shared" si="1"/>
        <v>46082</v>
      </c>
      <c r="C9" s="251" t="str">
        <f t="shared" si="2"/>
        <v>GGSVS</v>
      </c>
      <c r="D9" s="100" t="str">
        <f t="shared" si="0"/>
        <v>41030GGSVS</v>
      </c>
      <c r="E9" s="100" t="str">
        <f t="shared" si="0"/>
        <v>46082GGSVS</v>
      </c>
      <c r="F9" s="251" t="str">
        <f>IFERROR(IF(VLOOKUP(G9,Lookup!$A$1:$B$200,2,0)="","",VLOOKUP(G9,Lookup!$A$1:$B$200,2,0)),"")</f>
        <v/>
      </c>
      <c r="G9" s="57" t="s">
        <v>867</v>
      </c>
      <c r="H9" s="264">
        <v>-1.61E-2</v>
      </c>
      <c r="I9" s="674">
        <v>0</v>
      </c>
      <c r="J9" s="264"/>
      <c r="K9" s="56" t="s">
        <v>868</v>
      </c>
      <c r="L9" s="260">
        <f t="shared" si="3"/>
        <v>1087</v>
      </c>
      <c r="M9" s="261">
        <f t="shared" si="8"/>
        <v>20</v>
      </c>
      <c r="N9" s="261">
        <f t="shared" si="4"/>
        <v>308.38190000000003</v>
      </c>
      <c r="O9" s="261">
        <f t="shared" si="5"/>
        <v>478.82350000000002</v>
      </c>
      <c r="P9" s="261">
        <f t="shared" si="6"/>
        <v>-17.500699999999998</v>
      </c>
      <c r="Q9" s="261">
        <f t="shared" si="7"/>
        <v>789.7047</v>
      </c>
      <c r="T9" s="262"/>
      <c r="U9" s="261">
        <f>Q9*'UNSG Riders- Current'!$C$4</f>
        <v>1.4878036548</v>
      </c>
      <c r="V9" s="263">
        <f>ROUND(SUM(Q9,U9:U9),2)</f>
        <v>791.19</v>
      </c>
      <c r="Y9" s="262"/>
      <c r="Z9" s="251"/>
      <c r="AA9" s="251"/>
      <c r="AC9" s="255"/>
      <c r="AE9" s="251"/>
    </row>
    <row r="10" spans="1:32">
      <c r="A10" s="100">
        <v>41030</v>
      </c>
      <c r="B10" s="100">
        <f t="shared" si="1"/>
        <v>46082</v>
      </c>
      <c r="C10" s="251" t="str">
        <f t="shared" si="2"/>
        <v>GGSVS</v>
      </c>
      <c r="D10" s="100" t="str">
        <f t="shared" si="0"/>
        <v>41030GGSVS</v>
      </c>
      <c r="E10" s="100" t="str">
        <f t="shared" si="0"/>
        <v>46082GGSVS</v>
      </c>
      <c r="F10" s="251" t="str">
        <f>IFERROR(IF(VLOOKUP(G10,Lookup!$A$1:$B$200,2,0)="","",VLOOKUP(G10,Lookup!$A$1:$B$200,2,0)),"")</f>
        <v/>
      </c>
      <c r="G10" s="266" t="s">
        <v>610</v>
      </c>
      <c r="H10" s="264">
        <f>'PGA Calculation'!$B$3</f>
        <v>0.4405</v>
      </c>
      <c r="I10" s="264">
        <f>'PGA Calculation'!$B$13</f>
        <v>0.44669999999999999</v>
      </c>
      <c r="J10" s="264"/>
      <c r="K10" s="267" t="s">
        <v>869</v>
      </c>
      <c r="L10" s="260">
        <f t="shared" si="3"/>
        <v>269.52794983173123</v>
      </c>
      <c r="M10" s="261">
        <f t="shared" si="8"/>
        <v>20</v>
      </c>
      <c r="N10" s="261">
        <f t="shared" si="4"/>
        <v>76.465079367262149</v>
      </c>
      <c r="O10" s="261">
        <f t="shared" si="5"/>
        <v>118.72706190087762</v>
      </c>
      <c r="P10" s="261">
        <f t="shared" si="6"/>
        <v>-4.3393999922908728</v>
      </c>
      <c r="Q10" s="261">
        <f t="shared" si="7"/>
        <v>210.8527412758489</v>
      </c>
      <c r="T10" s="262"/>
      <c r="U10" s="261">
        <f>Q10*'UNSG Riders- Current'!$C$4</f>
        <v>0.39724656456369933</v>
      </c>
      <c r="V10" s="263">
        <f>ROUND(SUM(Q10,U10:U10),2)</f>
        <v>211.25</v>
      </c>
      <c r="Y10" s="262"/>
      <c r="Z10" s="251"/>
      <c r="AA10" s="251"/>
      <c r="AC10" s="255"/>
      <c r="AE10" s="251"/>
    </row>
    <row r="11" spans="1:32">
      <c r="A11" s="100">
        <v>41030</v>
      </c>
      <c r="B11" s="100">
        <f t="shared" si="1"/>
        <v>46082</v>
      </c>
      <c r="C11" s="251" t="str">
        <f t="shared" si="2"/>
        <v>GGSVS</v>
      </c>
      <c r="D11" s="100" t="str">
        <f t="shared" si="0"/>
        <v>41030GGSVS</v>
      </c>
      <c r="E11" s="100" t="str">
        <f t="shared" si="0"/>
        <v>46082GGSVS</v>
      </c>
      <c r="F11" s="251" t="str">
        <f>IFERROR(IF(VLOOKUP(G11,Lookup!$A$1:$B$200,2,0)="","",VLOOKUP(G11,Lookup!$A$1:$B$200,2,0)),"")</f>
        <v/>
      </c>
      <c r="G11" s="258"/>
      <c r="H11" s="264"/>
      <c r="I11"/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V11" s="268"/>
      <c r="W11" s="268"/>
      <c r="X11" s="268"/>
      <c r="Y11" s="269"/>
      <c r="AA11" s="262"/>
    </row>
    <row r="12" spans="1:32">
      <c r="A12" s="100"/>
      <c r="B12" s="100"/>
      <c r="D12" s="100"/>
      <c r="E12" s="100"/>
      <c r="G12" s="258" t="s">
        <v>870</v>
      </c>
      <c r="H12" s="264">
        <v>0</v>
      </c>
      <c r="I12" s="669">
        <f>'UNSG Riders- Current'!$C$3</f>
        <v>0</v>
      </c>
      <c r="J12" s="264"/>
      <c r="Q12" s="270"/>
    </row>
    <row r="13" spans="1:32" ht="15" customHeight="1">
      <c r="A13" s="100">
        <v>41030</v>
      </c>
      <c r="B13" s="100">
        <f t="shared" ref="B13:B18" si="9">$B$5</f>
        <v>46082</v>
      </c>
      <c r="C13" s="251" t="str">
        <f>C11</f>
        <v>GGSVS</v>
      </c>
      <c r="D13" s="100" t="str">
        <f t="shared" ref="D13:E18" si="10">IF(C13="","",A13&amp;$C13)</f>
        <v>41030GGSVS</v>
      </c>
      <c r="E13" s="100" t="str">
        <f t="shared" si="10"/>
        <v>46082GGSVS</v>
      </c>
      <c r="F13" s="251" t="str">
        <f>IFERROR(IF(VLOOKUP(G13,Lookup!$A$1:$B$200,2,0)="","",VLOOKUP(G13,Lookup!$A$1:$B$200,2,0)),"")</f>
        <v/>
      </c>
      <c r="G13" s="266" t="s">
        <v>871</v>
      </c>
      <c r="H13" s="264">
        <v>0</v>
      </c>
      <c r="I13" s="675">
        <f>'UNSG Riders- Current'!$C$5</f>
        <v>0</v>
      </c>
      <c r="L13" s="813" t="s">
        <v>872</v>
      </c>
      <c r="M13" s="814"/>
      <c r="N13" s="814"/>
      <c r="O13" s="815"/>
      <c r="P13" s="296"/>
      <c r="T13" s="251"/>
      <c r="V13" s="271"/>
      <c r="Z13" s="251"/>
      <c r="AA13" s="251"/>
      <c r="AC13" s="255"/>
      <c r="AE13" s="251"/>
    </row>
    <row r="14" spans="1:32" ht="22.5" customHeight="1">
      <c r="A14" s="100">
        <v>41030</v>
      </c>
      <c r="B14" s="100">
        <f t="shared" si="9"/>
        <v>46082</v>
      </c>
      <c r="C14" s="251" t="str">
        <f>C13</f>
        <v>GGSVS</v>
      </c>
      <c r="D14" s="100" t="str">
        <f t="shared" si="10"/>
        <v>41030GGSVS</v>
      </c>
      <c r="E14" s="100" t="str">
        <f t="shared" si="10"/>
        <v>46082GGSVS</v>
      </c>
      <c r="F14" s="251" t="str">
        <f>IFERROR(IF(VLOOKUP(G14,Lookup!$A$1:$B$200,2,0)="","",VLOOKUP(G14,Lookup!$A$1:$B$200,2,0)),"")</f>
        <v/>
      </c>
      <c r="I14"/>
      <c r="L14" s="810" t="s">
        <v>859</v>
      </c>
      <c r="M14" s="816" t="s">
        <v>860</v>
      </c>
      <c r="N14" s="808" t="s">
        <v>861</v>
      </c>
      <c r="O14" s="808" t="s">
        <v>610</v>
      </c>
      <c r="P14" s="808" t="s">
        <v>873</v>
      </c>
      <c r="Q14" s="810" t="s">
        <v>863</v>
      </c>
      <c r="R14" s="808" t="s">
        <v>874</v>
      </c>
      <c r="S14" s="808" t="s">
        <v>875</v>
      </c>
      <c r="U14" s="811" t="s">
        <v>864</v>
      </c>
      <c r="V14" s="811" t="s">
        <v>870</v>
      </c>
      <c r="W14" s="811" t="s">
        <v>871</v>
      </c>
      <c r="X14" s="811" t="s">
        <v>865</v>
      </c>
      <c r="Y14" s="808" t="s">
        <v>874</v>
      </c>
      <c r="Z14" s="808" t="s">
        <v>875</v>
      </c>
      <c r="AB14" s="57"/>
      <c r="AE14" s="251"/>
      <c r="AF14" s="255"/>
    </row>
    <row r="15" spans="1:32" ht="16.5" customHeight="1">
      <c r="A15" s="100">
        <v>41030</v>
      </c>
      <c r="B15" s="100">
        <f t="shared" si="9"/>
        <v>46082</v>
      </c>
      <c r="C15" s="251" t="str">
        <f>C14</f>
        <v>GGSVS</v>
      </c>
      <c r="D15" s="100" t="str">
        <f t="shared" si="10"/>
        <v>41030GGSVS</v>
      </c>
      <c r="E15" s="100" t="str">
        <f t="shared" si="10"/>
        <v>46082GGSVS</v>
      </c>
      <c r="F15" s="251" t="str">
        <f>IFERROR(IF(VLOOKUP(G15,Lookup!$A$1:$B$200,2,0)="","",VLOOKUP(G15,Lookup!$A$1:$B$200,2,0)),"")</f>
        <v/>
      </c>
      <c r="H15" s="264"/>
      <c r="I15"/>
      <c r="L15" s="810"/>
      <c r="M15" s="817"/>
      <c r="N15" s="809"/>
      <c r="O15" s="809"/>
      <c r="P15" s="809"/>
      <c r="Q15" s="810"/>
      <c r="R15" s="809"/>
      <c r="S15" s="809"/>
      <c r="U15" s="812"/>
      <c r="V15" s="812"/>
      <c r="W15" s="812"/>
      <c r="X15" s="812"/>
      <c r="Y15" s="809"/>
      <c r="Z15" s="809"/>
      <c r="AB15" s="57"/>
      <c r="AE15" s="251"/>
      <c r="AF15" s="255"/>
    </row>
    <row r="16" spans="1:32">
      <c r="A16" s="100">
        <v>41030</v>
      </c>
      <c r="B16" s="100">
        <f t="shared" si="9"/>
        <v>46082</v>
      </c>
      <c r="C16" s="251" t="str">
        <f>C15</f>
        <v>GGSVS</v>
      </c>
      <c r="D16" s="100" t="str">
        <f t="shared" si="10"/>
        <v>41030GGSVS</v>
      </c>
      <c r="E16" s="100" t="str">
        <f t="shared" si="10"/>
        <v>46082GGSVS</v>
      </c>
      <c r="G16" s="130"/>
      <c r="H16" s="264"/>
      <c r="I16" s="264"/>
      <c r="J16" s="264"/>
      <c r="K16" s="56" t="s">
        <v>482</v>
      </c>
      <c r="L16" s="260">
        <f>L6</f>
        <v>79.5</v>
      </c>
      <c r="M16" s="261">
        <f>VLOOKUP(M14,$G$5:$I$5,3,0)</f>
        <v>28.32</v>
      </c>
      <c r="N16" s="261">
        <f>$I$8*L16</f>
        <v>24.915300000000002</v>
      </c>
      <c r="O16" s="261">
        <f>$I$10*L16</f>
        <v>35.512650000000001</v>
      </c>
      <c r="P16" s="261">
        <f>L16*$I$9</f>
        <v>0</v>
      </c>
      <c r="Q16" s="261">
        <f>SUM(M16:P16)</f>
        <v>88.747950000000003</v>
      </c>
      <c r="R16" s="261">
        <f>Q16-Q6</f>
        <v>12.453999999999994</v>
      </c>
      <c r="S16" s="272">
        <f>R16/Q6</f>
        <v>0.16323705877071501</v>
      </c>
      <c r="T16" s="273"/>
      <c r="U16" s="261">
        <f>Q16*'UNSG Riders- Current'!$C$4</f>
        <v>0.16720113780000001</v>
      </c>
      <c r="V16" s="261">
        <f>L16*$I$12</f>
        <v>0</v>
      </c>
      <c r="W16" s="261">
        <f>Q16*$I$13</f>
        <v>0</v>
      </c>
      <c r="X16" s="263">
        <f>ROUND(SUM(Q16,U16:W16),2)</f>
        <v>88.92</v>
      </c>
      <c r="Y16" s="261">
        <f>X16-V6</f>
        <v>12.480000000000004</v>
      </c>
      <c r="Z16" s="272">
        <f>Y16/V6</f>
        <v>0.16326530612244905</v>
      </c>
      <c r="AB16" s="57"/>
      <c r="AE16" s="251"/>
      <c r="AF16" s="255"/>
    </row>
    <row r="17" spans="1:32">
      <c r="A17" s="100">
        <v>41030</v>
      </c>
      <c r="B17" s="100">
        <f t="shared" si="9"/>
        <v>46082</v>
      </c>
      <c r="C17" s="251" t="str">
        <f>C16</f>
        <v>GGSVS</v>
      </c>
      <c r="D17" s="100" t="str">
        <f t="shared" si="10"/>
        <v>41030GGSVS</v>
      </c>
      <c r="E17" s="100" t="str">
        <f t="shared" si="10"/>
        <v>46082GGSVS</v>
      </c>
      <c r="H17" s="274"/>
      <c r="I17" s="274"/>
      <c r="J17" s="264"/>
      <c r="K17" s="56" t="s">
        <v>866</v>
      </c>
      <c r="L17" s="260">
        <f t="shared" ref="L17:L20" si="11">L7</f>
        <v>215</v>
      </c>
      <c r="M17" s="261">
        <f>M16</f>
        <v>28.32</v>
      </c>
      <c r="N17" s="261">
        <f t="shared" ref="N17:N20" si="12">$I$8*L17</f>
        <v>67.381</v>
      </c>
      <c r="O17" s="261">
        <f t="shared" ref="O17:O20" si="13">$I$10*L17</f>
        <v>96.040499999999994</v>
      </c>
      <c r="P17" s="261">
        <f t="shared" ref="P17:P20" si="14">L17*$I$9</f>
        <v>0</v>
      </c>
      <c r="Q17" s="261">
        <f t="shared" ref="Q17:Q20" si="15">SUM(M17:P17)</f>
        <v>191.74149999999997</v>
      </c>
      <c r="R17" s="261">
        <f>Q17-Q7</f>
        <v>19.5</v>
      </c>
      <c r="S17" s="272">
        <f>R17/Q7</f>
        <v>0.11321313388469099</v>
      </c>
      <c r="T17" s="273"/>
      <c r="U17" s="261">
        <f>Q17*'UNSG Riders- Current'!$C$4</f>
        <v>0.36124098599999993</v>
      </c>
      <c r="V17" s="261">
        <f t="shared" ref="V17:V20" si="16">L17*$I$12</f>
        <v>0</v>
      </c>
      <c r="W17" s="261">
        <f t="shared" ref="W17:W20" si="17">Q17*$I$13</f>
        <v>0</v>
      </c>
      <c r="X17" s="263">
        <f t="shared" ref="X17:X20" si="18">ROUND(SUM(Q17,U17:W17),2)</f>
        <v>192.1</v>
      </c>
      <c r="Y17" s="261">
        <f>X17-V7</f>
        <v>19.53</v>
      </c>
      <c r="Z17" s="272">
        <f>Y17/V7</f>
        <v>0.11317146665121401</v>
      </c>
      <c r="AB17" s="57"/>
      <c r="AE17" s="251"/>
      <c r="AF17" s="255"/>
    </row>
    <row r="18" spans="1:32">
      <c r="A18" s="100">
        <v>41030</v>
      </c>
      <c r="B18" s="100">
        <f t="shared" si="9"/>
        <v>46082</v>
      </c>
      <c r="C18" s="251" t="str">
        <f>C17</f>
        <v>GGSVS</v>
      </c>
      <c r="D18" s="100" t="str">
        <f t="shared" si="10"/>
        <v>41030GGSVS</v>
      </c>
      <c r="E18" s="100" t="str">
        <f t="shared" si="10"/>
        <v>46082GGSVS</v>
      </c>
      <c r="F18" s="251" t="str">
        <f>IFERROR(IF(VLOOKUP(G18,Lookup!$A$1:$B$200,2,0)="","",VLOOKUP(G18,Lookup!$A$1:$B$200,2,0)),"")</f>
        <v/>
      </c>
      <c r="G18"/>
      <c r="H18"/>
      <c r="I18"/>
      <c r="J18" s="264"/>
      <c r="K18" s="56" t="s">
        <v>520</v>
      </c>
      <c r="L18" s="260">
        <f t="shared" si="11"/>
        <v>622</v>
      </c>
      <c r="M18" s="261">
        <f t="shared" ref="M18:M20" si="19">M17</f>
        <v>28.32</v>
      </c>
      <c r="N18" s="261">
        <f t="shared" si="12"/>
        <v>194.9348</v>
      </c>
      <c r="O18" s="261">
        <f t="shared" si="13"/>
        <v>277.84739999999999</v>
      </c>
      <c r="P18" s="261">
        <f t="shared" si="14"/>
        <v>0</v>
      </c>
      <c r="Q18" s="261">
        <f t="shared" si="15"/>
        <v>501.10219999999998</v>
      </c>
      <c r="R18" s="261">
        <f>Q18-Q8</f>
        <v>40.663999999999987</v>
      </c>
      <c r="S18" s="272">
        <f>R18/Q8</f>
        <v>8.8315869534717123E-2</v>
      </c>
      <c r="T18" s="273"/>
      <c r="U18" s="261">
        <f>Q18*'UNSG Riders- Current'!$C$4</f>
        <v>0.94407654480000003</v>
      </c>
      <c r="V18" s="261">
        <f t="shared" si="16"/>
        <v>0</v>
      </c>
      <c r="W18" s="261">
        <f t="shared" si="17"/>
        <v>0</v>
      </c>
      <c r="X18" s="263">
        <f t="shared" si="18"/>
        <v>502.05</v>
      </c>
      <c r="Y18" s="261">
        <f>X18-V8</f>
        <v>40.740000000000009</v>
      </c>
      <c r="Z18" s="272">
        <f>Y18/V8</f>
        <v>8.8313715289068104E-2</v>
      </c>
      <c r="AB18" s="57"/>
      <c r="AE18" s="251"/>
      <c r="AF18" s="255"/>
    </row>
    <row r="19" spans="1:32">
      <c r="K19" s="56" t="s">
        <v>868</v>
      </c>
      <c r="L19" s="260">
        <f t="shared" si="11"/>
        <v>1087</v>
      </c>
      <c r="M19" s="261">
        <f t="shared" si="19"/>
        <v>28.32</v>
      </c>
      <c r="N19" s="261">
        <f t="shared" si="12"/>
        <v>340.66579999999999</v>
      </c>
      <c r="O19" s="261">
        <f t="shared" si="13"/>
        <v>485.56289999999996</v>
      </c>
      <c r="P19" s="261">
        <f t="shared" si="14"/>
        <v>0</v>
      </c>
      <c r="Q19" s="261">
        <f t="shared" si="15"/>
        <v>854.54869999999994</v>
      </c>
      <c r="R19" s="261">
        <f>Q19-Q9</f>
        <v>64.843999999999937</v>
      </c>
      <c r="S19" s="272">
        <f>R19/Q9</f>
        <v>8.2111705805980303E-2</v>
      </c>
      <c r="T19" s="273"/>
      <c r="U19" s="261">
        <f>Q19*'UNSG Riders- Current'!$C$4</f>
        <v>1.6099697507999999</v>
      </c>
      <c r="V19" s="261">
        <f t="shared" si="16"/>
        <v>0</v>
      </c>
      <c r="W19" s="261">
        <f t="shared" si="17"/>
        <v>0</v>
      </c>
      <c r="X19" s="263">
        <f t="shared" si="18"/>
        <v>856.16</v>
      </c>
      <c r="Y19" s="261">
        <f>X19-V9</f>
        <v>64.969999999999914</v>
      </c>
      <c r="Z19" s="272">
        <f>Y19/V9</f>
        <v>8.2116811385381405E-2</v>
      </c>
      <c r="AB19" s="57"/>
      <c r="AE19" s="251"/>
      <c r="AF19" s="255"/>
    </row>
    <row r="20" spans="1:32">
      <c r="H20" s="262"/>
      <c r="K20" s="267" t="s">
        <v>877</v>
      </c>
      <c r="L20" s="260">
        <f t="shared" si="11"/>
        <v>269.52794983173123</v>
      </c>
      <c r="M20" s="261">
        <f t="shared" si="19"/>
        <v>28.32</v>
      </c>
      <c r="N20" s="261">
        <f t="shared" si="12"/>
        <v>84.47005947726457</v>
      </c>
      <c r="O20" s="261">
        <f t="shared" si="13"/>
        <v>120.39813518983433</v>
      </c>
      <c r="P20" s="261">
        <f t="shared" si="14"/>
        <v>0</v>
      </c>
      <c r="Q20" s="261">
        <f t="shared" si="15"/>
        <v>233.18819466709891</v>
      </c>
      <c r="R20" s="261">
        <f>Q20-Q10</f>
        <v>22.335453391250013</v>
      </c>
      <c r="S20" s="272">
        <f>R20/Q10</f>
        <v>0.10592915821772302</v>
      </c>
      <c r="T20" s="273"/>
      <c r="U20" s="261">
        <f>Q20*'UNSG Riders- Current'!$C$4</f>
        <v>0.43932655875281434</v>
      </c>
      <c r="V20" s="261">
        <f t="shared" si="16"/>
        <v>0</v>
      </c>
      <c r="W20" s="261">
        <f t="shared" si="17"/>
        <v>0</v>
      </c>
      <c r="X20" s="263">
        <f t="shared" si="18"/>
        <v>233.63</v>
      </c>
      <c r="Y20" s="261">
        <f>X20-V10</f>
        <v>22.379999999999995</v>
      </c>
      <c r="Z20" s="272">
        <f>Y20/V10</f>
        <v>0.10594082840236685</v>
      </c>
      <c r="AB20" s="57"/>
      <c r="AE20" s="251"/>
      <c r="AF20" s="255"/>
    </row>
    <row r="21" spans="1:32">
      <c r="G21"/>
      <c r="H21" s="262"/>
      <c r="J21" s="275"/>
      <c r="Z21" s="268"/>
      <c r="AA21" s="276"/>
    </row>
    <row r="22" spans="1:32" ht="14.45" customHeight="1">
      <c r="G22"/>
      <c r="H22" s="262"/>
      <c r="K22" s="284" t="s">
        <v>876</v>
      </c>
      <c r="L22" s="813" t="s">
        <v>857</v>
      </c>
      <c r="M22" s="814"/>
      <c r="N22" s="814"/>
      <c r="O22" s="815"/>
      <c r="P22" s="296"/>
      <c r="Z22" s="268"/>
    </row>
    <row r="23" spans="1:32" ht="14.45" customHeight="1">
      <c r="G23"/>
      <c r="J23" s="275"/>
      <c r="L23" s="810" t="s">
        <v>859</v>
      </c>
      <c r="M23" s="816" t="s">
        <v>860</v>
      </c>
      <c r="N23" s="808" t="s">
        <v>861</v>
      </c>
      <c r="O23" s="808" t="s">
        <v>610</v>
      </c>
      <c r="P23" s="808" t="s">
        <v>862</v>
      </c>
      <c r="Q23" s="810" t="s">
        <v>863</v>
      </c>
      <c r="U23" s="811" t="s">
        <v>864</v>
      </c>
      <c r="V23" s="811" t="s">
        <v>865</v>
      </c>
      <c r="AA23" s="251"/>
      <c r="AD23" s="255"/>
      <c r="AE23" s="251"/>
    </row>
    <row r="24" spans="1:32" ht="15" customHeight="1">
      <c r="J24" s="277"/>
      <c r="K24"/>
      <c r="L24" s="810"/>
      <c r="M24" s="817"/>
      <c r="N24" s="809"/>
      <c r="O24" s="809"/>
      <c r="P24" s="809"/>
      <c r="Q24" s="810"/>
      <c r="T24" s="251"/>
      <c r="U24" s="812"/>
      <c r="V24" s="812"/>
      <c r="W24"/>
      <c r="X24"/>
      <c r="Y24"/>
      <c r="AA24" s="251"/>
      <c r="AD24" s="255"/>
      <c r="AE24" s="251"/>
    </row>
    <row r="25" spans="1:32">
      <c r="J25" s="275"/>
      <c r="K25" s="56" t="s">
        <v>482</v>
      </c>
      <c r="L25" s="285">
        <f>'[18]Percentiles_All_Bills Jan'!$I$4</f>
        <v>156</v>
      </c>
      <c r="M25" s="261">
        <f>VLOOKUP(M23,$G$5:$I$5,2,0)</f>
        <v>20</v>
      </c>
      <c r="N25" s="261">
        <f>$H$8*L25</f>
        <v>44.257200000000005</v>
      </c>
      <c r="O25" s="261">
        <f>$H$10*L25</f>
        <v>68.718000000000004</v>
      </c>
      <c r="P25" s="261">
        <f>L25*$H$9</f>
        <v>-2.5116000000000001</v>
      </c>
      <c r="Q25" s="261">
        <f>SUM(M25:P25)</f>
        <v>130.46360000000004</v>
      </c>
      <c r="R25"/>
      <c r="S25"/>
      <c r="T25"/>
      <c r="U25" s="261">
        <f>Q25*'UNSG Riders- Current'!$C$4</f>
        <v>0.24579342240000007</v>
      </c>
      <c r="V25" s="263">
        <f>ROUND(SUM(Q25,U25:U25),2)</f>
        <v>130.71</v>
      </c>
      <c r="W25"/>
      <c r="X25"/>
      <c r="Y25"/>
      <c r="Z25" s="251"/>
      <c r="AA25" s="251"/>
      <c r="AB25" s="255"/>
      <c r="AE25" s="251"/>
    </row>
    <row r="26" spans="1:32">
      <c r="J26" s="275"/>
      <c r="K26" s="56" t="s">
        <v>866</v>
      </c>
      <c r="L26" s="285">
        <f>'[18]Percentiles_All_Bills Jan'!$J$4</f>
        <v>400</v>
      </c>
      <c r="M26" s="261">
        <f>VLOOKUP($M$23,$G$5:$I$5,2,0)</f>
        <v>20</v>
      </c>
      <c r="N26" s="261">
        <f t="shared" ref="N26:N28" si="20">$H$8*L26</f>
        <v>113.48</v>
      </c>
      <c r="O26" s="261">
        <f t="shared" ref="O26:O28" si="21">$H$10*L26</f>
        <v>176.2</v>
      </c>
      <c r="P26" s="261">
        <f t="shared" ref="P26:P29" si="22">L26*$H$9</f>
        <v>-6.4399999999999995</v>
      </c>
      <c r="Q26" s="261">
        <f t="shared" ref="Q26:Q29" si="23">SUM(M26:P26)</f>
        <v>303.24</v>
      </c>
      <c r="R26"/>
      <c r="S26"/>
      <c r="T26"/>
      <c r="U26" s="261">
        <f>Q26*'UNSG Riders- Current'!$C$4</f>
        <v>0.57130416000000006</v>
      </c>
      <c r="V26" s="263">
        <f>ROUND(SUM(Q26,U26:U26),2)</f>
        <v>303.81</v>
      </c>
      <c r="W26"/>
      <c r="X26"/>
      <c r="Y26"/>
      <c r="Z26" s="251"/>
      <c r="AA26" s="251"/>
      <c r="AB26" s="255"/>
      <c r="AE26" s="251"/>
    </row>
    <row r="27" spans="1:32">
      <c r="K27" s="56" t="s">
        <v>520</v>
      </c>
      <c r="L27" s="285">
        <f>'[18]Percentiles_All_Bills Jan'!$K$4</f>
        <v>926</v>
      </c>
      <c r="M27" s="261">
        <f t="shared" ref="M27:M28" si="24">VLOOKUP($M$23,$G$5:$I$5,2,0)</f>
        <v>20</v>
      </c>
      <c r="N27" s="261">
        <f t="shared" si="20"/>
        <v>262.70620000000002</v>
      </c>
      <c r="O27" s="261">
        <f t="shared" si="21"/>
        <v>407.90300000000002</v>
      </c>
      <c r="P27" s="261">
        <f t="shared" si="22"/>
        <v>-14.9086</v>
      </c>
      <c r="Q27" s="261">
        <f t="shared" si="23"/>
        <v>675.70060000000012</v>
      </c>
      <c r="R27"/>
      <c r="S27"/>
      <c r="T27"/>
      <c r="U27" s="261">
        <f>Q27*'UNSG Riders- Current'!$C$4</f>
        <v>1.2730199304000003</v>
      </c>
      <c r="V27" s="263">
        <f>ROUND(SUM(Q27,U27:U27),2)</f>
        <v>676.97</v>
      </c>
      <c r="W27"/>
      <c r="X27"/>
      <c r="Y27"/>
      <c r="Z27" s="251"/>
      <c r="AA27" s="251"/>
      <c r="AB27" s="255"/>
      <c r="AE27" s="251"/>
    </row>
    <row r="28" spans="1:32" ht="14.45" customHeight="1">
      <c r="K28" s="56" t="s">
        <v>868</v>
      </c>
      <c r="L28" s="285">
        <f>'[18]Percentiles_All_Bills Jan'!$L$4</f>
        <v>1539</v>
      </c>
      <c r="M28" s="261">
        <f t="shared" si="24"/>
        <v>20</v>
      </c>
      <c r="N28" s="261">
        <f t="shared" si="20"/>
        <v>436.61430000000001</v>
      </c>
      <c r="O28" s="261">
        <f t="shared" si="21"/>
        <v>677.92949999999996</v>
      </c>
      <c r="P28" s="261">
        <f t="shared" si="22"/>
        <v>-24.777899999999999</v>
      </c>
      <c r="Q28" s="261">
        <f t="shared" si="23"/>
        <v>1109.7658999999999</v>
      </c>
      <c r="R28"/>
      <c r="S28"/>
      <c r="T28"/>
      <c r="U28" s="261">
        <f>Q28*'UNSG Riders- Current'!$C$4</f>
        <v>2.0907989556</v>
      </c>
      <c r="V28" s="263">
        <f>ROUND(SUM(Q28,U28:U28),2)</f>
        <v>1111.8599999999999</v>
      </c>
      <c r="W28"/>
      <c r="X28"/>
      <c r="Y28"/>
      <c r="Z28" s="251"/>
      <c r="AA28" s="251"/>
      <c r="AB28" s="255"/>
      <c r="AE28" s="251"/>
    </row>
    <row r="29" spans="1:32" ht="14.45" customHeight="1">
      <c r="K29" s="267" t="s">
        <v>877</v>
      </c>
      <c r="L29" s="285">
        <f>'[18]Percentiles_All_Bills Jan'!$O$4</f>
        <v>429.1030678798615</v>
      </c>
      <c r="M29" s="261">
        <f>VLOOKUP(M23,$G$5:$I$5,2,0)</f>
        <v>20</v>
      </c>
      <c r="N29" s="261">
        <f>$H$8*L29</f>
        <v>121.73654035751672</v>
      </c>
      <c r="O29" s="261">
        <f>$H$10*L29</f>
        <v>189.01990140107898</v>
      </c>
      <c r="P29" s="261">
        <f t="shared" si="22"/>
        <v>-6.9085593928657696</v>
      </c>
      <c r="Q29" s="261">
        <f t="shared" si="23"/>
        <v>323.84788236572996</v>
      </c>
      <c r="R29"/>
      <c r="S29"/>
      <c r="T29"/>
      <c r="U29" s="261">
        <f>Q29*'UNSG Riders- Current'!$C$4</f>
        <v>0.61012941037703528</v>
      </c>
      <c r="V29" s="263">
        <f>ROUND(SUM(Q29,U29:U29),2)</f>
        <v>324.45999999999998</v>
      </c>
      <c r="W29"/>
      <c r="X29"/>
      <c r="Y29"/>
      <c r="Z29" s="251"/>
      <c r="AA29" s="251"/>
      <c r="AB29" s="255"/>
      <c r="AE29" s="251"/>
    </row>
    <row r="30" spans="1:32">
      <c r="K30" s="240"/>
      <c r="L30"/>
      <c r="M30"/>
      <c r="N30"/>
      <c r="O30"/>
      <c r="P30" s="264"/>
      <c r="Q30"/>
      <c r="R30"/>
      <c r="S30"/>
      <c r="T30"/>
      <c r="U30"/>
      <c r="V30"/>
      <c r="W30"/>
      <c r="X30"/>
      <c r="Y30"/>
      <c r="Z30"/>
      <c r="AA30" s="251"/>
      <c r="AC30" s="255"/>
      <c r="AE30" s="251"/>
    </row>
    <row r="31" spans="1:32">
      <c r="K31" s="284" t="s">
        <v>876</v>
      </c>
      <c r="L31" s="813" t="s">
        <v>872</v>
      </c>
      <c r="M31" s="814"/>
      <c r="N31" s="814"/>
      <c r="O31" s="815"/>
      <c r="P31" s="296"/>
      <c r="R31"/>
      <c r="S31"/>
      <c r="T31"/>
      <c r="U31"/>
      <c r="V31"/>
      <c r="W31"/>
      <c r="X31"/>
      <c r="Y31"/>
      <c r="Z31"/>
      <c r="AA31" s="251"/>
      <c r="AC31" s="255"/>
      <c r="AE31" s="251"/>
    </row>
    <row r="32" spans="1:32">
      <c r="L32" s="810" t="s">
        <v>859</v>
      </c>
      <c r="M32" s="816" t="s">
        <v>860</v>
      </c>
      <c r="N32" s="808" t="s">
        <v>861</v>
      </c>
      <c r="O32" s="808" t="s">
        <v>610</v>
      </c>
      <c r="P32" s="808" t="s">
        <v>873</v>
      </c>
      <c r="Q32" s="810" t="s">
        <v>863</v>
      </c>
      <c r="R32" s="808" t="s">
        <v>874</v>
      </c>
      <c r="S32" s="808" t="s">
        <v>875</v>
      </c>
      <c r="U32" s="811" t="s">
        <v>864</v>
      </c>
      <c r="V32" s="811" t="s">
        <v>870</v>
      </c>
      <c r="W32" s="811" t="s">
        <v>871</v>
      </c>
      <c r="X32" s="811" t="s">
        <v>865</v>
      </c>
      <c r="Y32" s="808" t="s">
        <v>874</v>
      </c>
      <c r="Z32" s="808" t="s">
        <v>875</v>
      </c>
      <c r="AA32" s="251"/>
      <c r="AC32" s="255"/>
      <c r="AE32" s="251"/>
    </row>
    <row r="33" spans="11:31">
      <c r="K33"/>
      <c r="L33" s="810"/>
      <c r="M33" s="817"/>
      <c r="N33" s="809"/>
      <c r="O33" s="809"/>
      <c r="P33" s="809"/>
      <c r="Q33" s="810"/>
      <c r="R33" s="809"/>
      <c r="S33" s="809"/>
      <c r="U33" s="812"/>
      <c r="V33" s="812"/>
      <c r="W33" s="812"/>
      <c r="X33" s="812"/>
      <c r="Y33" s="809"/>
      <c r="Z33" s="809"/>
      <c r="AA33" s="251"/>
      <c r="AC33" s="255"/>
      <c r="AE33" s="251"/>
    </row>
    <row r="34" spans="11:31">
      <c r="K34" s="56" t="s">
        <v>482</v>
      </c>
      <c r="L34" s="285">
        <f>'[18]Percentiles_All_Bills Jan'!$I$4</f>
        <v>156</v>
      </c>
      <c r="M34" s="261">
        <f>VLOOKUP($M$32,$G$5:$I$5,3,0)</f>
        <v>28.32</v>
      </c>
      <c r="N34" s="261">
        <f>$I$8*L34</f>
        <v>48.8904</v>
      </c>
      <c r="O34" s="261">
        <f>$I$10*L34</f>
        <v>69.685199999999995</v>
      </c>
      <c r="P34" s="261">
        <f>L34*$I$9</f>
        <v>0</v>
      </c>
      <c r="Q34" s="261">
        <f>SUM(M34:P34)</f>
        <v>146.8956</v>
      </c>
      <c r="R34" s="261">
        <f>Q34-Q25</f>
        <v>16.43199999999996</v>
      </c>
      <c r="S34" s="272">
        <f>R34/Q25</f>
        <v>0.12595083992776493</v>
      </c>
      <c r="T34"/>
      <c r="U34" s="261">
        <f>Q34*'UNSG Riders- Current'!$C$4</f>
        <v>0.27675131040000001</v>
      </c>
      <c r="V34" s="261">
        <f>L34*$I$12</f>
        <v>0</v>
      </c>
      <c r="W34" s="261">
        <f>Q34*$I$13</f>
        <v>0</v>
      </c>
      <c r="X34" s="263">
        <f>ROUND(SUM(Q34,U34:W34),2)</f>
        <v>147.16999999999999</v>
      </c>
      <c r="Y34" s="261">
        <f>X34-V25</f>
        <v>16.45999999999998</v>
      </c>
      <c r="Z34" s="272">
        <f>Y34/V25</f>
        <v>0.12592762604238375</v>
      </c>
    </row>
    <row r="35" spans="11:31">
      <c r="K35" s="56" t="s">
        <v>866</v>
      </c>
      <c r="L35" s="285">
        <f>'[18]Percentiles_All_Bills Jan'!$J$4</f>
        <v>400</v>
      </c>
      <c r="M35" s="261">
        <f t="shared" ref="M35:M38" si="25">VLOOKUP($M$32,$G$5:$I$5,3,0)</f>
        <v>28.32</v>
      </c>
      <c r="N35" s="261">
        <f t="shared" ref="N35:N38" si="26">$I$8*L35</f>
        <v>125.36</v>
      </c>
      <c r="O35" s="261">
        <f t="shared" ref="O35:O38" si="27">$I$10*L35</f>
        <v>178.68</v>
      </c>
      <c r="P35" s="261">
        <f t="shared" ref="P35:P38" si="28">L35*$I$9</f>
        <v>0</v>
      </c>
      <c r="Q35" s="261">
        <f t="shared" ref="Q35:Q38" si="29">SUM(M35:P35)</f>
        <v>332.36</v>
      </c>
      <c r="R35" s="261">
        <f t="shared" ref="R35:R38" si="30">Q35-Q26</f>
        <v>29.120000000000005</v>
      </c>
      <c r="S35" s="272">
        <f t="shared" ref="S35:S38" si="31">R35/Q26</f>
        <v>9.6029547553093272E-2</v>
      </c>
      <c r="T35"/>
      <c r="U35" s="261">
        <f>Q35*'UNSG Riders- Current'!$C$4</f>
        <v>0.62616623999999999</v>
      </c>
      <c r="V35" s="261">
        <f t="shared" ref="V35:V38" si="32">L35*$I$12</f>
        <v>0</v>
      </c>
      <c r="W35" s="261">
        <f t="shared" ref="W35:W38" si="33">Q35*$I$13</f>
        <v>0</v>
      </c>
      <c r="X35" s="263">
        <f t="shared" ref="X35:X38" si="34">ROUND(SUM(Q35,U35:W35),2)</f>
        <v>332.99</v>
      </c>
      <c r="Y35" s="261">
        <f>X35-V26</f>
        <v>29.180000000000007</v>
      </c>
      <c r="Z35" s="272">
        <f>Y35/V26</f>
        <v>9.6046871399888115E-2</v>
      </c>
    </row>
    <row r="36" spans="11:31" ht="15" customHeight="1">
      <c r="K36" s="56" t="s">
        <v>520</v>
      </c>
      <c r="L36" s="285">
        <f>'[18]Percentiles_All_Bills Jan'!$K$4</f>
        <v>926</v>
      </c>
      <c r="M36" s="261">
        <f t="shared" si="25"/>
        <v>28.32</v>
      </c>
      <c r="N36" s="261">
        <f t="shared" si="26"/>
        <v>290.20839999999998</v>
      </c>
      <c r="O36" s="261">
        <f t="shared" si="27"/>
        <v>413.64420000000001</v>
      </c>
      <c r="P36" s="261">
        <f t="shared" si="28"/>
        <v>0</v>
      </c>
      <c r="Q36" s="261">
        <f t="shared" si="29"/>
        <v>732.17259999999999</v>
      </c>
      <c r="R36" s="261">
        <f t="shared" si="30"/>
        <v>56.471999999999866</v>
      </c>
      <c r="S36" s="272">
        <f t="shared" si="31"/>
        <v>8.3575477067801704E-2</v>
      </c>
      <c r="T36"/>
      <c r="U36" s="261">
        <f>Q36*'UNSG Riders- Current'!$C$4</f>
        <v>1.3794131784000001</v>
      </c>
      <c r="V36" s="261">
        <f t="shared" si="32"/>
        <v>0</v>
      </c>
      <c r="W36" s="261">
        <f t="shared" si="33"/>
        <v>0</v>
      </c>
      <c r="X36" s="263">
        <f t="shared" si="34"/>
        <v>733.55</v>
      </c>
      <c r="Y36" s="261">
        <f>X36-V27</f>
        <v>56.579999999999927</v>
      </c>
      <c r="Z36" s="272">
        <f>Y36/V27</f>
        <v>8.3578297413474639E-2</v>
      </c>
    </row>
    <row r="37" spans="11:31">
      <c r="K37" s="56" t="s">
        <v>868</v>
      </c>
      <c r="L37" s="285">
        <f>'[18]Percentiles_All_Bills Jan'!$L$4</f>
        <v>1539</v>
      </c>
      <c r="M37" s="261">
        <f t="shared" si="25"/>
        <v>28.32</v>
      </c>
      <c r="N37" s="261">
        <f t="shared" si="26"/>
        <v>482.32260000000002</v>
      </c>
      <c r="O37" s="261">
        <f t="shared" si="27"/>
        <v>687.47129999999993</v>
      </c>
      <c r="P37" s="261">
        <f t="shared" si="28"/>
        <v>0</v>
      </c>
      <c r="Q37" s="261">
        <f t="shared" si="29"/>
        <v>1198.1138999999998</v>
      </c>
      <c r="R37" s="261">
        <f t="shared" si="30"/>
        <v>88.347999999999956</v>
      </c>
      <c r="S37" s="272">
        <f t="shared" si="31"/>
        <v>7.9609582525467723E-2</v>
      </c>
      <c r="T37"/>
      <c r="U37" s="261">
        <f>Q37*'UNSG Riders- Current'!$C$4</f>
        <v>2.2572465875999996</v>
      </c>
      <c r="V37" s="261">
        <f t="shared" si="32"/>
        <v>0</v>
      </c>
      <c r="W37" s="261">
        <f t="shared" si="33"/>
        <v>0</v>
      </c>
      <c r="X37" s="263">
        <f t="shared" si="34"/>
        <v>1200.3699999999999</v>
      </c>
      <c r="Y37" s="261">
        <f>X37-V28</f>
        <v>88.509999999999991</v>
      </c>
      <c r="Z37" s="272">
        <f>Y37/V28</f>
        <v>7.9605345996798152E-2</v>
      </c>
      <c r="AA37" s="251"/>
      <c r="AC37" s="255"/>
      <c r="AE37" s="251"/>
    </row>
    <row r="38" spans="11:31" ht="15.75" customHeight="1">
      <c r="K38" s="267" t="s">
        <v>877</v>
      </c>
      <c r="L38" s="285">
        <f>'[18]Percentiles_All_Bills Jan'!$O$4</f>
        <v>429.1030678798615</v>
      </c>
      <c r="M38" s="261">
        <f t="shared" si="25"/>
        <v>28.32</v>
      </c>
      <c r="N38" s="261">
        <f t="shared" si="26"/>
        <v>134.48090147354858</v>
      </c>
      <c r="O38" s="261">
        <f t="shared" si="27"/>
        <v>191.68034042193412</v>
      </c>
      <c r="P38" s="261">
        <f t="shared" si="28"/>
        <v>0</v>
      </c>
      <c r="Q38" s="261">
        <f t="shared" si="29"/>
        <v>354.4812418954827</v>
      </c>
      <c r="R38" s="261">
        <f t="shared" si="30"/>
        <v>30.633359529752738</v>
      </c>
      <c r="S38" s="272">
        <f t="shared" si="31"/>
        <v>9.4591816707196116E-2</v>
      </c>
      <c r="T38"/>
      <c r="U38" s="261">
        <f>Q38*'UNSG Riders- Current'!$C$4</f>
        <v>0.66784265973108936</v>
      </c>
      <c r="V38" s="261">
        <f t="shared" si="32"/>
        <v>0</v>
      </c>
      <c r="W38" s="261">
        <f t="shared" si="33"/>
        <v>0</v>
      </c>
      <c r="X38" s="263">
        <f t="shared" si="34"/>
        <v>355.15</v>
      </c>
      <c r="Y38" s="261">
        <f>X38-V29</f>
        <v>30.689999999999998</v>
      </c>
      <c r="Z38" s="272">
        <f>Y38/V29</f>
        <v>9.4587930715650623E-2</v>
      </c>
      <c r="AA38" s="251"/>
      <c r="AC38" s="255"/>
      <c r="AE38" s="251"/>
    </row>
    <row r="39" spans="11:31">
      <c r="K39"/>
      <c r="L39"/>
      <c r="M39"/>
      <c r="N39"/>
      <c r="O39"/>
      <c r="P39" s="268"/>
      <c r="Q39"/>
      <c r="R39"/>
      <c r="S39"/>
      <c r="T39"/>
      <c r="U39"/>
      <c r="V39"/>
      <c r="W39"/>
      <c r="X39"/>
      <c r="Y39"/>
      <c r="Z39"/>
      <c r="AA39" s="251"/>
      <c r="AC39" s="255"/>
      <c r="AE39" s="251"/>
    </row>
    <row r="40" spans="11:31">
      <c r="K40" s="284" t="s">
        <v>878</v>
      </c>
      <c r="L40" s="813" t="s">
        <v>857</v>
      </c>
      <c r="M40" s="814"/>
      <c r="N40" s="814"/>
      <c r="O40" s="815"/>
      <c r="P40" s="296"/>
      <c r="R40"/>
      <c r="S40"/>
      <c r="T40"/>
      <c r="U40"/>
      <c r="V40"/>
      <c r="W40"/>
      <c r="X40"/>
      <c r="Y40"/>
      <c r="Z40"/>
      <c r="AA40" s="251"/>
      <c r="AC40" s="255"/>
      <c r="AE40" s="251"/>
    </row>
    <row r="41" spans="11:31">
      <c r="L41" s="810" t="s">
        <v>859</v>
      </c>
      <c r="M41" s="816" t="s">
        <v>860</v>
      </c>
      <c r="N41" s="808" t="s">
        <v>861</v>
      </c>
      <c r="O41" s="808" t="s">
        <v>610</v>
      </c>
      <c r="P41" s="808" t="s">
        <v>862</v>
      </c>
      <c r="Q41" s="810" t="s">
        <v>863</v>
      </c>
      <c r="R41"/>
      <c r="S41"/>
      <c r="U41" s="811" t="s">
        <v>864</v>
      </c>
      <c r="V41" s="811" t="s">
        <v>865</v>
      </c>
      <c r="W41"/>
      <c r="X41"/>
      <c r="Y41" s="251"/>
      <c r="Z41" s="251"/>
      <c r="AA41" s="251"/>
      <c r="AB41" s="255"/>
      <c r="AE41" s="251"/>
    </row>
    <row r="42" spans="11:31">
      <c r="K42"/>
      <c r="L42" s="810"/>
      <c r="M42" s="817"/>
      <c r="N42" s="809"/>
      <c r="O42" s="809"/>
      <c r="P42" s="809"/>
      <c r="Q42" s="810"/>
      <c r="R42"/>
      <c r="S42"/>
      <c r="U42" s="812"/>
      <c r="V42" s="812"/>
      <c r="W42"/>
      <c r="X42"/>
      <c r="Y42" s="251"/>
      <c r="Z42" s="251"/>
      <c r="AA42" s="251"/>
      <c r="AB42" s="255"/>
      <c r="AE42" s="251"/>
    </row>
    <row r="43" spans="11:31">
      <c r="K43" s="56" t="s">
        <v>482</v>
      </c>
      <c r="L43" s="285">
        <f>'[18]Percentiles_All_Bills July'!$I$4</f>
        <v>3</v>
      </c>
      <c r="M43" s="261">
        <f>VLOOKUP($M$32,$G$5:$I$5,2,0)</f>
        <v>20</v>
      </c>
      <c r="N43" s="261">
        <f>$H$8*L43</f>
        <v>0.85109999999999997</v>
      </c>
      <c r="O43" s="261">
        <f>$H$10*L43</f>
        <v>1.3214999999999999</v>
      </c>
      <c r="P43" s="261">
        <f>L43*$H$9</f>
        <v>-4.8299999999999996E-2</v>
      </c>
      <c r="Q43" s="261">
        <f>SUM(M43:P43)</f>
        <v>22.124299999999998</v>
      </c>
      <c r="R43"/>
      <c r="S43"/>
      <c r="T43"/>
      <c r="U43" s="261">
        <f>Q43*'UNSG Riders- Current'!$C$4</f>
        <v>4.1682181199999994E-2</v>
      </c>
      <c r="V43" s="263">
        <f>ROUND(SUM(Q43,U43:U43),2)</f>
        <v>22.17</v>
      </c>
      <c r="W43"/>
      <c r="X43"/>
      <c r="Y43" s="251"/>
      <c r="Z43" s="251"/>
      <c r="AA43" s="251"/>
      <c r="AB43" s="255"/>
      <c r="AE43" s="251"/>
    </row>
    <row r="44" spans="11:31">
      <c r="K44" s="56" t="s">
        <v>866</v>
      </c>
      <c r="L44" s="285">
        <f>'[18]Percentiles_All_Bills July'!$J$4</f>
        <v>30</v>
      </c>
      <c r="M44" s="261">
        <f t="shared" ref="M44:M46" si="35">VLOOKUP($M$32,$G$5:$I$5,2,0)</f>
        <v>20</v>
      </c>
      <c r="N44" s="261">
        <f t="shared" ref="N44:N46" si="36">$H$8*L44</f>
        <v>8.511000000000001</v>
      </c>
      <c r="O44" s="261">
        <f t="shared" ref="O44:O46" si="37">$H$10*L44</f>
        <v>13.215</v>
      </c>
      <c r="P44" s="261">
        <f t="shared" ref="P44:P47" si="38">L44*$H$9</f>
        <v>-0.48299999999999998</v>
      </c>
      <c r="Q44" s="261">
        <f t="shared" ref="Q44:Q47" si="39">SUM(M44:P44)</f>
        <v>41.243000000000002</v>
      </c>
      <c r="R44"/>
      <c r="S44"/>
      <c r="T44"/>
      <c r="U44" s="261">
        <f>Q44*'UNSG Riders- Current'!$C$4</f>
        <v>7.7701812000000009E-2</v>
      </c>
      <c r="V44" s="263">
        <f>ROUND(SUM(Q44,U44:U44),2)</f>
        <v>41.32</v>
      </c>
      <c r="W44"/>
      <c r="X44"/>
      <c r="Y44" s="251"/>
      <c r="Z44" s="251"/>
      <c r="AA44" s="251"/>
      <c r="AB44" s="255"/>
      <c r="AE44" s="251"/>
    </row>
    <row r="45" spans="11:31">
      <c r="K45" s="56" t="s">
        <v>520</v>
      </c>
      <c r="L45" s="285">
        <f>'[18]Percentiles_All_Bills July'!$K$4</f>
        <v>318</v>
      </c>
      <c r="M45" s="261">
        <f t="shared" si="35"/>
        <v>20</v>
      </c>
      <c r="N45" s="261">
        <f t="shared" si="36"/>
        <v>90.2166</v>
      </c>
      <c r="O45" s="261">
        <f t="shared" si="37"/>
        <v>140.07900000000001</v>
      </c>
      <c r="P45" s="261">
        <f t="shared" si="38"/>
        <v>-5.1197999999999997</v>
      </c>
      <c r="Q45" s="261">
        <f t="shared" si="39"/>
        <v>245.17580000000001</v>
      </c>
      <c r="R45"/>
      <c r="S45"/>
      <c r="T45"/>
      <c r="U45" s="261">
        <f>Q45*'UNSG Riders- Current'!$C$4</f>
        <v>0.46191120720000001</v>
      </c>
      <c r="V45" s="263">
        <f>ROUND(SUM(Q45,U45:U45),2)</f>
        <v>245.64</v>
      </c>
      <c r="W45"/>
      <c r="X45"/>
      <c r="Z45" s="251"/>
      <c r="AA45" s="251"/>
      <c r="AB45" s="255"/>
      <c r="AE45" s="251"/>
    </row>
    <row r="46" spans="11:31">
      <c r="K46" s="56" t="s">
        <v>868</v>
      </c>
      <c r="L46" s="285">
        <f>'[18]Percentiles_All_Bills July'!$L$4</f>
        <v>635</v>
      </c>
      <c r="M46" s="261">
        <f t="shared" si="35"/>
        <v>20</v>
      </c>
      <c r="N46" s="261">
        <f t="shared" si="36"/>
        <v>180.14950000000002</v>
      </c>
      <c r="O46" s="261">
        <f t="shared" si="37"/>
        <v>279.71750000000003</v>
      </c>
      <c r="P46" s="261">
        <f t="shared" si="38"/>
        <v>-10.2235</v>
      </c>
      <c r="Q46" s="261">
        <f t="shared" si="39"/>
        <v>469.64350000000007</v>
      </c>
      <c r="R46"/>
      <c r="S46"/>
      <c r="T46"/>
      <c r="U46" s="261">
        <f>Q46*'UNSG Riders- Current'!$C$4</f>
        <v>0.88480835400000013</v>
      </c>
      <c r="V46" s="263">
        <f>ROUND(SUM(Q46,U46:U46),2)</f>
        <v>470.53</v>
      </c>
      <c r="W46"/>
      <c r="X46"/>
      <c r="AA46" s="251"/>
      <c r="AD46" s="255"/>
      <c r="AE46" s="251"/>
    </row>
    <row r="47" spans="11:31">
      <c r="K47" s="267" t="s">
        <v>877</v>
      </c>
      <c r="L47" s="285">
        <f>'[18]Percentiles_All_Bills July'!$O$4</f>
        <v>109.95283178360101</v>
      </c>
      <c r="M47" s="261">
        <f>VLOOKUP(M41,$G$5:$I$5,2,0)</f>
        <v>20</v>
      </c>
      <c r="N47" s="261">
        <f>$H$8*L47</f>
        <v>31.19361837700761</v>
      </c>
      <c r="O47" s="261">
        <f>$H$10*L47</f>
        <v>48.434222400676248</v>
      </c>
      <c r="P47" s="261">
        <f t="shared" si="38"/>
        <v>-1.7702405917159763</v>
      </c>
      <c r="Q47" s="261">
        <f t="shared" si="39"/>
        <v>97.857600185967883</v>
      </c>
      <c r="R47"/>
      <c r="S47"/>
      <c r="T47"/>
      <c r="U47" s="261">
        <f>Q47*'UNSG Riders- Current'!$C$4</f>
        <v>0.1843637187503635</v>
      </c>
      <c r="V47" s="263">
        <f>ROUND(SUM(Q47,U47:U47),2)</f>
        <v>98.04</v>
      </c>
      <c r="W47"/>
      <c r="X47"/>
      <c r="AA47" s="251"/>
      <c r="AD47" s="255"/>
      <c r="AE47" s="251"/>
    </row>
    <row r="48" spans="11:31">
      <c r="K48"/>
      <c r="L48"/>
      <c r="M48"/>
      <c r="N48"/>
      <c r="O48"/>
      <c r="P48" s="264"/>
      <c r="Q48"/>
      <c r="R48"/>
      <c r="S48"/>
      <c r="T48"/>
      <c r="U48"/>
      <c r="V48"/>
      <c r="W48"/>
      <c r="X48"/>
      <c r="Y48"/>
      <c r="Z48"/>
    </row>
    <row r="49" spans="10:31" ht="15" customHeight="1">
      <c r="K49" s="284" t="s">
        <v>878</v>
      </c>
      <c r="L49" s="813" t="s">
        <v>872</v>
      </c>
      <c r="M49" s="814"/>
      <c r="N49" s="814"/>
      <c r="O49" s="815"/>
      <c r="P49" s="296"/>
      <c r="R49"/>
      <c r="S49"/>
      <c r="T49"/>
      <c r="U49"/>
      <c r="V49"/>
      <c r="W49"/>
      <c r="X49"/>
      <c r="Y49"/>
      <c r="Z49"/>
      <c r="AA49" s="251"/>
      <c r="AC49" s="255"/>
      <c r="AE49" s="251"/>
    </row>
    <row r="50" spans="10:31" ht="23.25" customHeight="1">
      <c r="L50" s="810" t="s">
        <v>859</v>
      </c>
      <c r="M50" s="816" t="s">
        <v>860</v>
      </c>
      <c r="N50" s="808" t="s">
        <v>861</v>
      </c>
      <c r="O50" s="808" t="s">
        <v>610</v>
      </c>
      <c r="P50" s="808" t="s">
        <v>873</v>
      </c>
      <c r="Q50" s="810" t="s">
        <v>863</v>
      </c>
      <c r="R50" s="808" t="s">
        <v>874</v>
      </c>
      <c r="S50" s="808" t="s">
        <v>875</v>
      </c>
      <c r="U50" s="811" t="s">
        <v>864</v>
      </c>
      <c r="V50" s="811" t="s">
        <v>870</v>
      </c>
      <c r="W50" s="811" t="s">
        <v>871</v>
      </c>
      <c r="X50" s="811" t="s">
        <v>865</v>
      </c>
      <c r="Y50" s="808" t="s">
        <v>874</v>
      </c>
      <c r="Z50" s="808" t="s">
        <v>875</v>
      </c>
      <c r="AA50" s="251"/>
      <c r="AC50" s="255"/>
      <c r="AE50" s="251"/>
    </row>
    <row r="51" spans="10:31">
      <c r="K51"/>
      <c r="L51" s="810"/>
      <c r="M51" s="817"/>
      <c r="N51" s="809"/>
      <c r="O51" s="809"/>
      <c r="P51" s="809"/>
      <c r="Q51" s="810"/>
      <c r="R51" s="809"/>
      <c r="S51" s="809"/>
      <c r="U51" s="812"/>
      <c r="V51" s="812"/>
      <c r="W51" s="812"/>
      <c r="X51" s="812"/>
      <c r="Y51" s="809"/>
      <c r="Z51" s="809"/>
      <c r="AA51" s="251"/>
      <c r="AC51" s="255"/>
      <c r="AE51" s="251"/>
    </row>
    <row r="52" spans="10:31">
      <c r="J52" s="278"/>
      <c r="K52" s="56" t="s">
        <v>482</v>
      </c>
      <c r="L52" s="285">
        <f>'[18]Percentiles_All_Bills July'!$I$4</f>
        <v>3</v>
      </c>
      <c r="M52" s="261">
        <f>VLOOKUP($M$32,$G$5:$I$5,3,0)</f>
        <v>28.32</v>
      </c>
      <c r="N52" s="261">
        <f>$I$8*L52</f>
        <v>0.94020000000000004</v>
      </c>
      <c r="O52" s="261">
        <f>$H$10*L52</f>
        <v>1.3214999999999999</v>
      </c>
      <c r="P52" s="261">
        <f>L52*$I$9</f>
        <v>0</v>
      </c>
      <c r="Q52" s="261">
        <f>SUM(M52:P52)</f>
        <v>30.581700000000001</v>
      </c>
      <c r="R52" s="261">
        <f>Q52-Q43</f>
        <v>8.4574000000000034</v>
      </c>
      <c r="S52" s="272">
        <f>R52/Q43</f>
        <v>0.38226746156940578</v>
      </c>
      <c r="T52"/>
      <c r="U52" s="261">
        <f>Q52*'UNSG Riders- Current'!$C$4</f>
        <v>5.7615922800000004E-2</v>
      </c>
      <c r="V52" s="261">
        <f>L52*$I$12</f>
        <v>0</v>
      </c>
      <c r="W52" s="261">
        <f>Q52*$I$13</f>
        <v>0</v>
      </c>
      <c r="X52" s="263">
        <f>ROUND(SUM(Q52,U52:W52),2)</f>
        <v>30.64</v>
      </c>
      <c r="Y52" s="261">
        <f>X52-V43</f>
        <v>8.4699999999999989</v>
      </c>
      <c r="Z52" s="272">
        <f>Y52/V43</f>
        <v>0.38204781235904367</v>
      </c>
      <c r="AA52" s="251"/>
      <c r="AC52" s="255"/>
      <c r="AE52" s="251"/>
    </row>
    <row r="53" spans="10:31">
      <c r="K53" s="56" t="s">
        <v>866</v>
      </c>
      <c r="L53" s="285">
        <f>'[18]Percentiles_All_Bills July'!$J$4</f>
        <v>30</v>
      </c>
      <c r="M53" s="261">
        <f t="shared" ref="M53:M56" si="40">VLOOKUP($M$32,$G$5:$I$5,3,0)</f>
        <v>28.32</v>
      </c>
      <c r="N53" s="261">
        <f t="shared" ref="N53:N56" si="41">$I$8*L53</f>
        <v>9.402000000000001</v>
      </c>
      <c r="O53" s="261">
        <f t="shared" ref="O53:O55" si="42">$H$10*L53</f>
        <v>13.215</v>
      </c>
      <c r="P53" s="261">
        <f t="shared" ref="P53:P56" si="43">L53*$I$9</f>
        <v>0</v>
      </c>
      <c r="Q53" s="261">
        <f t="shared" ref="Q53:Q56" si="44">SUM(M53:P53)</f>
        <v>50.936999999999998</v>
      </c>
      <c r="R53" s="261">
        <f t="shared" ref="R53:R56" si="45">Q53-Q44</f>
        <v>9.6939999999999955</v>
      </c>
      <c r="S53" s="272">
        <f t="shared" ref="S53:S56" si="46">R53/Q44</f>
        <v>0.23504594719103836</v>
      </c>
      <c r="T53"/>
      <c r="U53" s="261">
        <f>Q53*'UNSG Riders- Current'!$C$4</f>
        <v>9.5965307999999999E-2</v>
      </c>
      <c r="V53" s="261">
        <f t="shared" ref="V53:V56" si="47">L53*$I$12</f>
        <v>0</v>
      </c>
      <c r="W53" s="261">
        <f t="shared" ref="W53:W56" si="48">Q53*$I$13</f>
        <v>0</v>
      </c>
      <c r="X53" s="263">
        <f t="shared" ref="X53:X56" si="49">ROUND(SUM(Q53,U53:W53),2)</f>
        <v>51.03</v>
      </c>
      <c r="Y53" s="261">
        <f>X53-V44</f>
        <v>9.7100000000000009</v>
      </c>
      <c r="Z53" s="272">
        <f>Y53/V44</f>
        <v>0.23499515972894483</v>
      </c>
      <c r="AA53" s="251"/>
      <c r="AC53" s="255"/>
      <c r="AE53" s="251"/>
    </row>
    <row r="54" spans="10:31">
      <c r="K54" s="56" t="s">
        <v>520</v>
      </c>
      <c r="L54" s="285">
        <f>'[18]Percentiles_All_Bills July'!$K$4</f>
        <v>318</v>
      </c>
      <c r="M54" s="261">
        <f t="shared" si="40"/>
        <v>28.32</v>
      </c>
      <c r="N54" s="261">
        <f t="shared" si="41"/>
        <v>99.661200000000008</v>
      </c>
      <c r="O54" s="261">
        <f t="shared" si="42"/>
        <v>140.07900000000001</v>
      </c>
      <c r="P54" s="261">
        <f t="shared" si="43"/>
        <v>0</v>
      </c>
      <c r="Q54" s="261">
        <f t="shared" si="44"/>
        <v>268.06020000000001</v>
      </c>
      <c r="R54" s="261">
        <f t="shared" si="45"/>
        <v>22.884399999999999</v>
      </c>
      <c r="S54" s="272">
        <f t="shared" si="46"/>
        <v>9.3338738978316779E-2</v>
      </c>
      <c r="T54"/>
      <c r="U54" s="261">
        <f>Q54*'UNSG Riders- Current'!$C$4</f>
        <v>0.50502541680000002</v>
      </c>
      <c r="V54" s="261">
        <f t="shared" si="47"/>
        <v>0</v>
      </c>
      <c r="W54" s="261">
        <f t="shared" si="48"/>
        <v>0</v>
      </c>
      <c r="X54" s="263">
        <f t="shared" si="49"/>
        <v>268.57</v>
      </c>
      <c r="Y54" s="261">
        <f>X54-V45</f>
        <v>22.930000000000007</v>
      </c>
      <c r="Z54" s="272">
        <f>Y54/V45</f>
        <v>9.3347988926884909E-2</v>
      </c>
      <c r="AA54" s="251"/>
      <c r="AC54" s="255"/>
      <c r="AE54" s="251"/>
    </row>
    <row r="55" spans="10:31">
      <c r="K55" s="56" t="s">
        <v>868</v>
      </c>
      <c r="L55" s="285">
        <f>'[18]Percentiles_All_Bills July'!$L$4</f>
        <v>635</v>
      </c>
      <c r="M55" s="261">
        <f t="shared" si="40"/>
        <v>28.32</v>
      </c>
      <c r="N55" s="261">
        <f t="shared" si="41"/>
        <v>199.00900000000001</v>
      </c>
      <c r="O55" s="261">
        <f t="shared" si="42"/>
        <v>279.71750000000003</v>
      </c>
      <c r="P55" s="261">
        <f t="shared" si="43"/>
        <v>0</v>
      </c>
      <c r="Q55" s="261">
        <f t="shared" si="44"/>
        <v>507.04650000000004</v>
      </c>
      <c r="R55" s="261">
        <f t="shared" si="45"/>
        <v>37.402999999999963</v>
      </c>
      <c r="S55" s="272">
        <f t="shared" si="46"/>
        <v>7.9641259806640483E-2</v>
      </c>
      <c r="T55"/>
      <c r="U55" s="261">
        <f>Q55*'UNSG Riders- Current'!$C$4</f>
        <v>0.95527560600000005</v>
      </c>
      <c r="V55" s="261">
        <f t="shared" si="47"/>
        <v>0</v>
      </c>
      <c r="W55" s="261">
        <f t="shared" si="48"/>
        <v>0</v>
      </c>
      <c r="X55" s="263">
        <f t="shared" si="49"/>
        <v>508</v>
      </c>
      <c r="Y55" s="261">
        <f>X55-V46</f>
        <v>37.470000000000027</v>
      </c>
      <c r="Z55" s="272">
        <f>Y55/V46</f>
        <v>7.9633604658576565E-2</v>
      </c>
      <c r="AA55" s="251"/>
      <c r="AC55" s="255"/>
      <c r="AE55" s="251"/>
    </row>
    <row r="56" spans="10:31">
      <c r="K56" s="267" t="s">
        <v>877</v>
      </c>
      <c r="L56" s="285">
        <f>'[18]Percentiles_All_Bills July'!$O$4</f>
        <v>109.95283178360101</v>
      </c>
      <c r="M56" s="261">
        <f t="shared" si="40"/>
        <v>28.32</v>
      </c>
      <c r="N56" s="261">
        <f t="shared" si="41"/>
        <v>34.459217480980556</v>
      </c>
      <c r="O56" s="261">
        <f>$H$10*L56</f>
        <v>48.434222400676248</v>
      </c>
      <c r="P56" s="261">
        <f t="shared" si="43"/>
        <v>0</v>
      </c>
      <c r="Q56" s="261">
        <f t="shared" si="44"/>
        <v>111.2134398816568</v>
      </c>
      <c r="R56" s="261">
        <f t="shared" si="45"/>
        <v>13.355839695688914</v>
      </c>
      <c r="S56" s="272">
        <f t="shared" si="46"/>
        <v>0.13648239554523686</v>
      </c>
      <c r="T56"/>
      <c r="U56" s="261">
        <f>Q56*'UNSG Riders- Current'!$C$4</f>
        <v>0.20952612073704141</v>
      </c>
      <c r="V56" s="261">
        <f t="shared" si="47"/>
        <v>0</v>
      </c>
      <c r="W56" s="261">
        <f t="shared" si="48"/>
        <v>0</v>
      </c>
      <c r="X56" s="263">
        <f t="shared" si="49"/>
        <v>111.42</v>
      </c>
      <c r="Y56" s="261">
        <f>X56-V47</f>
        <v>13.379999999999995</v>
      </c>
      <c r="Z56" s="272">
        <f>Y56/V47</f>
        <v>0.13647490820073435</v>
      </c>
      <c r="AA56" s="251"/>
      <c r="AC56" s="255"/>
      <c r="AE56" s="251"/>
    </row>
    <row r="57" spans="10:31"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 s="251"/>
      <c r="AC57" s="255"/>
      <c r="AE57" s="251"/>
    </row>
    <row r="58" spans="10:31"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 s="251"/>
      <c r="AC58" s="255"/>
      <c r="AE58" s="251"/>
    </row>
    <row r="59" spans="10:31"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0:31"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0:31" ht="15" customHeight="1"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 s="251"/>
      <c r="AC61" s="255"/>
      <c r="AE61" s="251"/>
    </row>
    <row r="62" spans="10:31" ht="21.75" customHeight="1"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 s="251"/>
      <c r="AC62" s="255"/>
      <c r="AE62" s="251"/>
    </row>
    <row r="63" spans="10:31"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 s="251"/>
      <c r="AC63" s="255"/>
      <c r="AE63" s="251"/>
    </row>
    <row r="64" spans="10:31"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 s="251"/>
      <c r="AC64" s="255"/>
      <c r="AE64" s="251"/>
    </row>
    <row r="65" spans="11:31"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 s="251"/>
      <c r="AC65" s="255"/>
      <c r="AE65" s="251"/>
    </row>
    <row r="66" spans="11:31"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 s="251"/>
      <c r="AC66" s="255"/>
      <c r="AE66" s="251"/>
    </row>
    <row r="67" spans="11:31"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 s="251"/>
      <c r="AC67" s="255"/>
      <c r="AE67" s="251"/>
    </row>
    <row r="68" spans="11:31"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 s="251"/>
      <c r="AC68" s="255"/>
      <c r="AE68" s="251"/>
    </row>
    <row r="69" spans="11:31"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 s="251"/>
      <c r="AC69" s="255"/>
      <c r="AE69" s="251"/>
    </row>
    <row r="70" spans="11:31"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 s="251"/>
      <c r="AC70" s="255"/>
      <c r="AE70" s="251"/>
    </row>
  </sheetData>
  <mergeCells count="73">
    <mergeCell ref="U23:U24"/>
    <mergeCell ref="V23:V24"/>
    <mergeCell ref="L22:O22"/>
    <mergeCell ref="L23:L24"/>
    <mergeCell ref="M23:M24"/>
    <mergeCell ref="N23:N24"/>
    <mergeCell ref="O23:O24"/>
    <mergeCell ref="Z14:Z15"/>
    <mergeCell ref="U4:U5"/>
    <mergeCell ref="V4:V5"/>
    <mergeCell ref="L13:O13"/>
    <mergeCell ref="L14:L15"/>
    <mergeCell ref="M14:M15"/>
    <mergeCell ref="N14:N15"/>
    <mergeCell ref="O14:O15"/>
    <mergeCell ref="Q14:Q15"/>
    <mergeCell ref="R14:R15"/>
    <mergeCell ref="S14:S15"/>
    <mergeCell ref="U14:U15"/>
    <mergeCell ref="V14:V15"/>
    <mergeCell ref="W14:W15"/>
    <mergeCell ref="X14:X15"/>
    <mergeCell ref="Y14:Y15"/>
    <mergeCell ref="K1:S1"/>
    <mergeCell ref="L3:O3"/>
    <mergeCell ref="L4:L5"/>
    <mergeCell ref="M4:M5"/>
    <mergeCell ref="N4:N5"/>
    <mergeCell ref="O4:O5"/>
    <mergeCell ref="Q4:Q5"/>
    <mergeCell ref="P4:P5"/>
    <mergeCell ref="W32:W33"/>
    <mergeCell ref="X32:X33"/>
    <mergeCell ref="R32:R33"/>
    <mergeCell ref="L31:O31"/>
    <mergeCell ref="L32:L33"/>
    <mergeCell ref="M32:M33"/>
    <mergeCell ref="N32:N33"/>
    <mergeCell ref="O32:O33"/>
    <mergeCell ref="S32:S33"/>
    <mergeCell ref="L40:O40"/>
    <mergeCell ref="L41:L42"/>
    <mergeCell ref="M41:M42"/>
    <mergeCell ref="N41:N42"/>
    <mergeCell ref="O41:O42"/>
    <mergeCell ref="L49:O49"/>
    <mergeCell ref="L50:L51"/>
    <mergeCell ref="M50:M51"/>
    <mergeCell ref="N50:N51"/>
    <mergeCell ref="O50:O51"/>
    <mergeCell ref="P14:P15"/>
    <mergeCell ref="Y50:Y51"/>
    <mergeCell ref="Z50:Z51"/>
    <mergeCell ref="Q50:Q51"/>
    <mergeCell ref="U50:U51"/>
    <mergeCell ref="V50:V51"/>
    <mergeCell ref="W50:W51"/>
    <mergeCell ref="X50:X51"/>
    <mergeCell ref="Y32:Y33"/>
    <mergeCell ref="Z32:Z33"/>
    <mergeCell ref="Q41:Q42"/>
    <mergeCell ref="U41:U42"/>
    <mergeCell ref="V41:V42"/>
    <mergeCell ref="Q32:Q33"/>
    <mergeCell ref="U32:U33"/>
    <mergeCell ref="V32:V33"/>
    <mergeCell ref="R50:R51"/>
    <mergeCell ref="S50:S51"/>
    <mergeCell ref="P23:P24"/>
    <mergeCell ref="P32:P33"/>
    <mergeCell ref="P41:P42"/>
    <mergeCell ref="P50:P51"/>
    <mergeCell ref="Q23:Q24"/>
  </mergeCells>
  <conditionalFormatting sqref="I12">
    <cfRule type="containsBlanks" dxfId="123" priority="1">
      <formula>LEN(TRIM(I12))=0</formula>
    </cfRule>
  </conditionalFormatting>
  <printOptions horizontalCentered="1"/>
  <pageMargins left="0.45" right="0.45" top="1.25" bottom="0.75" header="0.5" footer="0.3"/>
  <pageSetup scale="92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0" max="25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2DFCE-C036-48EA-B641-C8218E501F43}">
  <sheetPr codeName="Sheet26">
    <tabColor theme="2" tint="-0.249977111117893"/>
    <pageSetUpPr fitToPage="1"/>
  </sheetPr>
  <dimension ref="A1:AG70"/>
  <sheetViews>
    <sheetView zoomScale="90" zoomScaleNormal="90" zoomScaleSheetLayoutView="70" workbookViewId="0">
      <selection activeCell="B6" sqref="B6"/>
    </sheetView>
  </sheetViews>
  <sheetFormatPr defaultColWidth="9.28515625" defaultRowHeight="15"/>
  <cols>
    <col min="1" max="2" width="9.28515625" style="251"/>
    <col min="3" max="3" width="6.140625" style="251" customWidth="1"/>
    <col min="4" max="4" width="12.5703125" style="251" bestFit="1" customWidth="1"/>
    <col min="5" max="6" width="12.7109375" style="251" bestFit="1" customWidth="1"/>
    <col min="7" max="7" width="22.42578125" style="57" bestFit="1" customWidth="1"/>
    <col min="8" max="9" width="9.7109375" style="57" bestFit="1" customWidth="1"/>
    <col min="10" max="10" width="7.28515625" style="57" bestFit="1" customWidth="1"/>
    <col min="11" max="11" width="6.5703125" style="57" bestFit="1" customWidth="1"/>
    <col min="12" max="18" width="10.28515625" style="57" customWidth="1"/>
    <col min="19" max="19" width="7.42578125" style="57" bestFit="1" customWidth="1"/>
    <col min="20" max="20" width="7.5703125" style="57" customWidth="1"/>
    <col min="21" max="21" width="7" style="57" bestFit="1" customWidth="1"/>
    <col min="22" max="22" width="7.5703125" style="57" customWidth="1"/>
    <col min="23" max="23" width="9.85546875" style="57" bestFit="1" customWidth="1"/>
    <col min="24" max="24" width="5.42578125" style="57" bestFit="1" customWidth="1"/>
    <col min="25" max="25" width="9.85546875" style="57" bestFit="1" customWidth="1"/>
    <col min="26" max="26" width="8.28515625" style="57" bestFit="1" customWidth="1"/>
    <col min="27" max="27" width="7.5703125" style="57" customWidth="1"/>
    <col min="28" max="30" width="9.28515625" style="251"/>
    <col min="31" max="31" width="9.28515625" style="255"/>
    <col min="32" max="16384" width="9.28515625" style="251"/>
  </cols>
  <sheetData>
    <row r="1" spans="1:33">
      <c r="G1" s="57" t="s">
        <v>854</v>
      </c>
      <c r="H1" s="4" t="s">
        <v>793</v>
      </c>
      <c r="I1" s="56" t="s">
        <v>536</v>
      </c>
      <c r="K1" s="818" t="s">
        <v>889</v>
      </c>
      <c r="L1" s="818"/>
      <c r="M1" s="818"/>
      <c r="N1" s="818"/>
      <c r="O1" s="818"/>
      <c r="P1" s="818"/>
      <c r="Q1" s="818"/>
      <c r="R1" s="818"/>
      <c r="S1" s="818"/>
      <c r="T1" s="253"/>
      <c r="U1" s="254"/>
    </row>
    <row r="2" spans="1:33">
      <c r="M2" s="256" t="s">
        <v>856</v>
      </c>
    </row>
    <row r="3" spans="1:33" ht="15" customHeight="1">
      <c r="I3" s="100"/>
      <c r="M3" s="823" t="s">
        <v>857</v>
      </c>
      <c r="N3" s="823"/>
      <c r="O3" s="823"/>
      <c r="P3" s="823"/>
      <c r="Q3" s="823"/>
      <c r="R3" s="823"/>
      <c r="T3" s="251"/>
      <c r="Z3" s="251"/>
      <c r="AA3" s="251"/>
      <c r="AC3" s="255"/>
      <c r="AE3" s="251"/>
    </row>
    <row r="4" spans="1:33" ht="21.75" customHeight="1">
      <c r="A4" s="251" t="s">
        <v>598</v>
      </c>
      <c r="B4" s="251" t="s">
        <v>599</v>
      </c>
      <c r="C4" s="251" t="s">
        <v>587</v>
      </c>
      <c r="D4" s="279" t="s">
        <v>880</v>
      </c>
      <c r="E4" s="251" t="s">
        <v>600</v>
      </c>
      <c r="F4" s="251" t="s">
        <v>601</v>
      </c>
      <c r="G4" s="251" t="s">
        <v>858</v>
      </c>
      <c r="I4" s="257" t="s">
        <v>828</v>
      </c>
      <c r="J4" s="257" t="s">
        <v>551</v>
      </c>
      <c r="M4" s="810" t="s">
        <v>859</v>
      </c>
      <c r="N4" s="816" t="s">
        <v>860</v>
      </c>
      <c r="O4" s="808" t="s">
        <v>861</v>
      </c>
      <c r="P4" s="808" t="s">
        <v>610</v>
      </c>
      <c r="Q4" s="808" t="s">
        <v>862</v>
      </c>
      <c r="R4" s="810" t="s">
        <v>863</v>
      </c>
      <c r="V4" s="811" t="s">
        <v>864</v>
      </c>
      <c r="W4" s="811" t="s">
        <v>865</v>
      </c>
    </row>
    <row r="5" spans="1:33">
      <c r="A5" s="100">
        <v>41030</v>
      </c>
      <c r="B5" s="100">
        <v>46082</v>
      </c>
      <c r="C5" s="251" t="str">
        <f>I1</f>
        <v>GISVS</v>
      </c>
      <c r="D5" s="251" t="s">
        <v>521</v>
      </c>
      <c r="E5" s="100" t="str">
        <f t="shared" ref="E5:E11" si="0">IF(C5="","",A5&amp;$C5)</f>
        <v>41030GISVS</v>
      </c>
      <c r="F5" s="100" t="str">
        <f>IF(D5="","",B5&amp;$D5)</f>
        <v>46082GGSVS</v>
      </c>
      <c r="G5" s="251" t="str">
        <f>IFERROR(IF(VLOOKUP(H5,Lookup!$A$1:$B$200,2,0)="","",VLOOKUP(H5,Lookup!$A$1:$B$200,2,0)),"")</f>
        <v>BASIC_SERVICE_CHARGE</v>
      </c>
      <c r="H5" s="258" t="s">
        <v>607</v>
      </c>
      <c r="I5" s="259">
        <f>VLOOKUP(E5,'UNSG - ALL RATES'!$A$1:$DF$43,MATCH($G5,'UNSG - ALL RATES'!$A$2:$DF$2,0),0)</f>
        <v>20</v>
      </c>
      <c r="J5" s="259">
        <f>VLOOKUP(F5,'UNSG - ALL RATES'!$A$1:$DF$43,MATCH($G5,'UNSG - ALL RATES'!$A$2:$DF$2,0),0)</f>
        <v>28.32</v>
      </c>
      <c r="K5" s="259"/>
      <c r="M5" s="810"/>
      <c r="N5" s="817"/>
      <c r="O5" s="809"/>
      <c r="P5" s="809"/>
      <c r="Q5" s="809"/>
      <c r="R5" s="810"/>
      <c r="U5" s="251"/>
      <c r="V5" s="812"/>
      <c r="W5" s="812"/>
      <c r="AA5" s="251"/>
      <c r="AD5" s="255"/>
      <c r="AE5" s="251"/>
    </row>
    <row r="6" spans="1:33">
      <c r="A6" s="100">
        <v>41030</v>
      </c>
      <c r="B6" s="100">
        <f>$B$5</f>
        <v>46082</v>
      </c>
      <c r="C6" s="251" t="str">
        <f>C5</f>
        <v>GISVS</v>
      </c>
      <c r="D6" s="251" t="s">
        <v>521</v>
      </c>
      <c r="E6" s="100" t="str">
        <f t="shared" si="0"/>
        <v>41030GISVS</v>
      </c>
      <c r="F6" s="100" t="str">
        <f t="shared" ref="F6:F11" si="1">IF(D6="","",B6&amp;$D6)</f>
        <v>46082GGSVS</v>
      </c>
      <c r="G6" s="251" t="str">
        <f>IFERROR(IF(VLOOKUP(H6,Lookup!$A$1:$B$200,2,0)="","",VLOOKUP(H6,Lookup!$A$1:$B$200,2,0)),"")</f>
        <v/>
      </c>
      <c r="H6" s="258"/>
      <c r="I6" s="259"/>
      <c r="J6" s="259"/>
      <c r="K6" s="259"/>
      <c r="L6" s="56" t="s">
        <v>482</v>
      </c>
      <c r="M6" s="260">
        <f>AVERAGE(M25,M43)</f>
        <v>1446.25</v>
      </c>
      <c r="N6" s="261">
        <f>VLOOKUP(N4,$H$5:$J$5,2,0)</f>
        <v>20</v>
      </c>
      <c r="O6" s="261">
        <f>$I$8*M6</f>
        <v>442.69712499999997</v>
      </c>
      <c r="P6" s="261">
        <f>$I$10*M6</f>
        <v>637.073125</v>
      </c>
      <c r="Q6" s="261">
        <f>M6*$I$9</f>
        <v>-23.284624999999998</v>
      </c>
      <c r="R6" s="261">
        <f>SUM(N6:Q6)</f>
        <v>1076.485625</v>
      </c>
      <c r="U6" s="262"/>
      <c r="V6" s="261">
        <v>0</v>
      </c>
      <c r="W6" s="263">
        <f>ROUND(SUM(R6,V6:V6),2)</f>
        <v>1076.49</v>
      </c>
      <c r="Z6" s="262"/>
      <c r="AA6" s="251"/>
      <c r="AD6" s="255"/>
      <c r="AE6" s="251"/>
    </row>
    <row r="7" spans="1:33">
      <c r="A7" s="100">
        <v>41030</v>
      </c>
      <c r="B7" s="100">
        <f t="shared" ref="B7:B18" si="2">$B$5</f>
        <v>46082</v>
      </c>
      <c r="C7" s="251" t="str">
        <f t="shared" ref="C7:C18" si="3">C6</f>
        <v>GISVS</v>
      </c>
      <c r="D7" s="251" t="s">
        <v>521</v>
      </c>
      <c r="E7" s="100" t="str">
        <f t="shared" si="0"/>
        <v>41030GISVS</v>
      </c>
      <c r="F7" s="100" t="str">
        <f t="shared" si="1"/>
        <v>46082GGSVS</v>
      </c>
      <c r="G7" s="251" t="str">
        <f>IFERROR(IF(VLOOKUP(H7,Lookup!$A$1:$B$200,2,0)="","",VLOOKUP(H7,Lookup!$A$1:$B$200,2,0)),"")</f>
        <v/>
      </c>
      <c r="H7" s="258" t="s">
        <v>512</v>
      </c>
      <c r="I7" s="259"/>
      <c r="J7" s="259"/>
      <c r="K7" s="264"/>
      <c r="L7" s="56" t="s">
        <v>866</v>
      </c>
      <c r="M7" s="260">
        <f t="shared" ref="M7:M10" si="4">AVERAGE(M26,M44)</f>
        <v>3502.5</v>
      </c>
      <c r="N7" s="261">
        <f>N6</f>
        <v>20</v>
      </c>
      <c r="O7" s="261">
        <f>$I$8*M7</f>
        <v>1072.1152499999998</v>
      </c>
      <c r="P7" s="261">
        <f>$I$10*M7</f>
        <v>1542.8512499999999</v>
      </c>
      <c r="Q7" s="261">
        <f t="shared" ref="Q7:Q10" si="5">M7*$I$9</f>
        <v>-56.390250000000002</v>
      </c>
      <c r="R7" s="261">
        <f t="shared" ref="R7:R10" si="6">SUM(N7:Q7)</f>
        <v>2578.5762499999996</v>
      </c>
      <c r="U7" s="262"/>
      <c r="V7" s="261">
        <v>0</v>
      </c>
      <c r="W7" s="263">
        <f>ROUND(SUM(R7,V7:V7),2)</f>
        <v>2578.58</v>
      </c>
      <c r="Z7" s="262"/>
      <c r="AA7" s="251"/>
      <c r="AD7" s="255"/>
      <c r="AE7" s="251"/>
    </row>
    <row r="8" spans="1:33">
      <c r="A8" s="100">
        <v>41030</v>
      </c>
      <c r="B8" s="100">
        <f t="shared" si="2"/>
        <v>46082</v>
      </c>
      <c r="C8" s="251" t="str">
        <f t="shared" si="3"/>
        <v>GISVS</v>
      </c>
      <c r="D8" s="251" t="s">
        <v>521</v>
      </c>
      <c r="E8" s="100" t="str">
        <f t="shared" si="0"/>
        <v>41030GISVS</v>
      </c>
      <c r="F8" s="100" t="str">
        <f t="shared" si="1"/>
        <v>46082GGSVS</v>
      </c>
      <c r="G8" s="251" t="str">
        <f>IFERROR(IF(VLOOKUP(H8,Lookup!$A$1:$B$200,2,0)="","",VLOOKUP(H8,Lookup!$A$1:$B$200,2,0)),"")</f>
        <v>THERM_DELIVERY_TIER1</v>
      </c>
      <c r="H8" s="57" t="s">
        <v>609</v>
      </c>
      <c r="I8" s="265">
        <f>VLOOKUP(E8,'UNSG - ALL RATES'!$A$1:$DF$43,MATCH($G8,'UNSG - ALL RATES'!$A$2:$DF$2,0),0)</f>
        <v>0.30609999999999998</v>
      </c>
      <c r="J8" s="265">
        <f>VLOOKUP(F8,'UNSG - ALL RATES'!$A$1:$DF$43,MATCH($G8,'UNSG - ALL RATES'!$A$2:$DF$2,0),0)</f>
        <v>0.31340000000000001</v>
      </c>
      <c r="K8" s="264"/>
      <c r="L8" s="56" t="s">
        <v>520</v>
      </c>
      <c r="M8" s="260">
        <f t="shared" si="4"/>
        <v>9192.25</v>
      </c>
      <c r="N8" s="261">
        <f t="shared" ref="N8:N10" si="7">N7</f>
        <v>20</v>
      </c>
      <c r="O8" s="261">
        <f>$I$8*M8</f>
        <v>2813.7477249999997</v>
      </c>
      <c r="P8" s="261">
        <f>$I$10*M8</f>
        <v>4049.1861250000002</v>
      </c>
      <c r="Q8" s="261">
        <f t="shared" si="5"/>
        <v>-147.995225</v>
      </c>
      <c r="R8" s="261">
        <f t="shared" si="6"/>
        <v>6734.9386249999998</v>
      </c>
      <c r="U8" s="262"/>
      <c r="V8" s="261">
        <v>0</v>
      </c>
      <c r="W8" s="263">
        <f>ROUND(SUM(R8,V8:V8),2)</f>
        <v>6734.94</v>
      </c>
      <c r="Z8" s="262"/>
      <c r="AA8" s="251"/>
      <c r="AD8" s="255"/>
      <c r="AE8" s="251"/>
    </row>
    <row r="9" spans="1:33">
      <c r="A9" s="100">
        <v>41030</v>
      </c>
      <c r="B9" s="100">
        <f t="shared" si="2"/>
        <v>46082</v>
      </c>
      <c r="C9" s="251" t="str">
        <f t="shared" si="3"/>
        <v>GISVS</v>
      </c>
      <c r="D9" s="251" t="s">
        <v>521</v>
      </c>
      <c r="E9" s="100" t="str">
        <f t="shared" si="0"/>
        <v>41030GISVS</v>
      </c>
      <c r="F9" s="100" t="str">
        <f t="shared" si="1"/>
        <v>46082GGSVS</v>
      </c>
      <c r="G9" s="251" t="str">
        <f>IFERROR(IF(VLOOKUP(H9,Lookup!$A$1:$B$200,2,0)="","",VLOOKUP(H9,Lookup!$A$1:$B$200,2,0)),"")</f>
        <v/>
      </c>
      <c r="H9" s="57" t="s">
        <v>867</v>
      </c>
      <c r="I9" s="264">
        <v>-1.61E-2</v>
      </c>
      <c r="J9" s="674">
        <v>0</v>
      </c>
      <c r="K9" s="264"/>
      <c r="L9" s="56" t="s">
        <v>868</v>
      </c>
      <c r="M9" s="260">
        <f t="shared" si="4"/>
        <v>13124</v>
      </c>
      <c r="N9" s="261">
        <f t="shared" si="7"/>
        <v>20</v>
      </c>
      <c r="O9" s="261">
        <f>$I$8*M9</f>
        <v>4017.2563999999998</v>
      </c>
      <c r="P9" s="261">
        <f>$I$10*M9</f>
        <v>5781.1220000000003</v>
      </c>
      <c r="Q9" s="261">
        <f t="shared" si="5"/>
        <v>-211.29640000000001</v>
      </c>
      <c r="R9" s="261">
        <f t="shared" si="6"/>
        <v>9607.0820000000003</v>
      </c>
      <c r="U9" s="262"/>
      <c r="V9" s="261">
        <v>0</v>
      </c>
      <c r="W9" s="263">
        <f>ROUND(SUM(R9,V9:V9),2)</f>
        <v>9607.08</v>
      </c>
      <c r="Z9" s="262"/>
      <c r="AA9" s="251"/>
      <c r="AD9" s="255"/>
      <c r="AE9" s="251"/>
    </row>
    <row r="10" spans="1:33">
      <c r="A10" s="100">
        <v>41030</v>
      </c>
      <c r="B10" s="100">
        <f t="shared" si="2"/>
        <v>46082</v>
      </c>
      <c r="C10" s="251" t="str">
        <f t="shared" si="3"/>
        <v>GISVS</v>
      </c>
      <c r="D10" s="251" t="s">
        <v>521</v>
      </c>
      <c r="E10" s="100" t="str">
        <f t="shared" si="0"/>
        <v>41030GISVS</v>
      </c>
      <c r="F10" s="100" t="str">
        <f t="shared" si="1"/>
        <v>46082GGSVS</v>
      </c>
      <c r="G10" s="251" t="str">
        <f>IFERROR(IF(VLOOKUP(H10,Lookup!$A$1:$B$200,2,0)="","",VLOOKUP(H10,Lookup!$A$1:$B$200,2,0)),"")</f>
        <v/>
      </c>
      <c r="H10" s="266" t="s">
        <v>610</v>
      </c>
      <c r="I10" s="264">
        <f>'PGA Calculation'!$B$3</f>
        <v>0.4405</v>
      </c>
      <c r="J10" s="264">
        <f>'PGA Calculation'!$B$13</f>
        <v>0.44669999999999999</v>
      </c>
      <c r="K10" s="264"/>
      <c r="L10" s="267" t="s">
        <v>869</v>
      </c>
      <c r="M10" s="260">
        <f t="shared" si="4"/>
        <v>2991.6261904761905</v>
      </c>
      <c r="N10" s="261">
        <f t="shared" si="7"/>
        <v>20</v>
      </c>
      <c r="O10" s="261">
        <f>$I$8*M10</f>
        <v>915.73677690476188</v>
      </c>
      <c r="P10" s="261">
        <f>$I$10*M10</f>
        <v>1317.8113369047619</v>
      </c>
      <c r="Q10" s="261">
        <f t="shared" si="5"/>
        <v>-48.165181666666669</v>
      </c>
      <c r="R10" s="261">
        <f t="shared" si="6"/>
        <v>2205.382932142857</v>
      </c>
      <c r="U10" s="262"/>
      <c r="V10" s="261">
        <v>0</v>
      </c>
      <c r="W10" s="263">
        <f>ROUND(SUM(R10,V10:V10),2)</f>
        <v>2205.38</v>
      </c>
      <c r="Z10" s="262"/>
      <c r="AA10" s="251"/>
      <c r="AD10" s="255"/>
      <c r="AE10" s="251"/>
    </row>
    <row r="11" spans="1:33">
      <c r="A11" s="100">
        <v>41030</v>
      </c>
      <c r="B11" s="100">
        <f t="shared" si="2"/>
        <v>46082</v>
      </c>
      <c r="C11" s="251" t="str">
        <f t="shared" si="3"/>
        <v>GISVS</v>
      </c>
      <c r="D11" s="251" t="s">
        <v>521</v>
      </c>
      <c r="E11" s="100" t="str">
        <f t="shared" si="0"/>
        <v>41030GISVS</v>
      </c>
      <c r="F11" s="100" t="str">
        <f t="shared" si="1"/>
        <v>46082GGSVS</v>
      </c>
      <c r="G11" s="251" t="str">
        <f>IFERROR(IF(VLOOKUP(H11,Lookup!$A$1:$B$200,2,0)="","",VLOOKUP(H11,Lookup!$A$1:$B$200,2,0)),"")</f>
        <v/>
      </c>
      <c r="H11" s="258"/>
      <c r="I11" s="264"/>
      <c r="J11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W11" s="268"/>
      <c r="X11" s="268"/>
      <c r="Y11" s="268"/>
      <c r="Z11" s="269"/>
      <c r="AB11" s="262"/>
      <c r="AE11" s="251"/>
      <c r="AF11" s="255"/>
    </row>
    <row r="12" spans="1:33">
      <c r="A12" s="100"/>
      <c r="B12" s="100"/>
      <c r="E12" s="100"/>
      <c r="F12" s="100"/>
      <c r="G12" s="251"/>
      <c r="H12" s="258" t="s">
        <v>870</v>
      </c>
      <c r="I12" s="264">
        <v>0</v>
      </c>
      <c r="J12" s="669">
        <f>'UNSG Riders- Current'!$C$3</f>
        <v>0</v>
      </c>
      <c r="K12" s="264"/>
      <c r="R12" s="270"/>
      <c r="AB12" s="57"/>
      <c r="AE12" s="251"/>
      <c r="AF12" s="255"/>
    </row>
    <row r="13" spans="1:33" ht="15" customHeight="1">
      <c r="A13" s="100">
        <v>41030</v>
      </c>
      <c r="B13" s="100">
        <f t="shared" si="2"/>
        <v>46082</v>
      </c>
      <c r="C13" s="251" t="str">
        <f>C11</f>
        <v>GISVS</v>
      </c>
      <c r="D13" s="251" t="s">
        <v>521</v>
      </c>
      <c r="E13" s="100" t="str">
        <f t="shared" ref="E13:E18" si="8">IF(C13="","",A13&amp;$C13)</f>
        <v>41030GISVS</v>
      </c>
      <c r="F13" s="100" t="str">
        <f>IF(D13="","",B13&amp;$D13)</f>
        <v>46082GGSVS</v>
      </c>
      <c r="G13" s="251" t="str">
        <f>IFERROR(IF(VLOOKUP(H13,Lookup!$A$1:$B$200,2,0)="","",VLOOKUP(H13,Lookup!$A$1:$B$200,2,0)),"")</f>
        <v/>
      </c>
      <c r="H13" s="266" t="s">
        <v>871</v>
      </c>
      <c r="I13" s="303">
        <v>0</v>
      </c>
      <c r="J13" s="680">
        <f>'UNSG Riders- Current'!$C$5</f>
        <v>0</v>
      </c>
      <c r="M13" s="813" t="s">
        <v>872</v>
      </c>
      <c r="N13" s="814"/>
      <c r="O13" s="814"/>
      <c r="P13" s="815"/>
      <c r="Q13" s="296"/>
      <c r="U13" s="251"/>
      <c r="W13" s="271"/>
      <c r="AA13" s="251"/>
      <c r="AD13" s="255"/>
      <c r="AE13" s="251"/>
    </row>
    <row r="14" spans="1:33" ht="22.5" customHeight="1">
      <c r="A14" s="100">
        <v>41030</v>
      </c>
      <c r="B14" s="100">
        <f t="shared" si="2"/>
        <v>46082</v>
      </c>
      <c r="C14" s="251" t="str">
        <f t="shared" si="3"/>
        <v>GISVS</v>
      </c>
      <c r="D14" s="251" t="s">
        <v>521</v>
      </c>
      <c r="E14" s="100" t="str">
        <f t="shared" si="8"/>
        <v>41030GISVS</v>
      </c>
      <c r="F14" s="100" t="str">
        <f t="shared" ref="F14:F18" si="9">IF(D14="","",B14&amp;$D14)</f>
        <v>46082GGSVS</v>
      </c>
      <c r="G14" s="251" t="str">
        <f>IFERROR(IF(VLOOKUP(H14,Lookup!$A$1:$B$200,2,0)="","",VLOOKUP(H14,Lookup!$A$1:$B$200,2,0)),"")</f>
        <v/>
      </c>
      <c r="J14"/>
      <c r="M14" s="810" t="s">
        <v>859</v>
      </c>
      <c r="N14" s="816" t="s">
        <v>860</v>
      </c>
      <c r="O14" s="808" t="s">
        <v>861</v>
      </c>
      <c r="P14" s="808" t="s">
        <v>610</v>
      </c>
      <c r="Q14" s="808" t="s">
        <v>873</v>
      </c>
      <c r="R14" s="810" t="s">
        <v>863</v>
      </c>
      <c r="S14" s="808" t="s">
        <v>874</v>
      </c>
      <c r="T14" s="808" t="s">
        <v>875</v>
      </c>
      <c r="V14" s="811" t="s">
        <v>864</v>
      </c>
      <c r="W14" s="811" t="s">
        <v>870</v>
      </c>
      <c r="X14" s="811" t="s">
        <v>871</v>
      </c>
      <c r="Y14" s="811" t="s">
        <v>865</v>
      </c>
      <c r="Z14" s="808" t="s">
        <v>874</v>
      </c>
      <c r="AA14" s="808" t="s">
        <v>875</v>
      </c>
      <c r="AB14" s="57"/>
      <c r="AC14" s="57"/>
      <c r="AE14" s="251"/>
      <c r="AG14" s="255"/>
    </row>
    <row r="15" spans="1:33" ht="16.5" customHeight="1">
      <c r="A15" s="100">
        <v>41030</v>
      </c>
      <c r="B15" s="100">
        <f t="shared" si="2"/>
        <v>46082</v>
      </c>
      <c r="C15" s="251" t="str">
        <f t="shared" si="3"/>
        <v>GISVS</v>
      </c>
      <c r="D15" s="251" t="s">
        <v>521</v>
      </c>
      <c r="E15" s="100" t="str">
        <f t="shared" si="8"/>
        <v>41030GISVS</v>
      </c>
      <c r="F15" s="100" t="str">
        <f t="shared" si="9"/>
        <v>46082GGSVS</v>
      </c>
      <c r="G15" s="251" t="str">
        <f>IFERROR(IF(VLOOKUP(H15,Lookup!$A$1:$B$200,2,0)="","",VLOOKUP(H15,Lookup!$A$1:$B$200,2,0)),"")</f>
        <v/>
      </c>
      <c r="I15" s="264"/>
      <c r="J15"/>
      <c r="M15" s="810"/>
      <c r="N15" s="817"/>
      <c r="O15" s="809"/>
      <c r="P15" s="809"/>
      <c r="Q15" s="809"/>
      <c r="R15" s="810"/>
      <c r="S15" s="809"/>
      <c r="T15" s="809"/>
      <c r="V15" s="812"/>
      <c r="W15" s="812"/>
      <c r="X15" s="812"/>
      <c r="Y15" s="812"/>
      <c r="Z15" s="809"/>
      <c r="AA15" s="809"/>
      <c r="AB15" s="57"/>
      <c r="AC15" s="57"/>
      <c r="AE15" s="251"/>
      <c r="AG15" s="255"/>
    </row>
    <row r="16" spans="1:33">
      <c r="A16" s="100">
        <v>41030</v>
      </c>
      <c r="B16" s="100">
        <f t="shared" si="2"/>
        <v>46082</v>
      </c>
      <c r="C16" s="251" t="str">
        <f t="shared" si="3"/>
        <v>GISVS</v>
      </c>
      <c r="D16" s="251" t="s">
        <v>521</v>
      </c>
      <c r="E16" s="100" t="str">
        <f t="shared" si="8"/>
        <v>41030GISVS</v>
      </c>
      <c r="F16" s="100" t="str">
        <f t="shared" si="9"/>
        <v>46082GGSVS</v>
      </c>
      <c r="G16" s="251"/>
      <c r="H16" s="130"/>
      <c r="I16" s="264"/>
      <c r="J16" s="264"/>
      <c r="K16" s="264"/>
      <c r="L16" s="56" t="s">
        <v>482</v>
      </c>
      <c r="M16" s="260">
        <f>M6</f>
        <v>1446.25</v>
      </c>
      <c r="N16" s="261">
        <f>VLOOKUP(N14,$H$5:$J$5,3,0)</f>
        <v>28.32</v>
      </c>
      <c r="O16" s="261">
        <f>$J$8*M16</f>
        <v>453.25475</v>
      </c>
      <c r="P16" s="261">
        <f>$J$10*M16</f>
        <v>646.03987499999994</v>
      </c>
      <c r="Q16" s="261">
        <f>M16*$J$9</f>
        <v>0</v>
      </c>
      <c r="R16" s="261">
        <f>SUM(N16:Q16)</f>
        <v>1127.6146249999999</v>
      </c>
      <c r="S16" s="261">
        <f>R16-R6</f>
        <v>51.128999999999905</v>
      </c>
      <c r="T16" s="272">
        <f>S16/R6</f>
        <v>4.7496221791164098E-2</v>
      </c>
      <c r="U16" s="273"/>
      <c r="V16" s="261">
        <f>R16*'UNSG Riders- Current'!$C$4</f>
        <v>2.1244259534999999</v>
      </c>
      <c r="W16" s="261">
        <f>M16*$J$12</f>
        <v>0</v>
      </c>
      <c r="X16" s="261">
        <f>R16*$J$13</f>
        <v>0</v>
      </c>
      <c r="Y16" s="263">
        <f>ROUND(SUM(R16,V16:X16),2)</f>
        <v>1129.74</v>
      </c>
      <c r="Z16" s="261">
        <f>Y16-W6</f>
        <v>53.25</v>
      </c>
      <c r="AA16" s="272">
        <f>Z16/W6</f>
        <v>4.9466321099127721E-2</v>
      </c>
      <c r="AB16" s="57"/>
      <c r="AC16" s="57"/>
      <c r="AE16" s="251"/>
      <c r="AG16" s="255"/>
    </row>
    <row r="17" spans="1:33">
      <c r="A17" s="100">
        <v>41030</v>
      </c>
      <c r="B17" s="100">
        <f t="shared" si="2"/>
        <v>46082</v>
      </c>
      <c r="C17" s="251" t="str">
        <f t="shared" si="3"/>
        <v>GISVS</v>
      </c>
      <c r="D17" s="251" t="s">
        <v>521</v>
      </c>
      <c r="E17" s="100" t="str">
        <f t="shared" si="8"/>
        <v>41030GISVS</v>
      </c>
      <c r="F17" s="100" t="str">
        <f t="shared" si="9"/>
        <v>46082GGSVS</v>
      </c>
      <c r="G17" s="251"/>
      <c r="I17" s="274"/>
      <c r="J17" s="274"/>
      <c r="K17" s="264"/>
      <c r="L17" s="56" t="s">
        <v>866</v>
      </c>
      <c r="M17" s="260">
        <f t="shared" ref="M17:M20" si="10">M7</f>
        <v>3502.5</v>
      </c>
      <c r="N17" s="261">
        <f>N16</f>
        <v>28.32</v>
      </c>
      <c r="O17" s="261">
        <f>$J$8*M17</f>
        <v>1097.6835000000001</v>
      </c>
      <c r="P17" s="261">
        <f>$J$10*M17</f>
        <v>1564.56675</v>
      </c>
      <c r="Q17" s="261">
        <f t="shared" ref="Q17:Q20" si="11">M17*$J$9</f>
        <v>0</v>
      </c>
      <c r="R17" s="261">
        <f t="shared" ref="R17:R20" si="12">SUM(N17:Q17)</f>
        <v>2690.5702499999998</v>
      </c>
      <c r="S17" s="261">
        <f>R17-R7</f>
        <v>111.99400000000014</v>
      </c>
      <c r="T17" s="272">
        <f>S17/R7</f>
        <v>4.3432494966941605E-2</v>
      </c>
      <c r="U17" s="273"/>
      <c r="V17" s="261">
        <f>R17*'UNSG Riders- Current'!$C$4</f>
        <v>5.069034351</v>
      </c>
      <c r="W17" s="261">
        <f t="shared" ref="W17:W20" si="13">M17*$J$12</f>
        <v>0</v>
      </c>
      <c r="X17" s="261">
        <f t="shared" ref="X17:X20" si="14">R17*$J$13</f>
        <v>0</v>
      </c>
      <c r="Y17" s="263">
        <f t="shared" ref="Y17:Y20" si="15">ROUND(SUM(R17,V17:X17),2)</f>
        <v>2695.64</v>
      </c>
      <c r="Z17" s="261">
        <f>Y17-W7</f>
        <v>117.05999999999995</v>
      </c>
      <c r="AA17" s="272">
        <f>Z17/W7</f>
        <v>4.5397079012479719E-2</v>
      </c>
      <c r="AB17" s="57"/>
      <c r="AC17" s="57"/>
      <c r="AE17" s="251"/>
      <c r="AG17" s="255"/>
    </row>
    <row r="18" spans="1:33">
      <c r="A18" s="100">
        <v>41030</v>
      </c>
      <c r="B18" s="100">
        <f t="shared" si="2"/>
        <v>46082</v>
      </c>
      <c r="C18" s="251" t="str">
        <f t="shared" si="3"/>
        <v>GISVS</v>
      </c>
      <c r="D18" s="251" t="s">
        <v>521</v>
      </c>
      <c r="E18" s="100" t="str">
        <f t="shared" si="8"/>
        <v>41030GISVS</v>
      </c>
      <c r="F18" s="100" t="str">
        <f t="shared" si="9"/>
        <v>46082GGSVS</v>
      </c>
      <c r="G18" s="251" t="str">
        <f>IFERROR(IF(VLOOKUP(H18,Lookup!$A$1:$B$200,2,0)="","",VLOOKUP(H18,Lookup!$A$1:$B$200,2,0)),"")</f>
        <v/>
      </c>
      <c r="H18"/>
      <c r="I18"/>
      <c r="J18"/>
      <c r="K18" s="264"/>
      <c r="L18" s="56" t="s">
        <v>520</v>
      </c>
      <c r="M18" s="260">
        <f t="shared" si="10"/>
        <v>9192.25</v>
      </c>
      <c r="N18" s="261">
        <f t="shared" ref="N18:N20" si="16">N17</f>
        <v>28.32</v>
      </c>
      <c r="O18" s="261">
        <f>$J$8*M18</f>
        <v>2880.85115</v>
      </c>
      <c r="P18" s="261">
        <f>$J$10*M18</f>
        <v>4106.1780749999998</v>
      </c>
      <c r="Q18" s="261">
        <f t="shared" si="11"/>
        <v>0</v>
      </c>
      <c r="R18" s="261">
        <f t="shared" si="12"/>
        <v>7015.3492249999999</v>
      </c>
      <c r="S18" s="261">
        <f>R18-R8</f>
        <v>280.41060000000016</v>
      </c>
      <c r="T18" s="272">
        <f>S18/R8</f>
        <v>4.163521237730658E-2</v>
      </c>
      <c r="U18" s="273"/>
      <c r="V18" s="261">
        <f>R18*'UNSG Riders- Current'!$C$4</f>
        <v>13.2169179399</v>
      </c>
      <c r="W18" s="261">
        <f t="shared" si="13"/>
        <v>0</v>
      </c>
      <c r="X18" s="261">
        <f t="shared" si="14"/>
        <v>0</v>
      </c>
      <c r="Y18" s="263">
        <f t="shared" si="15"/>
        <v>7028.57</v>
      </c>
      <c r="Z18" s="261">
        <f>Y18-W8</f>
        <v>293.63000000000011</v>
      </c>
      <c r="AA18" s="272">
        <f>Z18/W8</f>
        <v>4.3598012751412799E-2</v>
      </c>
      <c r="AB18" s="57"/>
      <c r="AC18" s="57"/>
      <c r="AE18" s="251"/>
      <c r="AG18" s="255"/>
    </row>
    <row r="19" spans="1:33">
      <c r="L19" s="56" t="s">
        <v>868</v>
      </c>
      <c r="M19" s="260">
        <f t="shared" si="10"/>
        <v>13124</v>
      </c>
      <c r="N19" s="261">
        <f>N18</f>
        <v>28.32</v>
      </c>
      <c r="O19" s="261">
        <f>$J$8*M19</f>
        <v>4113.0616</v>
      </c>
      <c r="P19" s="261">
        <f>$J$10*M19</f>
        <v>5862.4907999999996</v>
      </c>
      <c r="Q19" s="261">
        <f t="shared" si="11"/>
        <v>0</v>
      </c>
      <c r="R19" s="261">
        <f t="shared" si="12"/>
        <v>10003.8724</v>
      </c>
      <c r="S19" s="261">
        <f>R19-R9</f>
        <v>396.79039999999986</v>
      </c>
      <c r="T19" s="272">
        <f>S19/R9</f>
        <v>4.1301864603633012E-2</v>
      </c>
      <c r="V19" s="261">
        <f>R19*'UNSG Riders- Current'!$C$4</f>
        <v>18.847295601599999</v>
      </c>
      <c r="W19" s="261">
        <f t="shared" si="13"/>
        <v>0</v>
      </c>
      <c r="X19" s="261">
        <f t="shared" si="14"/>
        <v>0</v>
      </c>
      <c r="Y19" s="263">
        <f t="shared" si="15"/>
        <v>10022.719999999999</v>
      </c>
      <c r="Z19" s="261">
        <f>Y19-W9</f>
        <v>415.63999999999942</v>
      </c>
      <c r="AA19" s="272">
        <f>Z19/W9</f>
        <v>4.3263926187769794E-2</v>
      </c>
      <c r="AB19" s="57"/>
      <c r="AC19" s="57"/>
      <c r="AE19" s="251"/>
      <c r="AG19" s="255"/>
    </row>
    <row r="20" spans="1:33">
      <c r="H20" s="262"/>
      <c r="L20" s="267" t="s">
        <v>869</v>
      </c>
      <c r="M20" s="260">
        <f t="shared" si="10"/>
        <v>2991.6261904761905</v>
      </c>
      <c r="N20" s="261">
        <f t="shared" si="16"/>
        <v>28.32</v>
      </c>
      <c r="O20" s="261">
        <f>$J$8*M20</f>
        <v>937.57564809523808</v>
      </c>
      <c r="P20" s="261">
        <f>$J$10*M20</f>
        <v>1336.3594192857142</v>
      </c>
      <c r="Q20" s="261">
        <f t="shared" si="11"/>
        <v>0</v>
      </c>
      <c r="R20" s="261">
        <f t="shared" si="12"/>
        <v>2302.2550673809524</v>
      </c>
      <c r="S20" s="261">
        <f>R20-R10</f>
        <v>96.872135238095325</v>
      </c>
      <c r="T20" s="272">
        <f>S20/R10</f>
        <v>4.3925312845316013E-2</v>
      </c>
      <c r="V20" s="261">
        <f>R20*'UNSG Riders- Current'!$C$4</f>
        <v>4.3374485469457147</v>
      </c>
      <c r="W20" s="261">
        <f t="shared" si="13"/>
        <v>0</v>
      </c>
      <c r="X20" s="261">
        <f t="shared" si="14"/>
        <v>0</v>
      </c>
      <c r="Y20" s="263">
        <f t="shared" si="15"/>
        <v>2306.59</v>
      </c>
      <c r="Z20" s="261">
        <f>Y20-W10</f>
        <v>101.21000000000004</v>
      </c>
      <c r="AA20" s="272">
        <f>Z20/W10</f>
        <v>4.5892317877191245E-2</v>
      </c>
      <c r="AB20" s="57"/>
      <c r="AC20" s="57"/>
      <c r="AE20" s="251"/>
      <c r="AG20" s="255"/>
    </row>
    <row r="21" spans="1:33">
      <c r="G21"/>
      <c r="H21" s="262"/>
      <c r="J21" s="676"/>
      <c r="Z21" s="268"/>
      <c r="AA21" s="276"/>
    </row>
    <row r="22" spans="1:33">
      <c r="G22"/>
      <c r="H22" s="262"/>
      <c r="L22" s="284" t="s">
        <v>876</v>
      </c>
      <c r="M22" s="813" t="s">
        <v>857</v>
      </c>
      <c r="N22" s="814"/>
      <c r="O22" s="814"/>
      <c r="P22" s="815"/>
      <c r="Q22" s="296"/>
      <c r="AA22" s="268"/>
    </row>
    <row r="23" spans="1:33">
      <c r="G23"/>
      <c r="J23" s="676"/>
      <c r="K23"/>
      <c r="M23" s="810" t="s">
        <v>859</v>
      </c>
      <c r="N23" s="816" t="s">
        <v>860</v>
      </c>
      <c r="O23" s="808" t="s">
        <v>861</v>
      </c>
      <c r="P23" s="808" t="s">
        <v>610</v>
      </c>
      <c r="Q23" s="808" t="s">
        <v>862</v>
      </c>
      <c r="R23" s="810" t="s">
        <v>863</v>
      </c>
      <c r="V23" s="811" t="s">
        <v>864</v>
      </c>
      <c r="W23" s="811" t="s">
        <v>865</v>
      </c>
      <c r="AA23" s="251"/>
      <c r="AD23" s="255"/>
      <c r="AE23" s="251"/>
    </row>
    <row r="24" spans="1:33" ht="15" customHeight="1">
      <c r="J24" s="161"/>
      <c r="K24"/>
      <c r="L24"/>
      <c r="M24" s="810"/>
      <c r="N24" s="817"/>
      <c r="O24" s="809"/>
      <c r="P24" s="809"/>
      <c r="Q24" s="809"/>
      <c r="R24" s="810"/>
      <c r="U24" s="251"/>
      <c r="V24" s="812"/>
      <c r="W24" s="812"/>
      <c r="X24"/>
      <c r="Y24"/>
      <c r="Z24"/>
      <c r="AA24" s="251"/>
      <c r="AD24" s="255"/>
      <c r="AE24" s="251"/>
    </row>
    <row r="25" spans="1:33">
      <c r="J25" s="676"/>
      <c r="K25"/>
      <c r="L25" s="56" t="s">
        <v>482</v>
      </c>
      <c r="M25" s="282">
        <f>'[18]Percentiles_All_Bills Jan'!$I$7</f>
        <v>2834.5</v>
      </c>
      <c r="N25" s="261">
        <f>VLOOKUP($N$23,$H$5:$J$5,2,0)</f>
        <v>20</v>
      </c>
      <c r="O25" s="261">
        <f>$I$8*M25</f>
        <v>867.64044999999999</v>
      </c>
      <c r="P25" s="261">
        <f>$I$10*M25</f>
        <v>1248.59725</v>
      </c>
      <c r="Q25" s="261">
        <f>M25*$I$9</f>
        <v>-45.635449999999999</v>
      </c>
      <c r="R25" s="261">
        <f>SUM(N25:Q25)</f>
        <v>2090.6022499999999</v>
      </c>
      <c r="S25"/>
      <c r="T25"/>
      <c r="U25"/>
      <c r="V25" s="261">
        <v>0</v>
      </c>
      <c r="W25" s="263">
        <f>ROUND(SUM(R25,V25:V25),2)</f>
        <v>2090.6</v>
      </c>
      <c r="X25"/>
      <c r="Y25"/>
      <c r="Z25"/>
      <c r="AA25" s="251"/>
      <c r="AB25" s="255"/>
      <c r="AE25" s="251"/>
    </row>
    <row r="26" spans="1:33">
      <c r="J26" s="676"/>
      <c r="K26"/>
      <c r="L26" s="56" t="s">
        <v>866</v>
      </c>
      <c r="M26" s="282">
        <f>'[18]Percentiles_All_Bills Jan'!$J$7</f>
        <v>5629</v>
      </c>
      <c r="N26" s="261">
        <f t="shared" ref="N26:N29" si="17">VLOOKUP($N$23,$H$5:$J$5,2,0)</f>
        <v>20</v>
      </c>
      <c r="O26" s="261">
        <f t="shared" ref="O26:O29" si="18">$I$8*M26</f>
        <v>1723.0368999999998</v>
      </c>
      <c r="P26" s="261">
        <f t="shared" ref="P26:P29" si="19">$I$10*M26</f>
        <v>2479.5745000000002</v>
      </c>
      <c r="Q26" s="261">
        <f t="shared" ref="Q26:Q29" si="20">M26*$I$9</f>
        <v>-90.626899999999992</v>
      </c>
      <c r="R26" s="261">
        <f t="shared" ref="R26:R29" si="21">SUM(N26:Q26)</f>
        <v>4131.9844999999996</v>
      </c>
      <c r="S26"/>
      <c r="T26"/>
      <c r="U26"/>
      <c r="V26" s="261">
        <v>0</v>
      </c>
      <c r="W26" s="263">
        <f>ROUND(SUM(R26,V26:V26),2)</f>
        <v>4131.9799999999996</v>
      </c>
      <c r="X26"/>
      <c r="Y26"/>
      <c r="Z26"/>
      <c r="AA26" s="251"/>
      <c r="AB26" s="255"/>
      <c r="AE26" s="251"/>
    </row>
    <row r="27" spans="1:33">
      <c r="K27"/>
      <c r="L27" s="56" t="s">
        <v>520</v>
      </c>
      <c r="M27" s="282">
        <f>'[18]Percentiles_All_Bills Jan'!$K$7</f>
        <v>11188.5</v>
      </c>
      <c r="N27" s="261">
        <f t="shared" si="17"/>
        <v>20</v>
      </c>
      <c r="O27" s="261">
        <f t="shared" si="18"/>
        <v>3424.7998499999999</v>
      </c>
      <c r="P27" s="261">
        <f t="shared" si="19"/>
        <v>4928.5342499999997</v>
      </c>
      <c r="Q27" s="261">
        <f t="shared" si="20"/>
        <v>-180.13485</v>
      </c>
      <c r="R27" s="261">
        <f t="shared" si="21"/>
        <v>8193.1992499999997</v>
      </c>
      <c r="S27"/>
      <c r="T27"/>
      <c r="U27"/>
      <c r="V27" s="261">
        <v>0</v>
      </c>
      <c r="W27" s="263">
        <f>ROUND(SUM(R27,V27:V27),2)</f>
        <v>8193.2000000000007</v>
      </c>
      <c r="X27"/>
      <c r="Y27"/>
      <c r="Z27"/>
      <c r="AA27" s="251"/>
      <c r="AB27" s="255"/>
      <c r="AE27" s="251"/>
    </row>
    <row r="28" spans="1:33">
      <c r="K28"/>
      <c r="L28" s="56" t="s">
        <v>868</v>
      </c>
      <c r="M28" s="282">
        <f>'[18]Percentiles_All_Bills Jan'!$L$7</f>
        <v>18946</v>
      </c>
      <c r="N28" s="261">
        <f t="shared" si="17"/>
        <v>20</v>
      </c>
      <c r="O28" s="261">
        <f t="shared" si="18"/>
        <v>5799.3705999999993</v>
      </c>
      <c r="P28" s="261">
        <f t="shared" si="19"/>
        <v>8345.7129999999997</v>
      </c>
      <c r="Q28" s="261">
        <f t="shared" si="20"/>
        <v>-305.03059999999999</v>
      </c>
      <c r="R28" s="261">
        <f t="shared" si="21"/>
        <v>13860.052999999998</v>
      </c>
      <c r="S28"/>
      <c r="T28"/>
      <c r="U28"/>
      <c r="V28" s="261">
        <v>0</v>
      </c>
      <c r="W28" s="263">
        <f>ROUND(SUM(R28,V28:V28),2)</f>
        <v>13860.05</v>
      </c>
      <c r="X28"/>
      <c r="Y28"/>
      <c r="Z28"/>
      <c r="AA28" s="251"/>
      <c r="AB28" s="255"/>
      <c r="AE28" s="251"/>
    </row>
    <row r="29" spans="1:33">
      <c r="K29"/>
      <c r="L29" s="267" t="s">
        <v>877</v>
      </c>
      <c r="M29" s="282">
        <f>'[18]Percentiles_All_Bills Jan'!$O$7</f>
        <v>4448.9666666666662</v>
      </c>
      <c r="N29" s="261">
        <f t="shared" si="17"/>
        <v>20</v>
      </c>
      <c r="O29" s="261">
        <f t="shared" si="18"/>
        <v>1361.8286966666665</v>
      </c>
      <c r="P29" s="261">
        <f t="shared" si="19"/>
        <v>1959.7698166666664</v>
      </c>
      <c r="Q29" s="261">
        <f t="shared" si="20"/>
        <v>-71.628363333333326</v>
      </c>
      <c r="R29" s="261">
        <f t="shared" si="21"/>
        <v>3269.9701499999996</v>
      </c>
      <c r="S29"/>
      <c r="T29"/>
      <c r="U29"/>
      <c r="V29" s="261">
        <v>0</v>
      </c>
      <c r="W29" s="263">
        <f>ROUND(SUM(R29,V29:V29),2)</f>
        <v>3269.97</v>
      </c>
      <c r="X29"/>
      <c r="Y29"/>
      <c r="Z29"/>
      <c r="AA29" s="251"/>
      <c r="AB29" s="255"/>
      <c r="AE29" s="251"/>
    </row>
    <row r="30" spans="1:33">
      <c r="K30"/>
      <c r="L30" s="240"/>
      <c r="M30"/>
      <c r="N30"/>
      <c r="O30"/>
      <c r="P30"/>
      <c r="Q30" s="264"/>
      <c r="R30"/>
      <c r="S30"/>
      <c r="T30"/>
      <c r="U30"/>
      <c r="V30"/>
      <c r="W30"/>
      <c r="X30"/>
      <c r="Y30"/>
      <c r="Z30"/>
      <c r="AA30"/>
      <c r="AC30" s="255"/>
      <c r="AE30" s="251"/>
    </row>
    <row r="31" spans="1:33">
      <c r="K31"/>
      <c r="L31" s="284" t="s">
        <v>876</v>
      </c>
      <c r="M31" s="813" t="s">
        <v>872</v>
      </c>
      <c r="N31" s="814"/>
      <c r="O31" s="814"/>
      <c r="P31" s="815"/>
      <c r="Q31" s="296"/>
      <c r="S31"/>
      <c r="T31"/>
      <c r="U31"/>
      <c r="V31"/>
      <c r="W31"/>
      <c r="X31"/>
      <c r="Y31"/>
      <c r="Z31"/>
      <c r="AA31"/>
      <c r="AC31" s="255"/>
      <c r="AE31" s="251"/>
    </row>
    <row r="32" spans="1:33">
      <c r="K32"/>
      <c r="M32" s="810" t="s">
        <v>859</v>
      </c>
      <c r="N32" s="816" t="s">
        <v>860</v>
      </c>
      <c r="O32" s="808" t="s">
        <v>861</v>
      </c>
      <c r="P32" s="808" t="s">
        <v>610</v>
      </c>
      <c r="Q32" s="808" t="s">
        <v>873</v>
      </c>
      <c r="R32" s="810" t="s">
        <v>863</v>
      </c>
      <c r="S32" s="808" t="s">
        <v>874</v>
      </c>
      <c r="T32" s="808" t="s">
        <v>875</v>
      </c>
      <c r="V32" s="811" t="s">
        <v>864</v>
      </c>
      <c r="W32" s="811" t="s">
        <v>870</v>
      </c>
      <c r="X32" s="811" t="s">
        <v>871</v>
      </c>
      <c r="Y32" s="811" t="s">
        <v>865</v>
      </c>
      <c r="Z32" s="808" t="s">
        <v>874</v>
      </c>
      <c r="AA32" s="808" t="s">
        <v>875</v>
      </c>
      <c r="AC32" s="255"/>
      <c r="AE32" s="251"/>
    </row>
    <row r="33" spans="11:31">
      <c r="K33"/>
      <c r="L33"/>
      <c r="M33" s="810"/>
      <c r="N33" s="817"/>
      <c r="O33" s="809"/>
      <c r="P33" s="809"/>
      <c r="Q33" s="809"/>
      <c r="R33" s="810"/>
      <c r="S33" s="809"/>
      <c r="T33" s="809"/>
      <c r="V33" s="812"/>
      <c r="W33" s="812"/>
      <c r="X33" s="812"/>
      <c r="Y33" s="812"/>
      <c r="Z33" s="809"/>
      <c r="AA33" s="809"/>
      <c r="AC33" s="255"/>
      <c r="AE33" s="251"/>
    </row>
    <row r="34" spans="11:31">
      <c r="K34"/>
      <c r="L34" s="56" t="s">
        <v>482</v>
      </c>
      <c r="M34" s="282">
        <f>'[18]Percentiles_All_Bills Jan'!$I$7</f>
        <v>2834.5</v>
      </c>
      <c r="N34" s="261">
        <f>VLOOKUP($N$23,$H$5:$J$5,3,0)</f>
        <v>28.32</v>
      </c>
      <c r="O34" s="261">
        <f>$J$8*M34</f>
        <v>888.33230000000003</v>
      </c>
      <c r="P34" s="261">
        <f>$I$10*M34</f>
        <v>1248.59725</v>
      </c>
      <c r="Q34" s="261">
        <f>M34*$J$9</f>
        <v>0</v>
      </c>
      <c r="R34" s="261">
        <f>SUM(N34:Q34)</f>
        <v>2165.24955</v>
      </c>
      <c r="S34" s="261">
        <f>R34-R25</f>
        <v>74.647300000000087</v>
      </c>
      <c r="T34" s="272">
        <f>S34/R25</f>
        <v>3.5706122482169957E-2</v>
      </c>
      <c r="U34"/>
      <c r="V34" s="261">
        <f>R34*'UNSG Riders- Current'!$C$4</f>
        <v>4.0793301521999998</v>
      </c>
      <c r="W34" s="261">
        <f>M34*$J$12</f>
        <v>0</v>
      </c>
      <c r="X34" s="261">
        <f>R34*$J$13</f>
        <v>0</v>
      </c>
      <c r="Y34" s="263">
        <f>ROUND(SUM(R34,V34:X34),2)</f>
        <v>2169.33</v>
      </c>
      <c r="Z34" s="261">
        <f>Y34-W25</f>
        <v>78.730000000000018</v>
      </c>
      <c r="AA34" s="272">
        <f>Z34/W25</f>
        <v>3.7659045250167424E-2</v>
      </c>
    </row>
    <row r="35" spans="11:31">
      <c r="K35"/>
      <c r="L35" s="56" t="s">
        <v>866</v>
      </c>
      <c r="M35" s="282">
        <f>'[18]Percentiles_All_Bills Jan'!$J$7</f>
        <v>5629</v>
      </c>
      <c r="N35" s="261">
        <f t="shared" ref="N35:N38" si="22">VLOOKUP($N$23,$H$5:$J$5,3,0)</f>
        <v>28.32</v>
      </c>
      <c r="O35" s="261">
        <f t="shared" ref="O35:O38" si="23">$J$8*M35</f>
        <v>1764.1286</v>
      </c>
      <c r="P35" s="261">
        <f t="shared" ref="P35:P38" si="24">$I$10*M35</f>
        <v>2479.5745000000002</v>
      </c>
      <c r="Q35" s="261">
        <f t="shared" ref="Q35:Q38" si="25">M35*$J$9</f>
        <v>0</v>
      </c>
      <c r="R35" s="261">
        <f t="shared" ref="R35:R38" si="26">SUM(N35:Q35)</f>
        <v>4272.0231000000003</v>
      </c>
      <c r="S35" s="261">
        <f t="shared" ref="S35:S38" si="27">R35-R26</f>
        <v>140.03860000000077</v>
      </c>
      <c r="T35" s="272">
        <f t="shared" ref="T35:T38" si="28">S35/R26</f>
        <v>3.3891366243024579E-2</v>
      </c>
      <c r="U35"/>
      <c r="V35" s="261">
        <f>R35*'UNSG Riders- Current'!$C$4</f>
        <v>8.0484915204000007</v>
      </c>
      <c r="W35" s="261">
        <f t="shared" ref="W35:W38" si="29">M35*$J$12</f>
        <v>0</v>
      </c>
      <c r="X35" s="261">
        <f t="shared" ref="X35:X38" si="30">R35*$J$13</f>
        <v>0</v>
      </c>
      <c r="Y35" s="263">
        <f t="shared" ref="Y35:Y38" si="31">ROUND(SUM(R35,V35:X35),2)</f>
        <v>4280.07</v>
      </c>
      <c r="Z35" s="261">
        <f>Y35-W26</f>
        <v>148.09000000000015</v>
      </c>
      <c r="AA35" s="272">
        <f>Z35/W26</f>
        <v>3.5839960503197051E-2</v>
      </c>
    </row>
    <row r="36" spans="11:31" ht="15" customHeight="1">
      <c r="K36"/>
      <c r="L36" s="56" t="s">
        <v>520</v>
      </c>
      <c r="M36" s="282">
        <f>'[18]Percentiles_All_Bills Jan'!$K$7</f>
        <v>11188.5</v>
      </c>
      <c r="N36" s="261">
        <f t="shared" si="22"/>
        <v>28.32</v>
      </c>
      <c r="O36" s="261">
        <f t="shared" si="23"/>
        <v>3506.4758999999999</v>
      </c>
      <c r="P36" s="261">
        <f t="shared" si="24"/>
        <v>4928.5342499999997</v>
      </c>
      <c r="Q36" s="261">
        <f t="shared" si="25"/>
        <v>0</v>
      </c>
      <c r="R36" s="261">
        <f t="shared" si="26"/>
        <v>8463.3301499999998</v>
      </c>
      <c r="S36" s="261">
        <f t="shared" si="27"/>
        <v>270.13090000000011</v>
      </c>
      <c r="T36" s="272">
        <f t="shared" si="28"/>
        <v>3.2970136787531454E-2</v>
      </c>
      <c r="U36"/>
      <c r="V36" s="261">
        <f>R36*'UNSG Riders- Current'!$C$4</f>
        <v>15.944914002599999</v>
      </c>
      <c r="W36" s="261">
        <f t="shared" si="29"/>
        <v>0</v>
      </c>
      <c r="X36" s="261">
        <f t="shared" si="30"/>
        <v>0</v>
      </c>
      <c r="Y36" s="263">
        <f t="shared" si="31"/>
        <v>8479.2800000000007</v>
      </c>
      <c r="Z36" s="261">
        <f>Y36-W27</f>
        <v>286.07999999999993</v>
      </c>
      <c r="AA36" s="272">
        <f>Z36/W27</f>
        <v>3.4916760240199178E-2</v>
      </c>
    </row>
    <row r="37" spans="11:31">
      <c r="K37"/>
      <c r="L37" s="56" t="s">
        <v>868</v>
      </c>
      <c r="M37" s="282">
        <f>'[18]Percentiles_All_Bills Jan'!$L$7</f>
        <v>18946</v>
      </c>
      <c r="N37" s="261">
        <f t="shared" si="22"/>
        <v>28.32</v>
      </c>
      <c r="O37" s="261">
        <f t="shared" si="23"/>
        <v>5937.6764000000003</v>
      </c>
      <c r="P37" s="261">
        <f t="shared" si="24"/>
        <v>8345.7129999999997</v>
      </c>
      <c r="Q37" s="261">
        <f t="shared" si="25"/>
        <v>0</v>
      </c>
      <c r="R37" s="261">
        <f t="shared" si="26"/>
        <v>14311.7094</v>
      </c>
      <c r="S37" s="261">
        <f t="shared" si="27"/>
        <v>451.65640000000167</v>
      </c>
      <c r="T37" s="272">
        <f t="shared" si="28"/>
        <v>3.2586917236175197E-2</v>
      </c>
      <c r="U37"/>
      <c r="V37" s="261">
        <f>R37*'UNSG Riders- Current'!$C$4</f>
        <v>26.963260509600001</v>
      </c>
      <c r="W37" s="261">
        <f t="shared" si="29"/>
        <v>0</v>
      </c>
      <c r="X37" s="261">
        <f t="shared" si="30"/>
        <v>0</v>
      </c>
      <c r="Y37" s="263">
        <f t="shared" si="31"/>
        <v>14338.67</v>
      </c>
      <c r="Z37" s="261">
        <f>Y37-W28</f>
        <v>478.6200000000008</v>
      </c>
      <c r="AA37" s="272">
        <f>Z37/W28</f>
        <v>3.4532342956915797E-2</v>
      </c>
      <c r="AC37" s="255"/>
      <c r="AE37" s="251"/>
    </row>
    <row r="38" spans="11:31" ht="15.75" customHeight="1">
      <c r="K38"/>
      <c r="L38" s="267" t="s">
        <v>877</v>
      </c>
      <c r="M38" s="282">
        <f>'[18]Percentiles_All_Bills Jan'!$O$7</f>
        <v>4448.9666666666662</v>
      </c>
      <c r="N38" s="261">
        <f t="shared" si="22"/>
        <v>28.32</v>
      </c>
      <c r="O38" s="261">
        <f t="shared" si="23"/>
        <v>1394.3061533333332</v>
      </c>
      <c r="P38" s="261">
        <f t="shared" si="24"/>
        <v>1959.7698166666664</v>
      </c>
      <c r="Q38" s="261">
        <f t="shared" si="25"/>
        <v>0</v>
      </c>
      <c r="R38" s="261">
        <f t="shared" si="26"/>
        <v>3382.3959699999996</v>
      </c>
      <c r="S38" s="261">
        <f t="shared" si="27"/>
        <v>112.42581999999993</v>
      </c>
      <c r="T38" s="272">
        <f t="shared" si="28"/>
        <v>3.4381298557113721E-2</v>
      </c>
      <c r="U38"/>
      <c r="V38" s="261">
        <f>R38*'UNSG Riders- Current'!$C$4</f>
        <v>6.372434007479999</v>
      </c>
      <c r="W38" s="261">
        <f t="shared" si="29"/>
        <v>0</v>
      </c>
      <c r="X38" s="261">
        <f t="shared" si="30"/>
        <v>0</v>
      </c>
      <c r="Y38" s="263">
        <f t="shared" si="31"/>
        <v>3388.77</v>
      </c>
      <c r="Z38" s="261">
        <f>Y38-W29</f>
        <v>118.80000000000018</v>
      </c>
      <c r="AA38" s="272">
        <f>Z38/W29</f>
        <v>3.6330608537693064E-2</v>
      </c>
      <c r="AC38" s="255"/>
      <c r="AE38" s="251"/>
    </row>
    <row r="39" spans="11:31">
      <c r="K39"/>
      <c r="L39"/>
      <c r="M39"/>
      <c r="N39"/>
      <c r="O39"/>
      <c r="P39"/>
      <c r="Q39" s="268"/>
      <c r="R39"/>
      <c r="S39"/>
      <c r="T39"/>
      <c r="U39"/>
      <c r="V39"/>
      <c r="W39"/>
      <c r="X39"/>
      <c r="Y39"/>
      <c r="Z39"/>
      <c r="AA39"/>
      <c r="AC39" s="255"/>
      <c r="AE39" s="251"/>
    </row>
    <row r="40" spans="11:31">
      <c r="K40"/>
      <c r="L40" s="284" t="s">
        <v>878</v>
      </c>
      <c r="M40" s="813" t="s">
        <v>857</v>
      </c>
      <c r="N40" s="814"/>
      <c r="O40" s="814"/>
      <c r="P40" s="815"/>
      <c r="Q40" s="296"/>
      <c r="S40"/>
      <c r="T40"/>
      <c r="U40"/>
      <c r="V40"/>
      <c r="W40"/>
      <c r="X40"/>
      <c r="Y40"/>
      <c r="Z40"/>
      <c r="AA40"/>
      <c r="AC40" s="255"/>
      <c r="AE40" s="251"/>
    </row>
    <row r="41" spans="11:31">
      <c r="K41"/>
      <c r="M41" s="810" t="s">
        <v>859</v>
      </c>
      <c r="N41" s="816" t="s">
        <v>860</v>
      </c>
      <c r="O41" s="808" t="s">
        <v>861</v>
      </c>
      <c r="P41" s="808" t="s">
        <v>610</v>
      </c>
      <c r="Q41" s="808" t="s">
        <v>862</v>
      </c>
      <c r="R41" s="810" t="s">
        <v>863</v>
      </c>
      <c r="S41"/>
      <c r="T41"/>
      <c r="V41" s="811" t="s">
        <v>864</v>
      </c>
      <c r="W41" s="811" t="s">
        <v>865</v>
      </c>
      <c r="X41"/>
      <c r="Y41"/>
      <c r="Z41" s="251"/>
      <c r="AA41" s="251"/>
      <c r="AB41" s="255"/>
      <c r="AE41" s="251"/>
    </row>
    <row r="42" spans="11:31">
      <c r="K42"/>
      <c r="L42"/>
      <c r="M42" s="810"/>
      <c r="N42" s="817"/>
      <c r="O42" s="809"/>
      <c r="P42" s="809"/>
      <c r="Q42" s="809"/>
      <c r="R42" s="810"/>
      <c r="S42"/>
      <c r="T42"/>
      <c r="V42" s="812"/>
      <c r="W42" s="812"/>
      <c r="X42"/>
      <c r="Y42"/>
      <c r="Z42" s="251"/>
      <c r="AA42" s="251"/>
      <c r="AB42" s="255"/>
      <c r="AE42" s="251"/>
    </row>
    <row r="43" spans="11:31">
      <c r="K43"/>
      <c r="L43" s="56" t="s">
        <v>482</v>
      </c>
      <c r="M43" s="282">
        <f>'[18]Percentiles_All_Bills July'!$I$7</f>
        <v>58</v>
      </c>
      <c r="N43" s="261">
        <f>VLOOKUP($N$41,$H$5:$J$5,2,0)</f>
        <v>20</v>
      </c>
      <c r="O43" s="261">
        <f>$I$8*M43</f>
        <v>17.753799999999998</v>
      </c>
      <c r="P43" s="261">
        <f>$I$10*M43</f>
        <v>25.548999999999999</v>
      </c>
      <c r="Q43" s="261">
        <f>M43*$I$9</f>
        <v>-0.93379999999999996</v>
      </c>
      <c r="R43" s="261">
        <f>SUM(N43:Q43)</f>
        <v>62.369</v>
      </c>
      <c r="S43"/>
      <c r="T43"/>
      <c r="U43"/>
      <c r="V43" s="261">
        <v>0</v>
      </c>
      <c r="W43" s="263">
        <f>ROUND(SUM(R43,V43:V43),2)</f>
        <v>62.37</v>
      </c>
      <c r="X43"/>
      <c r="Y43"/>
      <c r="Z43" s="251"/>
      <c r="AA43" s="251"/>
      <c r="AB43" s="255"/>
      <c r="AE43" s="251"/>
    </row>
    <row r="44" spans="11:31">
      <c r="K44"/>
      <c r="L44" s="56" t="s">
        <v>866</v>
      </c>
      <c r="M44" s="282">
        <f>'[18]Percentiles_All_Bills July'!$J$7</f>
        <v>1376</v>
      </c>
      <c r="N44" s="261">
        <f t="shared" ref="N44:N47" si="32">VLOOKUP($N$41,$H$5:$J$5,2,0)</f>
        <v>20</v>
      </c>
      <c r="O44" s="261">
        <f t="shared" ref="O44:O47" si="33">$I$8*M44</f>
        <v>421.1936</v>
      </c>
      <c r="P44" s="261">
        <f t="shared" ref="P44:P47" si="34">$I$10*M44</f>
        <v>606.12800000000004</v>
      </c>
      <c r="Q44" s="261">
        <f t="shared" ref="Q44:Q47" si="35">M44*$I$9</f>
        <v>-22.153600000000001</v>
      </c>
      <c r="R44" s="261">
        <f t="shared" ref="R44:R47" si="36">SUM(N44:Q44)</f>
        <v>1025.1679999999999</v>
      </c>
      <c r="S44"/>
      <c r="T44"/>
      <c r="U44"/>
      <c r="V44" s="261">
        <v>0</v>
      </c>
      <c r="W44" s="263">
        <f>ROUND(SUM(R44,V44:V44),2)</f>
        <v>1025.17</v>
      </c>
      <c r="X44"/>
      <c r="Y44"/>
      <c r="Z44" s="251"/>
      <c r="AA44" s="251"/>
      <c r="AB44" s="255"/>
      <c r="AE44" s="251"/>
    </row>
    <row r="45" spans="11:31">
      <c r="K45"/>
      <c r="L45" s="56" t="s">
        <v>520</v>
      </c>
      <c r="M45" s="282">
        <f>'[18]Percentiles_All_Bills July'!$K$7</f>
        <v>7196</v>
      </c>
      <c r="N45" s="261">
        <f t="shared" si="32"/>
        <v>20</v>
      </c>
      <c r="O45" s="261">
        <f t="shared" si="33"/>
        <v>2202.6956</v>
      </c>
      <c r="P45" s="261">
        <f t="shared" si="34"/>
        <v>3169.8380000000002</v>
      </c>
      <c r="Q45" s="261">
        <f t="shared" si="35"/>
        <v>-115.8556</v>
      </c>
      <c r="R45" s="261">
        <f t="shared" si="36"/>
        <v>5276.6780000000008</v>
      </c>
      <c r="S45"/>
      <c r="T45"/>
      <c r="U45"/>
      <c r="V45" s="261">
        <v>0</v>
      </c>
      <c r="W45" s="263">
        <f>ROUND(SUM(R45,V45:V45),2)</f>
        <v>5276.68</v>
      </c>
      <c r="X45"/>
      <c r="Y45"/>
      <c r="AA45" s="251"/>
      <c r="AB45" s="255"/>
      <c r="AE45" s="251"/>
    </row>
    <row r="46" spans="11:31">
      <c r="K46"/>
      <c r="L46" s="56" t="s">
        <v>868</v>
      </c>
      <c r="M46" s="282">
        <f>'[18]Percentiles_All_Bills July'!$L$7</f>
        <v>7302</v>
      </c>
      <c r="N46" s="261">
        <f t="shared" si="32"/>
        <v>20</v>
      </c>
      <c r="O46" s="261">
        <f t="shared" si="33"/>
        <v>2235.1421999999998</v>
      </c>
      <c r="P46" s="261">
        <f t="shared" si="34"/>
        <v>3216.5309999999999</v>
      </c>
      <c r="Q46" s="261">
        <f t="shared" si="35"/>
        <v>-117.5622</v>
      </c>
      <c r="R46" s="261">
        <f t="shared" si="36"/>
        <v>5354.110999999999</v>
      </c>
      <c r="S46"/>
      <c r="T46"/>
      <c r="U46"/>
      <c r="V46" s="261">
        <v>0</v>
      </c>
      <c r="W46" s="263">
        <f>ROUND(SUM(R46,V46:V46),2)</f>
        <v>5354.11</v>
      </c>
      <c r="X46"/>
      <c r="Y46"/>
      <c r="AA46" s="251"/>
      <c r="AD46" s="255"/>
      <c r="AE46" s="251"/>
    </row>
    <row r="47" spans="11:31">
      <c r="K47"/>
      <c r="L47" s="267" t="s">
        <v>877</v>
      </c>
      <c r="M47" s="282">
        <f>'[18]Percentiles_All_Bills July'!$O$7</f>
        <v>1534.2857142857142</v>
      </c>
      <c r="N47" s="261">
        <f t="shared" si="32"/>
        <v>20</v>
      </c>
      <c r="O47" s="261">
        <f t="shared" si="33"/>
        <v>469.64485714285712</v>
      </c>
      <c r="P47" s="261">
        <f t="shared" si="34"/>
        <v>675.85285714285715</v>
      </c>
      <c r="Q47" s="261">
        <f t="shared" si="35"/>
        <v>-24.701999999999998</v>
      </c>
      <c r="R47" s="261">
        <f t="shared" si="36"/>
        <v>1140.7957142857142</v>
      </c>
      <c r="S47"/>
      <c r="T47"/>
      <c r="U47"/>
      <c r="V47" s="261">
        <v>0</v>
      </c>
      <c r="W47" s="263">
        <f>ROUND(SUM(R47,V47:V47),2)</f>
        <v>1140.8</v>
      </c>
      <c r="X47"/>
      <c r="Y47"/>
      <c r="AA47" s="251"/>
      <c r="AD47" s="255"/>
      <c r="AE47" s="251"/>
    </row>
    <row r="48" spans="11:31">
      <c r="K48"/>
      <c r="L48"/>
      <c r="M48"/>
      <c r="N48"/>
      <c r="O48"/>
      <c r="P48"/>
      <c r="Q48" s="264"/>
      <c r="R48"/>
      <c r="S48"/>
      <c r="T48"/>
      <c r="U48"/>
      <c r="V48"/>
      <c r="W48"/>
      <c r="X48"/>
      <c r="Y48"/>
      <c r="Z48"/>
      <c r="AA48"/>
    </row>
    <row r="49" spans="10:31" ht="15" customHeight="1">
      <c r="K49"/>
      <c r="L49" s="284" t="s">
        <v>878</v>
      </c>
      <c r="M49" s="813" t="s">
        <v>872</v>
      </c>
      <c r="N49" s="814"/>
      <c r="O49" s="814"/>
      <c r="P49" s="815"/>
      <c r="Q49" s="296"/>
      <c r="S49"/>
      <c r="T49"/>
      <c r="U49"/>
      <c r="V49"/>
      <c r="W49"/>
      <c r="X49"/>
      <c r="Y49"/>
      <c r="Z49"/>
      <c r="AA49"/>
      <c r="AC49" s="255"/>
      <c r="AE49" s="251"/>
    </row>
    <row r="50" spans="10:31" ht="23.25" customHeight="1">
      <c r="K50"/>
      <c r="M50" s="810" t="s">
        <v>859</v>
      </c>
      <c r="N50" s="816" t="s">
        <v>860</v>
      </c>
      <c r="O50" s="808" t="s">
        <v>861</v>
      </c>
      <c r="P50" s="808" t="s">
        <v>610</v>
      </c>
      <c r="Q50" s="808" t="s">
        <v>873</v>
      </c>
      <c r="R50" s="810" t="s">
        <v>863</v>
      </c>
      <c r="S50" s="808" t="s">
        <v>874</v>
      </c>
      <c r="T50" s="808" t="s">
        <v>875</v>
      </c>
      <c r="V50" s="811" t="s">
        <v>864</v>
      </c>
      <c r="W50" s="811" t="s">
        <v>870</v>
      </c>
      <c r="X50" s="811" t="s">
        <v>871</v>
      </c>
      <c r="Y50" s="811" t="s">
        <v>865</v>
      </c>
      <c r="Z50" s="808" t="s">
        <v>874</v>
      </c>
      <c r="AA50" s="808" t="s">
        <v>875</v>
      </c>
      <c r="AC50" s="255"/>
      <c r="AE50" s="251"/>
    </row>
    <row r="51" spans="10:31">
      <c r="K51"/>
      <c r="L51"/>
      <c r="M51" s="810"/>
      <c r="N51" s="817"/>
      <c r="O51" s="809"/>
      <c r="P51" s="809"/>
      <c r="Q51" s="809"/>
      <c r="R51" s="810"/>
      <c r="S51" s="809"/>
      <c r="T51" s="809"/>
      <c r="V51" s="812"/>
      <c r="W51" s="812"/>
      <c r="X51" s="812"/>
      <c r="Y51" s="812"/>
      <c r="Z51" s="809"/>
      <c r="AA51" s="809"/>
      <c r="AC51" s="255"/>
      <c r="AE51" s="251"/>
    </row>
    <row r="52" spans="10:31">
      <c r="J52" s="677"/>
      <c r="K52"/>
      <c r="L52" s="56" t="s">
        <v>482</v>
      </c>
      <c r="M52" s="282">
        <f>'[18]Percentiles_All_Bills July'!$I$7</f>
        <v>58</v>
      </c>
      <c r="N52" s="261">
        <f>VLOOKUP($N$32,$H$5:$J$5,3,0)</f>
        <v>28.32</v>
      </c>
      <c r="O52" s="261">
        <f>$J$8*M52</f>
        <v>18.177199999999999</v>
      </c>
      <c r="P52" s="261">
        <f>$J$10*M52</f>
        <v>25.9086</v>
      </c>
      <c r="Q52" s="261">
        <f>M52*$J$9</f>
        <v>0</v>
      </c>
      <c r="R52" s="261">
        <f>SUM(N52:Q52)</f>
        <v>72.405799999999999</v>
      </c>
      <c r="S52" s="261">
        <f>R52-R43</f>
        <v>10.036799999999999</v>
      </c>
      <c r="T52" s="272">
        <f>S52/R43</f>
        <v>0.16092610110792219</v>
      </c>
      <c r="U52"/>
      <c r="V52" s="261">
        <f>R52*'UNSG Riders- Current'!$C$4</f>
        <v>0.13641252719999999</v>
      </c>
      <c r="W52" s="261">
        <f>M52*$J$12</f>
        <v>0</v>
      </c>
      <c r="X52" s="261">
        <f>R52*$J$13</f>
        <v>0</v>
      </c>
      <c r="Y52" s="263">
        <f>ROUND(SUM(R52,V52:X52),2)</f>
        <v>72.540000000000006</v>
      </c>
      <c r="Z52" s="261">
        <f>Y52-W43</f>
        <v>10.170000000000009</v>
      </c>
      <c r="AA52" s="272">
        <f>Z52/W43</f>
        <v>0.16305916305916321</v>
      </c>
      <c r="AC52" s="255"/>
      <c r="AE52" s="251"/>
    </row>
    <row r="53" spans="10:31">
      <c r="K53"/>
      <c r="L53" s="56" t="s">
        <v>866</v>
      </c>
      <c r="M53" s="282">
        <f>'[18]Percentiles_All_Bills July'!$J$7</f>
        <v>1376</v>
      </c>
      <c r="N53" s="261">
        <f t="shared" ref="N53:N56" si="37">VLOOKUP($N$32,$H$5:$J$5,3,0)</f>
        <v>28.32</v>
      </c>
      <c r="O53" s="261">
        <f t="shared" ref="O53:O56" si="38">$J$8*M53</f>
        <v>431.23840000000001</v>
      </c>
      <c r="P53" s="261">
        <f t="shared" ref="P53:P56" si="39">$J$10*M53</f>
        <v>614.65919999999994</v>
      </c>
      <c r="Q53" s="261">
        <f t="shared" ref="Q53:Q56" si="40">M53*$J$9</f>
        <v>0</v>
      </c>
      <c r="R53" s="261">
        <f t="shared" ref="R53:R56" si="41">SUM(N53:Q53)</f>
        <v>1074.2175999999999</v>
      </c>
      <c r="S53" s="261">
        <f t="shared" ref="S53:S56" si="42">R53-R44</f>
        <v>49.049600000000055</v>
      </c>
      <c r="T53" s="272">
        <f t="shared" ref="T53:T56" si="43">S53/R44</f>
        <v>4.7845426310614517E-2</v>
      </c>
      <c r="U53"/>
      <c r="V53" s="261">
        <f>R53*'UNSG Riders- Current'!$C$4</f>
        <v>2.0238259583999998</v>
      </c>
      <c r="W53" s="261">
        <f t="shared" ref="W53:W56" si="44">M53*$J$12</f>
        <v>0</v>
      </c>
      <c r="X53" s="261">
        <f t="shared" ref="X53:X56" si="45">R53*$J$13</f>
        <v>0</v>
      </c>
      <c r="Y53" s="263">
        <f t="shared" ref="Y53:Y56" si="46">ROUND(SUM(R53,V53:X53),2)</f>
        <v>1076.24</v>
      </c>
      <c r="Z53" s="261">
        <f>Y53-W44</f>
        <v>51.069999999999936</v>
      </c>
      <c r="AA53" s="272">
        <f>Z53/W44</f>
        <v>4.9816128056810023E-2</v>
      </c>
      <c r="AC53" s="255"/>
      <c r="AE53" s="251"/>
    </row>
    <row r="54" spans="10:31">
      <c r="K54"/>
      <c r="L54" s="56" t="s">
        <v>520</v>
      </c>
      <c r="M54" s="282">
        <f>'[18]Percentiles_All_Bills July'!$K$7</f>
        <v>7196</v>
      </c>
      <c r="N54" s="261">
        <f t="shared" si="37"/>
        <v>28.32</v>
      </c>
      <c r="O54" s="261">
        <f t="shared" si="38"/>
        <v>2255.2264</v>
      </c>
      <c r="P54" s="261">
        <f t="shared" si="39"/>
        <v>3214.4531999999999</v>
      </c>
      <c r="Q54" s="261">
        <f t="shared" si="40"/>
        <v>0</v>
      </c>
      <c r="R54" s="261">
        <f t="shared" si="41"/>
        <v>5497.9996000000001</v>
      </c>
      <c r="S54" s="261">
        <f t="shared" si="42"/>
        <v>221.32159999999931</v>
      </c>
      <c r="T54" s="272">
        <f t="shared" si="43"/>
        <v>4.1943359060378382E-2</v>
      </c>
      <c r="U54"/>
      <c r="V54" s="261">
        <f>R54*'UNSG Riders- Current'!$C$4</f>
        <v>10.358231246400001</v>
      </c>
      <c r="W54" s="261">
        <f t="shared" si="44"/>
        <v>0</v>
      </c>
      <c r="X54" s="261">
        <f t="shared" si="45"/>
        <v>0</v>
      </c>
      <c r="Y54" s="263">
        <f t="shared" si="46"/>
        <v>5508.36</v>
      </c>
      <c r="Z54" s="261">
        <f>Y54-W45</f>
        <v>231.67999999999938</v>
      </c>
      <c r="AA54" s="272">
        <f>Z54/W45</f>
        <v>4.3906395688197764E-2</v>
      </c>
      <c r="AC54" s="255"/>
      <c r="AE54" s="251"/>
    </row>
    <row r="55" spans="10:31">
      <c r="K55"/>
      <c r="L55" s="56" t="s">
        <v>868</v>
      </c>
      <c r="M55" s="282">
        <f>'[18]Percentiles_All_Bills July'!$L$7</f>
        <v>7302</v>
      </c>
      <c r="N55" s="261">
        <f t="shared" si="37"/>
        <v>28.32</v>
      </c>
      <c r="O55" s="261">
        <f t="shared" si="38"/>
        <v>2288.4468000000002</v>
      </c>
      <c r="P55" s="261">
        <f t="shared" si="39"/>
        <v>3261.8033999999998</v>
      </c>
      <c r="Q55" s="261">
        <f t="shared" si="40"/>
        <v>0</v>
      </c>
      <c r="R55" s="261">
        <f t="shared" si="41"/>
        <v>5578.5702000000001</v>
      </c>
      <c r="S55" s="261">
        <f t="shared" si="42"/>
        <v>224.45920000000115</v>
      </c>
      <c r="T55" s="272">
        <f t="shared" si="43"/>
        <v>4.1922776722410349E-2</v>
      </c>
      <c r="U55"/>
      <c r="V55" s="261">
        <f>R55*'UNSG Riders- Current'!$C$4</f>
        <v>10.5100262568</v>
      </c>
      <c r="W55" s="261">
        <f t="shared" si="44"/>
        <v>0</v>
      </c>
      <c r="X55" s="261">
        <f t="shared" si="45"/>
        <v>0</v>
      </c>
      <c r="Y55" s="263">
        <f t="shared" si="46"/>
        <v>5589.08</v>
      </c>
      <c r="Z55" s="261">
        <f>Y55-W46</f>
        <v>234.97000000000025</v>
      </c>
      <c r="AA55" s="272">
        <f>Z55/W46</f>
        <v>4.3885911944282104E-2</v>
      </c>
      <c r="AC55" s="255"/>
      <c r="AE55" s="251"/>
    </row>
    <row r="56" spans="10:31">
      <c r="K56"/>
      <c r="L56" s="267" t="s">
        <v>877</v>
      </c>
      <c r="M56" s="282">
        <f>'[18]Percentiles_All_Bills July'!$O$7</f>
        <v>1534.2857142857142</v>
      </c>
      <c r="N56" s="261">
        <f t="shared" si="37"/>
        <v>28.32</v>
      </c>
      <c r="O56" s="261">
        <f t="shared" si="38"/>
        <v>480.84514285714283</v>
      </c>
      <c r="P56" s="261">
        <f t="shared" si="39"/>
        <v>685.36542857142854</v>
      </c>
      <c r="Q56" s="261">
        <f t="shared" si="40"/>
        <v>0</v>
      </c>
      <c r="R56" s="261">
        <f t="shared" si="41"/>
        <v>1194.5305714285714</v>
      </c>
      <c r="S56" s="261">
        <f t="shared" si="42"/>
        <v>53.734857142857209</v>
      </c>
      <c r="T56" s="272">
        <f t="shared" si="43"/>
        <v>4.710296196764921E-2</v>
      </c>
      <c r="U56"/>
      <c r="V56" s="261">
        <f>R56*'UNSG Riders- Current'!$C$4</f>
        <v>2.2504955965714286</v>
      </c>
      <c r="W56" s="261">
        <f t="shared" si="44"/>
        <v>0</v>
      </c>
      <c r="X56" s="261">
        <f t="shared" si="45"/>
        <v>0</v>
      </c>
      <c r="Y56" s="263">
        <f t="shared" si="46"/>
        <v>1196.78</v>
      </c>
      <c r="Z56" s="261">
        <f>Y56-W47</f>
        <v>55.980000000000018</v>
      </c>
      <c r="AA56" s="272">
        <f>Z56/W47</f>
        <v>4.9070827489481085E-2</v>
      </c>
      <c r="AC56" s="255"/>
      <c r="AE56" s="251"/>
    </row>
    <row r="57" spans="10:31"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 s="251"/>
      <c r="AC57" s="255"/>
      <c r="AE57" s="251"/>
    </row>
    <row r="58" spans="10:31"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 s="251"/>
      <c r="AC58" s="255"/>
      <c r="AE58" s="251"/>
    </row>
    <row r="59" spans="10:31"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0:31"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0:31" ht="15" customHeight="1"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 s="251"/>
      <c r="AC61" s="255"/>
      <c r="AE61" s="251"/>
    </row>
    <row r="62" spans="10:31" ht="21.75" customHeight="1"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 s="251"/>
      <c r="AC62" s="255"/>
      <c r="AE62" s="251"/>
    </row>
    <row r="63" spans="10:31"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 s="251"/>
      <c r="AC63" s="255"/>
      <c r="AE63" s="251"/>
    </row>
    <row r="64" spans="10:31"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 s="251"/>
      <c r="AC64" s="255"/>
      <c r="AE64" s="251"/>
    </row>
    <row r="65" spans="11:31"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 s="251"/>
      <c r="AC65" s="255"/>
      <c r="AE65" s="251"/>
    </row>
    <row r="66" spans="11:31"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 s="251"/>
      <c r="AC66" s="255"/>
      <c r="AE66" s="251"/>
    </row>
    <row r="67" spans="11:31"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 s="251"/>
      <c r="AC67" s="255"/>
      <c r="AE67" s="251"/>
    </row>
    <row r="68" spans="11:31"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 s="251"/>
      <c r="AC68" s="255"/>
      <c r="AE68" s="251"/>
    </row>
    <row r="69" spans="11:31"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 s="251"/>
      <c r="AC69" s="255"/>
      <c r="AE69" s="251"/>
    </row>
    <row r="70" spans="11:31"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 s="251"/>
      <c r="AC70" s="255"/>
      <c r="AE70" s="251"/>
    </row>
  </sheetData>
  <mergeCells count="73">
    <mergeCell ref="AA32:AA33"/>
    <mergeCell ref="Y32:Y33"/>
    <mergeCell ref="Z32:Z33"/>
    <mergeCell ref="Z50:Z51"/>
    <mergeCell ref="AA50:AA51"/>
    <mergeCell ref="Y50:Y51"/>
    <mergeCell ref="AA14:AA15"/>
    <mergeCell ref="X14:X15"/>
    <mergeCell ref="Y14:Y15"/>
    <mergeCell ref="Z14:Z15"/>
    <mergeCell ref="V23:V24"/>
    <mergeCell ref="W23:W24"/>
    <mergeCell ref="V4:V5"/>
    <mergeCell ref="W4:W5"/>
    <mergeCell ref="M13:P13"/>
    <mergeCell ref="M14:M15"/>
    <mergeCell ref="N14:N15"/>
    <mergeCell ref="O14:O15"/>
    <mergeCell ref="P14:P15"/>
    <mergeCell ref="R14:R15"/>
    <mergeCell ref="S14:S15"/>
    <mergeCell ref="T14:T15"/>
    <mergeCell ref="V14:V15"/>
    <mergeCell ref="W14:W15"/>
    <mergeCell ref="Q14:Q15"/>
    <mergeCell ref="K1:S1"/>
    <mergeCell ref="M3:R3"/>
    <mergeCell ref="M4:M5"/>
    <mergeCell ref="N4:N5"/>
    <mergeCell ref="O4:O5"/>
    <mergeCell ref="P4:P5"/>
    <mergeCell ref="R4:R5"/>
    <mergeCell ref="Q4:Q5"/>
    <mergeCell ref="M22:P22"/>
    <mergeCell ref="M23:M24"/>
    <mergeCell ref="N23:N24"/>
    <mergeCell ref="O23:O24"/>
    <mergeCell ref="P23:P24"/>
    <mergeCell ref="M41:M42"/>
    <mergeCell ref="N41:N42"/>
    <mergeCell ref="O41:O42"/>
    <mergeCell ref="P41:P42"/>
    <mergeCell ref="N32:N33"/>
    <mergeCell ref="O32:O33"/>
    <mergeCell ref="P32:P33"/>
    <mergeCell ref="R23:R24"/>
    <mergeCell ref="M31:P31"/>
    <mergeCell ref="Q23:Q24"/>
    <mergeCell ref="M32:M33"/>
    <mergeCell ref="M40:P40"/>
    <mergeCell ref="Q32:Q33"/>
    <mergeCell ref="M49:P49"/>
    <mergeCell ref="M50:M51"/>
    <mergeCell ref="N50:N51"/>
    <mergeCell ref="O50:O51"/>
    <mergeCell ref="P50:P51"/>
    <mergeCell ref="Q41:Q42"/>
    <mergeCell ref="Q50:Q51"/>
    <mergeCell ref="R41:R42"/>
    <mergeCell ref="S50:S51"/>
    <mergeCell ref="T50:T51"/>
    <mergeCell ref="R50:R51"/>
    <mergeCell ref="X50:X51"/>
    <mergeCell ref="X32:X33"/>
    <mergeCell ref="R32:R33"/>
    <mergeCell ref="W32:W33"/>
    <mergeCell ref="V41:V42"/>
    <mergeCell ref="W41:W42"/>
    <mergeCell ref="V32:V33"/>
    <mergeCell ref="S32:S33"/>
    <mergeCell ref="T32:T33"/>
    <mergeCell ref="V50:V51"/>
    <mergeCell ref="W50:W51"/>
  </mergeCells>
  <conditionalFormatting sqref="J12">
    <cfRule type="containsBlanks" dxfId="122" priority="1">
      <formula>LEN(TRIM(J12))=0</formula>
    </cfRule>
  </conditionalFormatting>
  <printOptions horizontalCentered="1"/>
  <pageMargins left="0.45" right="0.45" top="1.25" bottom="0.75" header="0.5" footer="0.3"/>
  <pageSetup scale="86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0" max="26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331F4-CD85-429A-8848-B25623971C6B}">
  <sheetPr codeName="Sheet27">
    <tabColor theme="2" tint="-0.249977111117893"/>
    <pageSetUpPr fitToPage="1"/>
  </sheetPr>
  <dimension ref="A1:AG70"/>
  <sheetViews>
    <sheetView zoomScale="90" zoomScaleNormal="90" zoomScaleSheetLayoutView="70" workbookViewId="0">
      <selection activeCell="B6" sqref="B6"/>
    </sheetView>
  </sheetViews>
  <sheetFormatPr defaultColWidth="9.28515625" defaultRowHeight="15"/>
  <cols>
    <col min="1" max="3" width="9.28515625" style="251"/>
    <col min="4" max="4" width="13" style="251" bestFit="1" customWidth="1"/>
    <col min="5" max="5" width="12.5703125" style="251" bestFit="1" customWidth="1"/>
    <col min="6" max="6" width="14.42578125" style="251" bestFit="1" customWidth="1"/>
    <col min="7" max="7" width="20.28515625" style="251" bestFit="1" customWidth="1"/>
    <col min="8" max="8" width="22.42578125" style="57" bestFit="1" customWidth="1"/>
    <col min="9" max="10" width="9.7109375" style="57" bestFit="1" customWidth="1"/>
    <col min="11" max="11" width="3.42578125" style="57" customWidth="1"/>
    <col min="12" max="12" width="9.7109375" style="57" bestFit="1" customWidth="1"/>
    <col min="13" max="18" width="10.28515625" style="57" customWidth="1"/>
    <col min="19" max="19" width="7.42578125" style="57" bestFit="1" customWidth="1"/>
    <col min="20" max="20" width="7.5703125" style="57" bestFit="1" customWidth="1"/>
    <col min="21" max="21" width="7.5703125" style="57" customWidth="1"/>
    <col min="22" max="22" width="7" style="57" bestFit="1" customWidth="1"/>
    <col min="23" max="28" width="7.5703125" style="57" customWidth="1"/>
    <col min="29" max="31" width="9.28515625" style="251"/>
    <col min="32" max="32" width="9.28515625" style="255"/>
    <col min="33" max="16384" width="9.28515625" style="251"/>
  </cols>
  <sheetData>
    <row r="1" spans="1:33">
      <c r="H1" s="57" t="s">
        <v>854</v>
      </c>
      <c r="I1" s="4" t="s">
        <v>803</v>
      </c>
      <c r="J1" s="56" t="s">
        <v>537</v>
      </c>
      <c r="L1" s="818" t="s">
        <v>890</v>
      </c>
      <c r="M1" s="818"/>
      <c r="N1" s="818"/>
      <c r="O1" s="818"/>
      <c r="P1" s="818"/>
      <c r="Q1" s="818"/>
      <c r="R1" s="818"/>
      <c r="S1" s="818"/>
      <c r="T1" s="818"/>
      <c r="U1" s="253"/>
      <c r="V1" s="254"/>
    </row>
    <row r="2" spans="1:33">
      <c r="M2" s="256" t="s">
        <v>856</v>
      </c>
    </row>
    <row r="3" spans="1:33" ht="15" customHeight="1">
      <c r="J3" s="100"/>
      <c r="M3" s="813" t="s">
        <v>857</v>
      </c>
      <c r="N3" s="814"/>
      <c r="O3" s="814"/>
      <c r="P3" s="815"/>
      <c r="Q3" s="296"/>
      <c r="U3" s="251"/>
      <c r="AA3" s="251"/>
      <c r="AB3" s="251"/>
      <c r="AD3" s="255"/>
      <c r="AF3" s="251"/>
    </row>
    <row r="4" spans="1:33" ht="21.75" customHeight="1">
      <c r="A4" s="251" t="s">
        <v>598</v>
      </c>
      <c r="B4" s="251" t="s">
        <v>599</v>
      </c>
      <c r="C4" s="251" t="s">
        <v>587</v>
      </c>
      <c r="D4" s="279" t="s">
        <v>880</v>
      </c>
      <c r="E4" s="251" t="s">
        <v>600</v>
      </c>
      <c r="F4" s="251" t="s">
        <v>601</v>
      </c>
      <c r="G4" s="251" t="s">
        <v>858</v>
      </c>
      <c r="I4" s="257" t="s">
        <v>828</v>
      </c>
      <c r="J4" s="257" t="s">
        <v>551</v>
      </c>
      <c r="M4" s="810" t="s">
        <v>859</v>
      </c>
      <c r="N4" s="816" t="s">
        <v>860</v>
      </c>
      <c r="O4" s="808" t="s">
        <v>861</v>
      </c>
      <c r="P4" s="808" t="s">
        <v>610</v>
      </c>
      <c r="Q4" s="808" t="s">
        <v>862</v>
      </c>
      <c r="R4" s="810" t="s">
        <v>863</v>
      </c>
      <c r="V4" s="811" t="s">
        <v>864</v>
      </c>
      <c r="W4" s="811" t="s">
        <v>865</v>
      </c>
      <c r="AB4" s="251"/>
      <c r="AE4" s="255"/>
      <c r="AF4" s="251"/>
    </row>
    <row r="5" spans="1:33">
      <c r="A5" s="100">
        <v>41030</v>
      </c>
      <c r="B5" s="100">
        <v>46082</v>
      </c>
      <c r="C5" s="251" t="str">
        <f>J1</f>
        <v>GPSVS</v>
      </c>
      <c r="D5" s="251" t="s">
        <v>521</v>
      </c>
      <c r="E5" s="100" t="str">
        <f t="shared" ref="E5:E11" si="0">IF(C5="","",A5&amp;$C5)</f>
        <v>41030GPSVS</v>
      </c>
      <c r="F5" s="100" t="str">
        <f>IF(D5="","",B5&amp;$D5)</f>
        <v>46082GGSVS</v>
      </c>
      <c r="G5" s="251" t="str">
        <f>IFERROR(IF(VLOOKUP(H5,Lookup!$A$1:$B$200,2,0)="","",VLOOKUP(H5,Lookup!$A$1:$B$200,2,0)),"")</f>
        <v>BASIC_SERVICE_CHARGE</v>
      </c>
      <c r="H5" s="258" t="s">
        <v>607</v>
      </c>
      <c r="I5" s="259">
        <f>VLOOKUP(E5,'UNSG - ALL RATES'!$A$1:$DF$43,MATCH($G5,'UNSG - ALL RATES'!$A$2:$DF$2,0),0)</f>
        <v>20</v>
      </c>
      <c r="J5" s="259">
        <f>VLOOKUP(F5,'UNSG - ALL RATES'!$A$1:$DF$43,MATCH($G5,'UNSG - ALL RATES'!$A$2:$DF$2,0),0)</f>
        <v>28.32</v>
      </c>
      <c r="K5" s="259"/>
      <c r="M5" s="810"/>
      <c r="N5" s="817"/>
      <c r="O5" s="809"/>
      <c r="P5" s="809"/>
      <c r="Q5" s="809"/>
      <c r="R5" s="810"/>
      <c r="U5" s="251"/>
      <c r="V5" s="812"/>
      <c r="W5" s="812"/>
      <c r="AA5" s="251"/>
      <c r="AB5" s="251"/>
      <c r="AD5" s="255"/>
      <c r="AF5" s="251"/>
    </row>
    <row r="6" spans="1:33">
      <c r="A6" s="100">
        <v>41030</v>
      </c>
      <c r="B6" s="100">
        <f>$B$5</f>
        <v>46082</v>
      </c>
      <c r="C6" s="251" t="str">
        <f>C5</f>
        <v>GPSVS</v>
      </c>
      <c r="D6" s="251" t="s">
        <v>521</v>
      </c>
      <c r="E6" s="100" t="str">
        <f t="shared" si="0"/>
        <v>41030GPSVS</v>
      </c>
      <c r="F6" s="100" t="str">
        <f t="shared" ref="F6:F11" si="1">IF(D6="","",B6&amp;$D6)</f>
        <v>46082GGSVS</v>
      </c>
      <c r="G6" s="251" t="str">
        <f>IFERROR(IF(VLOOKUP(H6,Lookup!$A$1:$B$200,2,0)="","",VLOOKUP(H6,Lookup!$A$1:$B$200,2,0)),"")</f>
        <v/>
      </c>
      <c r="H6" s="258"/>
      <c r="I6" s="259"/>
      <c r="J6" s="259"/>
      <c r="K6" s="259"/>
      <c r="L6" s="56" t="s">
        <v>482</v>
      </c>
      <c r="M6" s="260">
        <f>AVERAGE(M25,M43)</f>
        <v>52</v>
      </c>
      <c r="N6" s="261">
        <f>VLOOKUP(N4,$H$5:$J$5,2,0)</f>
        <v>20</v>
      </c>
      <c r="O6" s="261">
        <f>$I$8*M6</f>
        <v>14.773200000000001</v>
      </c>
      <c r="P6" s="261">
        <f>$I$10*M6</f>
        <v>22.905999999999999</v>
      </c>
      <c r="Q6" s="261">
        <f>M6*$I$9</f>
        <v>-0.83719999999999994</v>
      </c>
      <c r="R6" s="261">
        <f>SUM(N6:Q6)</f>
        <v>56.841999999999999</v>
      </c>
      <c r="U6" s="262"/>
      <c r="V6" s="261">
        <f>R6*'UNSG Riders- Current'!$C$4</f>
        <v>0.107090328</v>
      </c>
      <c r="W6" s="263">
        <f>ROUND(SUM(R6,V6:V6),2)</f>
        <v>56.95</v>
      </c>
      <c r="Z6" s="262"/>
      <c r="AA6" s="251"/>
      <c r="AB6" s="251"/>
      <c r="AD6" s="255"/>
      <c r="AF6" s="251"/>
    </row>
    <row r="7" spans="1:33">
      <c r="A7" s="100">
        <v>41030</v>
      </c>
      <c r="B7" s="100">
        <f t="shared" ref="B7:B18" si="2">$B$5</f>
        <v>46082</v>
      </c>
      <c r="C7" s="251" t="str">
        <f t="shared" ref="C7:C18" si="3">C6</f>
        <v>GPSVS</v>
      </c>
      <c r="D7" s="251" t="s">
        <v>521</v>
      </c>
      <c r="E7" s="100" t="str">
        <f t="shared" si="0"/>
        <v>41030GPSVS</v>
      </c>
      <c r="F7" s="100" t="str">
        <f t="shared" si="1"/>
        <v>46082GGSVS</v>
      </c>
      <c r="G7" s="251" t="str">
        <f>IFERROR(IF(VLOOKUP(H7,Lookup!$A$1:$B$200,2,0)="","",VLOOKUP(H7,Lookup!$A$1:$B$200,2,0)),"")</f>
        <v/>
      </c>
      <c r="H7" s="258" t="s">
        <v>512</v>
      </c>
      <c r="I7" s="259"/>
      <c r="J7" s="259"/>
      <c r="K7" s="264"/>
      <c r="L7" s="56" t="s">
        <v>866</v>
      </c>
      <c r="M7" s="260">
        <f t="shared" ref="M7:M10" si="4">AVERAGE(M26,M44)</f>
        <v>75.5</v>
      </c>
      <c r="N7" s="261">
        <f>N6</f>
        <v>20</v>
      </c>
      <c r="O7" s="261">
        <f t="shared" ref="O7:O10" si="5">$I$8*M7</f>
        <v>21.449550000000002</v>
      </c>
      <c r="P7" s="261">
        <f t="shared" ref="P7:P10" si="6">$I$10*M7</f>
        <v>33.257750000000001</v>
      </c>
      <c r="Q7" s="261">
        <f t="shared" ref="Q7:Q10" si="7">M7*$I$9</f>
        <v>-1.2155499999999999</v>
      </c>
      <c r="R7" s="261">
        <f t="shared" ref="R7:R10" si="8">SUM(N7:Q7)</f>
        <v>73.49175000000001</v>
      </c>
      <c r="U7" s="262"/>
      <c r="V7" s="261">
        <f>R7*'UNSG Riders- Current'!$C$4</f>
        <v>0.13845845700000003</v>
      </c>
      <c r="W7" s="263">
        <f>ROUND(SUM(R7,V7:V7),2)</f>
        <v>73.63</v>
      </c>
      <c r="Z7" s="262"/>
      <c r="AA7" s="251"/>
      <c r="AB7" s="251"/>
      <c r="AD7" s="255"/>
      <c r="AF7" s="251"/>
    </row>
    <row r="8" spans="1:33">
      <c r="A8" s="100">
        <v>41030</v>
      </c>
      <c r="B8" s="100">
        <f t="shared" si="2"/>
        <v>46082</v>
      </c>
      <c r="C8" s="251" t="str">
        <f t="shared" si="3"/>
        <v>GPSVS</v>
      </c>
      <c r="D8" s="251" t="s">
        <v>521</v>
      </c>
      <c r="E8" s="100" t="str">
        <f t="shared" si="0"/>
        <v>41030GPSVS</v>
      </c>
      <c r="F8" s="100" t="str">
        <f t="shared" si="1"/>
        <v>46082GGSVS</v>
      </c>
      <c r="G8" s="251" t="str">
        <f>IFERROR(IF(VLOOKUP(H8,Lookup!$A$1:$B$200,2,0)="","",VLOOKUP(H8,Lookup!$A$1:$B$200,2,0)),"")</f>
        <v>THERM_DELIVERY_TIER1</v>
      </c>
      <c r="H8" s="57" t="s">
        <v>609</v>
      </c>
      <c r="I8" s="265">
        <f>VLOOKUP(E8,'UNSG - ALL RATES'!$A$1:$DF$43,MATCH($G8,'UNSG - ALL RATES'!$A$2:$DF$2,0),0)</f>
        <v>0.28410000000000002</v>
      </c>
      <c r="J8" s="265">
        <f>VLOOKUP(F8,'UNSG - ALL RATES'!$A$1:$DF$43,MATCH($G8,'UNSG - ALL RATES'!$A$2:$DF$2,0),0)</f>
        <v>0.31340000000000001</v>
      </c>
      <c r="K8" s="264"/>
      <c r="L8" s="56" t="s">
        <v>520</v>
      </c>
      <c r="M8" s="260">
        <f t="shared" si="4"/>
        <v>104</v>
      </c>
      <c r="N8" s="261">
        <f t="shared" ref="N8:N10" si="9">N7</f>
        <v>20</v>
      </c>
      <c r="O8" s="261">
        <f t="shared" si="5"/>
        <v>29.546400000000002</v>
      </c>
      <c r="P8" s="261">
        <f t="shared" si="6"/>
        <v>45.811999999999998</v>
      </c>
      <c r="Q8" s="261">
        <f t="shared" si="7"/>
        <v>-1.6743999999999999</v>
      </c>
      <c r="R8" s="261">
        <f t="shared" si="8"/>
        <v>93.683999999999997</v>
      </c>
      <c r="U8" s="262"/>
      <c r="V8" s="261">
        <f>R8*'UNSG Riders- Current'!$C$4</f>
        <v>0.17650065600000001</v>
      </c>
      <c r="W8" s="263">
        <f>ROUND(SUM(R8,V8:V8),2)</f>
        <v>93.86</v>
      </c>
      <c r="Z8" s="262"/>
      <c r="AA8" s="251"/>
      <c r="AB8" s="251"/>
      <c r="AD8" s="255"/>
      <c r="AF8" s="251"/>
    </row>
    <row r="9" spans="1:33">
      <c r="A9" s="100">
        <v>41030</v>
      </c>
      <c r="B9" s="100">
        <f t="shared" si="2"/>
        <v>46082</v>
      </c>
      <c r="C9" s="251" t="str">
        <f t="shared" si="3"/>
        <v>GPSVS</v>
      </c>
      <c r="D9" s="251" t="s">
        <v>521</v>
      </c>
      <c r="E9" s="100" t="str">
        <f t="shared" si="0"/>
        <v>41030GPSVS</v>
      </c>
      <c r="F9" s="100" t="str">
        <f t="shared" si="1"/>
        <v>46082GGSVS</v>
      </c>
      <c r="G9" s="251" t="str">
        <f>IFERROR(IF(VLOOKUP(H9,Lookup!$A$1:$B$200,2,0)="","",VLOOKUP(H9,Lookup!$A$1:$B$200,2,0)),"")</f>
        <v/>
      </c>
      <c r="H9" s="57" t="s">
        <v>867</v>
      </c>
      <c r="I9" s="264">
        <v>-1.61E-2</v>
      </c>
      <c r="J9" s="674">
        <v>0</v>
      </c>
      <c r="K9" s="264"/>
      <c r="L9" s="56" t="s">
        <v>868</v>
      </c>
      <c r="M9" s="260">
        <f t="shared" si="4"/>
        <v>127</v>
      </c>
      <c r="N9" s="261">
        <f t="shared" si="9"/>
        <v>20</v>
      </c>
      <c r="O9" s="261">
        <f t="shared" si="5"/>
        <v>36.0807</v>
      </c>
      <c r="P9" s="261">
        <f t="shared" si="6"/>
        <v>55.9435</v>
      </c>
      <c r="Q9" s="261">
        <f t="shared" si="7"/>
        <v>-2.0447000000000002</v>
      </c>
      <c r="R9" s="261">
        <f t="shared" si="8"/>
        <v>109.9795</v>
      </c>
      <c r="U9" s="262"/>
      <c r="V9" s="261">
        <f>R9*'UNSG Riders- Current'!$C$4</f>
        <v>0.20720137800000002</v>
      </c>
      <c r="W9" s="263">
        <f>ROUND(SUM(R9,V9:V9),2)</f>
        <v>110.19</v>
      </c>
      <c r="Z9" s="262"/>
      <c r="AA9" s="251"/>
      <c r="AB9" s="251"/>
      <c r="AD9" s="255"/>
      <c r="AF9" s="251"/>
    </row>
    <row r="10" spans="1:33">
      <c r="A10" s="100">
        <v>41030</v>
      </c>
      <c r="B10" s="100">
        <f t="shared" si="2"/>
        <v>46082</v>
      </c>
      <c r="C10" s="251" t="str">
        <f t="shared" si="3"/>
        <v>GPSVS</v>
      </c>
      <c r="D10" s="251" t="s">
        <v>521</v>
      </c>
      <c r="E10" s="100" t="str">
        <f t="shared" si="0"/>
        <v>41030GPSVS</v>
      </c>
      <c r="F10" s="100" t="str">
        <f t="shared" si="1"/>
        <v>46082GGSVS</v>
      </c>
      <c r="G10" s="251" t="str">
        <f>IFERROR(IF(VLOOKUP(H10,Lookup!$A$1:$B$200,2,0)="","",VLOOKUP(H10,Lookup!$A$1:$B$200,2,0)),"")</f>
        <v/>
      </c>
      <c r="H10" s="266" t="s">
        <v>610</v>
      </c>
      <c r="I10" s="264">
        <f>'PGA Calculation'!$B$3</f>
        <v>0.4405</v>
      </c>
      <c r="J10" s="264">
        <f>'PGA Calculation'!$B$13</f>
        <v>0.44669999999999999</v>
      </c>
      <c r="K10" s="264"/>
      <c r="L10" s="267" t="s">
        <v>869</v>
      </c>
      <c r="M10" s="260">
        <f t="shared" si="4"/>
        <v>57.394317076220212</v>
      </c>
      <c r="N10" s="261">
        <f t="shared" si="9"/>
        <v>20</v>
      </c>
      <c r="O10" s="261">
        <f t="shared" si="5"/>
        <v>16.305725481354163</v>
      </c>
      <c r="P10" s="261">
        <f t="shared" si="6"/>
        <v>25.282196672075003</v>
      </c>
      <c r="Q10" s="261">
        <f t="shared" si="7"/>
        <v>-0.92404850492714541</v>
      </c>
      <c r="R10" s="261">
        <f t="shared" si="8"/>
        <v>60.663873648502019</v>
      </c>
      <c r="U10" s="262"/>
      <c r="V10" s="261">
        <f>R10*'UNSG Riders- Current'!$C$4</f>
        <v>0.11429073795377781</v>
      </c>
      <c r="W10" s="263">
        <f>ROUND(SUM(R10,V10:V10),2)</f>
        <v>60.78</v>
      </c>
      <c r="Z10" s="262"/>
      <c r="AA10" s="251"/>
      <c r="AB10" s="251"/>
      <c r="AD10" s="255"/>
      <c r="AF10" s="251"/>
    </row>
    <row r="11" spans="1:33">
      <c r="A11" s="100">
        <v>41030</v>
      </c>
      <c r="B11" s="100">
        <f t="shared" si="2"/>
        <v>46082</v>
      </c>
      <c r="C11" s="251" t="str">
        <f t="shared" si="3"/>
        <v>GPSVS</v>
      </c>
      <c r="D11" s="251" t="s">
        <v>521</v>
      </c>
      <c r="E11" s="100" t="str">
        <f t="shared" si="0"/>
        <v>41030GPSVS</v>
      </c>
      <c r="F11" s="100" t="str">
        <f t="shared" si="1"/>
        <v>46082GGSVS</v>
      </c>
      <c r="G11" s="251" t="str">
        <f>IFERROR(IF(VLOOKUP(H11,Lookup!$A$1:$B$200,2,0)="","",VLOOKUP(H11,Lookup!$A$1:$B$200,2,0)),"")</f>
        <v/>
      </c>
      <c r="H11" s="258"/>
      <c r="I11" s="264"/>
      <c r="J11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W11" s="268"/>
      <c r="X11" s="268"/>
      <c r="Y11" s="268"/>
      <c r="Z11" s="269"/>
      <c r="AB11" s="262"/>
    </row>
    <row r="12" spans="1:33">
      <c r="A12" s="100"/>
      <c r="B12" s="100"/>
      <c r="E12" s="100"/>
      <c r="F12" s="100"/>
      <c r="H12" s="258" t="s">
        <v>870</v>
      </c>
      <c r="I12" s="264">
        <v>0</v>
      </c>
      <c r="J12" s="669">
        <f>'UNSG Riders- Current'!$C$3</f>
        <v>0</v>
      </c>
      <c r="K12" s="264"/>
      <c r="R12" s="270"/>
    </row>
    <row r="13" spans="1:33" ht="15" customHeight="1">
      <c r="A13" s="100">
        <v>41030</v>
      </c>
      <c r="B13" s="100">
        <f t="shared" si="2"/>
        <v>46082</v>
      </c>
      <c r="C13" s="251" t="str">
        <f>C11</f>
        <v>GPSVS</v>
      </c>
      <c r="D13" s="251" t="s">
        <v>521</v>
      </c>
      <c r="E13" s="100" t="str">
        <f t="shared" ref="E13:E18" si="10">IF(C13="","",A13&amp;$C13)</f>
        <v>41030GPSVS</v>
      </c>
      <c r="F13" s="100" t="str">
        <f>IF(D13="","",B13&amp;$D13)</f>
        <v>46082GGSVS</v>
      </c>
      <c r="G13" s="251" t="str">
        <f>IFERROR(IF(VLOOKUP(H13,Lookup!$A$1:$B$200,2,0)="","",VLOOKUP(H13,Lookup!$A$1:$B$200,2,0)),"")</f>
        <v/>
      </c>
      <c r="H13" s="266" t="s">
        <v>871</v>
      </c>
      <c r="I13" s="264">
        <v>0</v>
      </c>
      <c r="J13" s="675">
        <f>'UNSG Riders- Current'!$C$5</f>
        <v>0</v>
      </c>
      <c r="M13" s="813" t="s">
        <v>872</v>
      </c>
      <c r="N13" s="814"/>
      <c r="O13" s="814"/>
      <c r="P13" s="815"/>
      <c r="Q13" s="296"/>
      <c r="U13" s="251"/>
      <c r="W13" s="271"/>
      <c r="AA13" s="251"/>
      <c r="AB13" s="251"/>
      <c r="AD13" s="255"/>
      <c r="AF13" s="251"/>
    </row>
    <row r="14" spans="1:33" ht="22.5" customHeight="1">
      <c r="A14" s="100">
        <v>41030</v>
      </c>
      <c r="B14" s="100">
        <f t="shared" si="2"/>
        <v>46082</v>
      </c>
      <c r="C14" s="251" t="str">
        <f t="shared" si="3"/>
        <v>GPSVS</v>
      </c>
      <c r="D14" s="251" t="s">
        <v>521</v>
      </c>
      <c r="E14" s="100" t="str">
        <f t="shared" si="10"/>
        <v>41030GPSVS</v>
      </c>
      <c r="F14" s="100" t="str">
        <f t="shared" ref="F14:F18" si="11">IF(D14="","",B14&amp;$D14)</f>
        <v>46082GGSVS</v>
      </c>
      <c r="G14" s="251" t="str">
        <f>IFERROR(IF(VLOOKUP(H14,Lookup!$A$1:$B$200,2,0)="","",VLOOKUP(H14,Lookup!$A$1:$B$200,2,0)),"")</f>
        <v/>
      </c>
      <c r="J14"/>
      <c r="M14" s="810" t="s">
        <v>859</v>
      </c>
      <c r="N14" s="816" t="s">
        <v>860</v>
      </c>
      <c r="O14" s="808" t="s">
        <v>861</v>
      </c>
      <c r="P14" s="808" t="s">
        <v>610</v>
      </c>
      <c r="Q14" s="808" t="s">
        <v>873</v>
      </c>
      <c r="R14" s="810" t="s">
        <v>863</v>
      </c>
      <c r="S14" s="808" t="s">
        <v>874</v>
      </c>
      <c r="T14" s="808" t="s">
        <v>875</v>
      </c>
      <c r="V14" s="811" t="s">
        <v>864</v>
      </c>
      <c r="W14" s="811" t="s">
        <v>870</v>
      </c>
      <c r="X14" s="811" t="s">
        <v>871</v>
      </c>
      <c r="Y14" s="811" t="s">
        <v>865</v>
      </c>
      <c r="Z14" s="808" t="s">
        <v>874</v>
      </c>
      <c r="AA14" s="808" t="s">
        <v>875</v>
      </c>
      <c r="AC14" s="57"/>
      <c r="AF14" s="251"/>
      <c r="AG14" s="255"/>
    </row>
    <row r="15" spans="1:33" ht="16.5" customHeight="1">
      <c r="A15" s="100">
        <v>41030</v>
      </c>
      <c r="B15" s="100">
        <f t="shared" si="2"/>
        <v>46082</v>
      </c>
      <c r="C15" s="251" t="str">
        <f t="shared" si="3"/>
        <v>GPSVS</v>
      </c>
      <c r="D15" s="251" t="s">
        <v>521</v>
      </c>
      <c r="E15" s="100" t="str">
        <f t="shared" si="10"/>
        <v>41030GPSVS</v>
      </c>
      <c r="F15" s="100" t="str">
        <f t="shared" si="11"/>
        <v>46082GGSVS</v>
      </c>
      <c r="I15" s="264"/>
      <c r="J15"/>
      <c r="M15" s="810"/>
      <c r="N15" s="817"/>
      <c r="O15" s="809"/>
      <c r="P15" s="809"/>
      <c r="Q15" s="809"/>
      <c r="R15" s="810"/>
      <c r="S15" s="809"/>
      <c r="T15" s="809"/>
      <c r="V15" s="812"/>
      <c r="W15" s="812"/>
      <c r="X15" s="812"/>
      <c r="Y15" s="812"/>
      <c r="Z15" s="809"/>
      <c r="AA15" s="809"/>
      <c r="AC15" s="57"/>
      <c r="AF15" s="251"/>
      <c r="AG15" s="255"/>
    </row>
    <row r="16" spans="1:33">
      <c r="A16" s="100">
        <v>41030</v>
      </c>
      <c r="B16" s="100">
        <f t="shared" si="2"/>
        <v>46082</v>
      </c>
      <c r="C16" s="251" t="str">
        <f t="shared" si="3"/>
        <v>GPSVS</v>
      </c>
      <c r="D16" s="251" t="s">
        <v>521</v>
      </c>
      <c r="E16" s="100" t="str">
        <f t="shared" si="10"/>
        <v>41030GPSVS</v>
      </c>
      <c r="F16" s="100" t="str">
        <f t="shared" si="11"/>
        <v>46082GGSVS</v>
      </c>
      <c r="H16" s="130"/>
      <c r="I16" s="264"/>
      <c r="J16" s="264"/>
      <c r="K16" s="264"/>
      <c r="L16" s="56" t="s">
        <v>482</v>
      </c>
      <c r="M16" s="260">
        <f>M6</f>
        <v>52</v>
      </c>
      <c r="N16" s="261">
        <f>VLOOKUP(N14,$H$5:$J$5,3,0)</f>
        <v>28.32</v>
      </c>
      <c r="O16" s="261">
        <f>$J$8*M16</f>
        <v>16.296800000000001</v>
      </c>
      <c r="P16" s="261">
        <f>$J$10*M16</f>
        <v>23.228400000000001</v>
      </c>
      <c r="Q16" s="261">
        <f>R16*$J$9</f>
        <v>0</v>
      </c>
      <c r="R16" s="261">
        <f>SUM(N16:P16)</f>
        <v>67.845200000000006</v>
      </c>
      <c r="S16" s="261">
        <f>R16-R6</f>
        <v>11.003200000000007</v>
      </c>
      <c r="T16" s="272">
        <f>S16/R6</f>
        <v>0.19357517328735807</v>
      </c>
      <c r="U16" s="273"/>
      <c r="V16" s="261">
        <f>R16*'UNSG Riders- Current'!$C$4</f>
        <v>0.12782035680000001</v>
      </c>
      <c r="W16" s="261">
        <f>R16*$J$12</f>
        <v>0</v>
      </c>
      <c r="X16" s="261">
        <f>R16*$J$13</f>
        <v>0</v>
      </c>
      <c r="Y16" s="263">
        <f>ROUND(SUM(R16,V16:X16),2)</f>
        <v>67.97</v>
      </c>
      <c r="Z16" s="261">
        <f>Y16-W6</f>
        <v>11.019999999999996</v>
      </c>
      <c r="AA16" s="272">
        <f>Z16/W6</f>
        <v>0.19350307287093935</v>
      </c>
      <c r="AC16" s="57"/>
      <c r="AF16" s="251"/>
      <c r="AG16" s="255"/>
    </row>
    <row r="17" spans="1:33">
      <c r="A17" s="100">
        <v>41030</v>
      </c>
      <c r="B17" s="100">
        <f t="shared" si="2"/>
        <v>46082</v>
      </c>
      <c r="C17" s="251" t="str">
        <f t="shared" si="3"/>
        <v>GPSVS</v>
      </c>
      <c r="D17" s="251" t="s">
        <v>521</v>
      </c>
      <c r="E17" s="100" t="str">
        <f t="shared" si="10"/>
        <v>41030GPSVS</v>
      </c>
      <c r="F17" s="100" t="str">
        <f t="shared" si="11"/>
        <v>46082GGSVS</v>
      </c>
      <c r="I17" s="274"/>
      <c r="J17" s="274"/>
      <c r="K17" s="264"/>
      <c r="L17" s="56" t="s">
        <v>866</v>
      </c>
      <c r="M17" s="260">
        <f t="shared" ref="M17:M20" si="12">M7</f>
        <v>75.5</v>
      </c>
      <c r="N17" s="261">
        <f>N16</f>
        <v>28.32</v>
      </c>
      <c r="O17" s="261">
        <f t="shared" ref="O17:O20" si="13">$J$8*M17</f>
        <v>23.6617</v>
      </c>
      <c r="P17" s="261">
        <f t="shared" ref="P17:P20" si="14">$J$10*M17</f>
        <v>33.725850000000001</v>
      </c>
      <c r="Q17" s="261">
        <f t="shared" ref="Q17:Q20" si="15">R17*$J$9</f>
        <v>0</v>
      </c>
      <c r="R17" s="261">
        <f t="shared" ref="R17:R20" si="16">SUM(N17:P17)</f>
        <v>85.707549999999998</v>
      </c>
      <c r="S17" s="261">
        <f>R17-R7</f>
        <v>12.215799999999987</v>
      </c>
      <c r="T17" s="272">
        <f>S17/R7</f>
        <v>0.16622001789316468</v>
      </c>
      <c r="U17" s="273"/>
      <c r="V17" s="261">
        <f>R17*'UNSG Riders- Current'!$C$4</f>
        <v>0.16147302420000001</v>
      </c>
      <c r="W17" s="261">
        <f t="shared" ref="W17:W20" si="17">R17*$J$12</f>
        <v>0</v>
      </c>
      <c r="X17" s="261">
        <f t="shared" ref="X17:X20" si="18">R17*$J$13</f>
        <v>0</v>
      </c>
      <c r="Y17" s="263">
        <f t="shared" ref="Y17:Y20" si="19">ROUND(SUM(R17,V17:X17),2)</f>
        <v>85.87</v>
      </c>
      <c r="Z17" s="261">
        <f>Y17-W7</f>
        <v>12.240000000000009</v>
      </c>
      <c r="AA17" s="272">
        <f>Z17/W7</f>
        <v>0.16623658834714125</v>
      </c>
      <c r="AC17" s="57"/>
      <c r="AF17" s="251"/>
      <c r="AG17" s="255"/>
    </row>
    <row r="18" spans="1:33">
      <c r="A18" s="100">
        <v>41030</v>
      </c>
      <c r="B18" s="100">
        <f t="shared" si="2"/>
        <v>46082</v>
      </c>
      <c r="C18" s="251" t="str">
        <f t="shared" si="3"/>
        <v>GPSVS</v>
      </c>
      <c r="D18" s="251" t="s">
        <v>521</v>
      </c>
      <c r="E18" s="100" t="str">
        <f t="shared" si="10"/>
        <v>41030GPSVS</v>
      </c>
      <c r="F18" s="100" t="str">
        <f t="shared" si="11"/>
        <v>46082GGSVS</v>
      </c>
      <c r="G18" s="251" t="str">
        <f>IFERROR(IF(VLOOKUP(H18,Lookup!$A$1:$B$200,2,0)="","",VLOOKUP(H18,Lookup!$A$1:$B$200,2,0)),"")</f>
        <v/>
      </c>
      <c r="H18"/>
      <c r="I18"/>
      <c r="J18"/>
      <c r="K18" s="264"/>
      <c r="L18" s="56" t="s">
        <v>520</v>
      </c>
      <c r="M18" s="260">
        <f t="shared" si="12"/>
        <v>104</v>
      </c>
      <c r="N18" s="261">
        <f t="shared" ref="N18:N20" si="20">N17</f>
        <v>28.32</v>
      </c>
      <c r="O18" s="261">
        <f t="shared" si="13"/>
        <v>32.593600000000002</v>
      </c>
      <c r="P18" s="261">
        <f t="shared" si="14"/>
        <v>46.456800000000001</v>
      </c>
      <c r="Q18" s="261">
        <f t="shared" si="15"/>
        <v>0</v>
      </c>
      <c r="R18" s="261">
        <f t="shared" si="16"/>
        <v>107.3704</v>
      </c>
      <c r="S18" s="261">
        <f>R18-R8</f>
        <v>13.686400000000006</v>
      </c>
      <c r="T18" s="272">
        <f>S18/R8</f>
        <v>0.14609111481149403</v>
      </c>
      <c r="U18" s="273"/>
      <c r="V18" s="261">
        <f>R18*'UNSG Riders- Current'!$C$4</f>
        <v>0.20228583360000002</v>
      </c>
      <c r="W18" s="261">
        <f t="shared" si="17"/>
        <v>0</v>
      </c>
      <c r="X18" s="261">
        <f t="shared" si="18"/>
        <v>0</v>
      </c>
      <c r="Y18" s="263">
        <f t="shared" si="19"/>
        <v>107.57</v>
      </c>
      <c r="Z18" s="261">
        <f>Y18-W8</f>
        <v>13.709999999999994</v>
      </c>
      <c r="AA18" s="272">
        <f>Z18/W8</f>
        <v>0.14606861282761552</v>
      </c>
      <c r="AC18" s="57"/>
      <c r="AF18" s="251"/>
      <c r="AG18" s="255"/>
    </row>
    <row r="19" spans="1:33">
      <c r="L19" s="56" t="s">
        <v>868</v>
      </c>
      <c r="M19" s="260">
        <f t="shared" si="12"/>
        <v>127</v>
      </c>
      <c r="N19" s="261">
        <f t="shared" si="20"/>
        <v>28.32</v>
      </c>
      <c r="O19" s="261">
        <f t="shared" si="13"/>
        <v>39.8018</v>
      </c>
      <c r="P19" s="261">
        <f t="shared" si="14"/>
        <v>56.730899999999998</v>
      </c>
      <c r="Q19" s="261">
        <f t="shared" si="15"/>
        <v>0</v>
      </c>
      <c r="R19" s="261">
        <f t="shared" si="16"/>
        <v>124.8527</v>
      </c>
      <c r="S19" s="261">
        <f>R19-R9</f>
        <v>14.873199999999997</v>
      </c>
      <c r="T19" s="272">
        <f>S19/R9</f>
        <v>0.13523611218454346</v>
      </c>
      <c r="U19" s="273"/>
      <c r="V19" s="261">
        <f>R19*'UNSG Riders- Current'!$C$4</f>
        <v>0.23522248679999999</v>
      </c>
      <c r="W19" s="261">
        <f t="shared" si="17"/>
        <v>0</v>
      </c>
      <c r="X19" s="261">
        <f t="shared" si="18"/>
        <v>0</v>
      </c>
      <c r="Y19" s="263">
        <f t="shared" si="19"/>
        <v>125.09</v>
      </c>
      <c r="Z19" s="261">
        <f>Y19-W9</f>
        <v>14.900000000000006</v>
      </c>
      <c r="AA19" s="272">
        <f>Z19/W9</f>
        <v>0.13522098194028501</v>
      </c>
      <c r="AC19" s="57"/>
      <c r="AF19" s="251"/>
      <c r="AG19" s="255"/>
    </row>
    <row r="20" spans="1:33">
      <c r="I20" s="262"/>
      <c r="L20" s="267" t="s">
        <v>869</v>
      </c>
      <c r="M20" s="260">
        <f t="shared" si="12"/>
        <v>57.394317076220212</v>
      </c>
      <c r="N20" s="261">
        <f t="shared" si="20"/>
        <v>28.32</v>
      </c>
      <c r="O20" s="261">
        <f t="shared" si="13"/>
        <v>17.987378971687416</v>
      </c>
      <c r="P20" s="261">
        <f t="shared" si="14"/>
        <v>25.638041437947567</v>
      </c>
      <c r="Q20" s="261">
        <f t="shared" si="15"/>
        <v>0</v>
      </c>
      <c r="R20" s="261">
        <f t="shared" si="16"/>
        <v>71.945420409634977</v>
      </c>
      <c r="S20" s="261">
        <f>R20-R10</f>
        <v>11.281546761132958</v>
      </c>
      <c r="T20" s="272">
        <f>S20/R10</f>
        <v>0.18596812373869132</v>
      </c>
      <c r="U20" s="273"/>
      <c r="V20" s="261">
        <f>R20*'UNSG Riders- Current'!$C$4</f>
        <v>0.13554517205175229</v>
      </c>
      <c r="W20" s="261">
        <f t="shared" si="17"/>
        <v>0</v>
      </c>
      <c r="X20" s="261">
        <f t="shared" si="18"/>
        <v>0</v>
      </c>
      <c r="Y20" s="263">
        <f t="shared" si="19"/>
        <v>72.08</v>
      </c>
      <c r="Z20" s="261">
        <f>Y20-W10</f>
        <v>11.299999999999997</v>
      </c>
      <c r="AA20" s="272">
        <f>Z20/W10</f>
        <v>0.18591641987495883</v>
      </c>
      <c r="AC20" s="57"/>
      <c r="AF20" s="251"/>
      <c r="AG20" s="255"/>
    </row>
    <row r="21" spans="1:33">
      <c r="H21"/>
      <c r="I21" s="262"/>
      <c r="K21" s="275"/>
      <c r="AA21" s="268"/>
      <c r="AB21" s="276"/>
    </row>
    <row r="22" spans="1:33">
      <c r="H22"/>
      <c r="I22" s="262"/>
      <c r="L22" s="284" t="s">
        <v>876</v>
      </c>
      <c r="M22" s="813" t="s">
        <v>857</v>
      </c>
      <c r="N22" s="814"/>
      <c r="O22" s="814"/>
      <c r="P22" s="815"/>
      <c r="Q22" s="296"/>
      <c r="AA22" s="268"/>
    </row>
    <row r="23" spans="1:33">
      <c r="H23"/>
      <c r="K23" s="275"/>
      <c r="M23" s="810" t="s">
        <v>859</v>
      </c>
      <c r="N23" s="816" t="s">
        <v>860</v>
      </c>
      <c r="O23" s="808" t="s">
        <v>861</v>
      </c>
      <c r="P23" s="808" t="s">
        <v>610</v>
      </c>
      <c r="Q23" s="808" t="s">
        <v>862</v>
      </c>
      <c r="R23" s="810" t="s">
        <v>863</v>
      </c>
      <c r="V23" s="811" t="s">
        <v>864</v>
      </c>
      <c r="W23" s="811" t="s">
        <v>865</v>
      </c>
      <c r="AB23" s="251"/>
      <c r="AE23" s="255"/>
      <c r="AF23" s="251"/>
    </row>
    <row r="24" spans="1:33" ht="15" customHeight="1">
      <c r="K24" s="277"/>
      <c r="L24"/>
      <c r="M24" s="810"/>
      <c r="N24" s="817"/>
      <c r="O24" s="809"/>
      <c r="P24" s="809"/>
      <c r="Q24" s="809"/>
      <c r="R24" s="810"/>
      <c r="U24" s="251"/>
      <c r="V24" s="812"/>
      <c r="W24" s="812"/>
      <c r="X24"/>
      <c r="Y24"/>
      <c r="Z24"/>
      <c r="AB24" s="251"/>
      <c r="AE24" s="255"/>
      <c r="AF24" s="251"/>
    </row>
    <row r="25" spans="1:33">
      <c r="K25" s="275"/>
      <c r="L25" s="56" t="s">
        <v>482</v>
      </c>
      <c r="M25" s="282">
        <f>'[18]Percentiles_All_Bills Jan'!$I$2</f>
        <v>93</v>
      </c>
      <c r="N25" s="261">
        <f>VLOOKUP(N23,$H$5:$J$5,2,0)</f>
        <v>20</v>
      </c>
      <c r="O25" s="261">
        <f>$I$8*M25</f>
        <v>26.421300000000002</v>
      </c>
      <c r="P25" s="261">
        <f>$I$10*M25</f>
        <v>40.966500000000003</v>
      </c>
      <c r="Q25" s="261">
        <f>M25*$I$9</f>
        <v>-1.4973000000000001</v>
      </c>
      <c r="R25" s="261">
        <f>SUM(N25:Q25)</f>
        <v>85.890500000000003</v>
      </c>
      <c r="S25"/>
      <c r="T25"/>
      <c r="U25"/>
      <c r="V25" s="261">
        <f>R25*'UNSG Riders- Current'!$C$4</f>
        <v>0.16181770200000001</v>
      </c>
      <c r="W25" s="263">
        <f>ROUND(SUM(R25,V25:V25),2)</f>
        <v>86.05</v>
      </c>
      <c r="X25"/>
      <c r="Y25"/>
      <c r="Z25"/>
      <c r="AA25" s="251"/>
      <c r="AB25" s="251"/>
      <c r="AC25" s="255"/>
      <c r="AF25" s="251"/>
    </row>
    <row r="26" spans="1:33">
      <c r="K26" s="275"/>
      <c r="L26" s="56" t="s">
        <v>866</v>
      </c>
      <c r="M26" s="282">
        <f>'[18]Percentiles_All_Bills Jan'!$J$2</f>
        <v>133</v>
      </c>
      <c r="N26" s="261">
        <f>VLOOKUP(N23,$H$5:$J$5,2,0)</f>
        <v>20</v>
      </c>
      <c r="O26" s="261">
        <f t="shared" ref="O26:O29" si="21">$I$8*M26</f>
        <v>37.785299999999999</v>
      </c>
      <c r="P26" s="261">
        <f t="shared" ref="P26:P29" si="22">$I$10*M26</f>
        <v>58.586500000000001</v>
      </c>
      <c r="Q26" s="261">
        <f t="shared" ref="Q26:Q29" si="23">M26*$I$9</f>
        <v>-2.1412999999999998</v>
      </c>
      <c r="R26" s="261">
        <f t="shared" ref="R26:R29" si="24">SUM(N26:Q26)</f>
        <v>114.23050000000001</v>
      </c>
      <c r="S26"/>
      <c r="T26"/>
      <c r="U26"/>
      <c r="V26" s="261">
        <f>R26*'UNSG Riders- Current'!$C$4</f>
        <v>0.21521026200000001</v>
      </c>
      <c r="W26" s="263">
        <f>ROUND(SUM(R26,V26:V26),2)</f>
        <v>114.45</v>
      </c>
      <c r="X26"/>
      <c r="Y26"/>
      <c r="Z26"/>
      <c r="AA26" s="251"/>
      <c r="AB26" s="251"/>
      <c r="AC26" s="255"/>
      <c r="AF26" s="251"/>
    </row>
    <row r="27" spans="1:33">
      <c r="L27" s="56" t="s">
        <v>520</v>
      </c>
      <c r="M27" s="282">
        <f>'[18]Percentiles_All_Bills Jan'!$K$2</f>
        <v>180</v>
      </c>
      <c r="N27" s="261">
        <f>VLOOKUP(N23,$H$5:$J$5,2,0)</f>
        <v>20</v>
      </c>
      <c r="O27" s="261">
        <f t="shared" si="21"/>
        <v>51.138000000000005</v>
      </c>
      <c r="P27" s="261">
        <f t="shared" si="22"/>
        <v>79.290000000000006</v>
      </c>
      <c r="Q27" s="261">
        <f t="shared" si="23"/>
        <v>-2.8980000000000001</v>
      </c>
      <c r="R27" s="261">
        <f t="shared" si="24"/>
        <v>147.53</v>
      </c>
      <c r="S27"/>
      <c r="T27"/>
      <c r="U27"/>
      <c r="V27" s="261">
        <f>R27*'UNSG Riders- Current'!$C$4</f>
        <v>0.27794652000000003</v>
      </c>
      <c r="W27" s="263">
        <f>ROUND(SUM(R27,V27:V27),2)</f>
        <v>147.81</v>
      </c>
      <c r="X27"/>
      <c r="Y27"/>
      <c r="Z27"/>
      <c r="AA27" s="251"/>
      <c r="AB27" s="251"/>
      <c r="AC27" s="255"/>
      <c r="AF27" s="251"/>
    </row>
    <row r="28" spans="1:33">
      <c r="L28" s="56" t="s">
        <v>868</v>
      </c>
      <c r="M28" s="282">
        <f>'[18]Percentiles_All_Bills Jan'!$L$2</f>
        <v>219</v>
      </c>
      <c r="N28" s="261">
        <f>VLOOKUP(N23,$H$5:$J$5,2,0)</f>
        <v>20</v>
      </c>
      <c r="O28" s="261">
        <f t="shared" si="21"/>
        <v>62.217900000000007</v>
      </c>
      <c r="P28" s="261">
        <f t="shared" si="22"/>
        <v>96.469499999999996</v>
      </c>
      <c r="Q28" s="261">
        <f t="shared" si="23"/>
        <v>-3.5259</v>
      </c>
      <c r="R28" s="261">
        <f t="shared" si="24"/>
        <v>175.16150000000002</v>
      </c>
      <c r="S28"/>
      <c r="T28"/>
      <c r="U28"/>
      <c r="V28" s="261">
        <f>R28*'UNSG Riders- Current'!$C$4</f>
        <v>0.33000426600000005</v>
      </c>
      <c r="W28" s="263">
        <f>ROUND(SUM(R28,V28:V28),2)</f>
        <v>175.49</v>
      </c>
      <c r="X28"/>
      <c r="Y28"/>
      <c r="Z28"/>
      <c r="AA28" s="251"/>
      <c r="AB28" s="251"/>
      <c r="AC28" s="255"/>
      <c r="AF28" s="251"/>
    </row>
    <row r="29" spans="1:33">
      <c r="L29" s="267" t="s">
        <v>877</v>
      </c>
      <c r="M29" s="282">
        <f>'[18]Percentiles_All_Bills Jan'!$O$2</f>
        <v>100.96323066428796</v>
      </c>
      <c r="N29" s="261">
        <f>VLOOKUP(N23,$H$5:$J$5,2,0)</f>
        <v>20</v>
      </c>
      <c r="O29" s="261">
        <f t="shared" si="21"/>
        <v>28.683653831724211</v>
      </c>
      <c r="P29" s="261">
        <f t="shared" si="22"/>
        <v>44.474303107618844</v>
      </c>
      <c r="Q29" s="261">
        <f t="shared" si="23"/>
        <v>-1.6255080136950362</v>
      </c>
      <c r="R29" s="261">
        <f t="shared" si="24"/>
        <v>91.532448925648012</v>
      </c>
      <c r="S29"/>
      <c r="T29"/>
      <c r="U29"/>
      <c r="V29" s="261">
        <f>R29*'UNSG Riders- Current'!$C$4</f>
        <v>0.17244713377592086</v>
      </c>
      <c r="W29" s="263">
        <f>ROUND(SUM(R29,V29:V29),2)</f>
        <v>91.7</v>
      </c>
      <c r="X29"/>
      <c r="Y29"/>
      <c r="Z29"/>
      <c r="AA29" s="251"/>
      <c r="AB29" s="251"/>
      <c r="AC29" s="255"/>
      <c r="AF29" s="251"/>
    </row>
    <row r="30" spans="1:33">
      <c r="L30" s="240"/>
      <c r="M30"/>
      <c r="N30"/>
      <c r="O30"/>
      <c r="P30"/>
      <c r="Q30" s="264"/>
      <c r="R30"/>
      <c r="S30"/>
      <c r="T30"/>
      <c r="U30"/>
      <c r="V30"/>
      <c r="W30"/>
      <c r="X30"/>
      <c r="Y30"/>
      <c r="Z30"/>
      <c r="AA30"/>
      <c r="AB30" s="251"/>
      <c r="AD30" s="255"/>
      <c r="AF30" s="251"/>
    </row>
    <row r="31" spans="1:33">
      <c r="L31" s="284" t="s">
        <v>876</v>
      </c>
      <c r="M31" s="813" t="s">
        <v>872</v>
      </c>
      <c r="N31" s="814"/>
      <c r="O31" s="814"/>
      <c r="P31" s="815"/>
      <c r="Q31" s="296"/>
      <c r="S31"/>
      <c r="T31"/>
      <c r="U31"/>
      <c r="V31"/>
      <c r="W31"/>
      <c r="X31"/>
      <c r="Y31"/>
      <c r="Z31"/>
      <c r="AA31"/>
      <c r="AB31" s="251"/>
      <c r="AD31" s="255"/>
      <c r="AF31" s="251"/>
    </row>
    <row r="32" spans="1:33">
      <c r="M32" s="810" t="s">
        <v>859</v>
      </c>
      <c r="N32" s="816" t="s">
        <v>860</v>
      </c>
      <c r="O32" s="808" t="s">
        <v>861</v>
      </c>
      <c r="P32" s="808" t="s">
        <v>610</v>
      </c>
      <c r="Q32" s="808" t="s">
        <v>873</v>
      </c>
      <c r="R32" s="810" t="s">
        <v>863</v>
      </c>
      <c r="S32" s="808" t="s">
        <v>874</v>
      </c>
      <c r="T32" s="808" t="s">
        <v>875</v>
      </c>
      <c r="V32" s="811" t="s">
        <v>864</v>
      </c>
      <c r="W32" s="811" t="s">
        <v>870</v>
      </c>
      <c r="X32" s="811" t="s">
        <v>871</v>
      </c>
      <c r="Y32" s="811" t="s">
        <v>865</v>
      </c>
      <c r="Z32" s="808" t="s">
        <v>874</v>
      </c>
      <c r="AA32" s="808" t="s">
        <v>875</v>
      </c>
      <c r="AB32" s="251"/>
      <c r="AD32" s="255"/>
      <c r="AF32" s="251"/>
    </row>
    <row r="33" spans="12:32">
      <c r="L33"/>
      <c r="M33" s="810"/>
      <c r="N33" s="817"/>
      <c r="O33" s="809"/>
      <c r="P33" s="809"/>
      <c r="Q33" s="809"/>
      <c r="R33" s="810"/>
      <c r="S33" s="809"/>
      <c r="T33" s="809"/>
      <c r="V33" s="812"/>
      <c r="W33" s="812"/>
      <c r="X33" s="812"/>
      <c r="Y33" s="812"/>
      <c r="Z33" s="809"/>
      <c r="AA33" s="809"/>
      <c r="AB33" s="251"/>
      <c r="AD33" s="255"/>
      <c r="AF33" s="251"/>
    </row>
    <row r="34" spans="12:32">
      <c r="L34" s="56" t="s">
        <v>482</v>
      </c>
      <c r="M34" s="282">
        <f>'[18]Percentiles_All_Bills Jan'!$I$2</f>
        <v>93</v>
      </c>
      <c r="N34" s="261">
        <f>VLOOKUP($N$32,$H$5:$J$5,3,0)</f>
        <v>28.32</v>
      </c>
      <c r="O34" s="261">
        <f>$J$8*M34</f>
        <v>29.1462</v>
      </c>
      <c r="P34" s="261">
        <f>$I$10*M34</f>
        <v>40.966500000000003</v>
      </c>
      <c r="Q34" s="261">
        <f>R34*$J$9</f>
        <v>0</v>
      </c>
      <c r="R34" s="261">
        <f>SUM(N34:P34)</f>
        <v>98.432700000000011</v>
      </c>
      <c r="S34" s="261">
        <f>R34-R25</f>
        <v>12.542200000000008</v>
      </c>
      <c r="T34" s="272">
        <f>S34/R25</f>
        <v>0.14602546265302924</v>
      </c>
      <c r="U34"/>
      <c r="V34" s="261">
        <f>R34*'UNSG Riders- Current'!$C$4</f>
        <v>0.18544720680000001</v>
      </c>
      <c r="W34" s="261">
        <f>R34*$J$12</f>
        <v>0</v>
      </c>
      <c r="X34" s="261">
        <f>R34*$J$13</f>
        <v>0</v>
      </c>
      <c r="Y34" s="263">
        <f>ROUND(SUM(R34,V34:X34),2)</f>
        <v>98.62</v>
      </c>
      <c r="Z34" s="261">
        <f>Y34-W25</f>
        <v>12.570000000000007</v>
      </c>
      <c r="AA34" s="272">
        <f>Z34/W25</f>
        <v>0.14607786170830922</v>
      </c>
    </row>
    <row r="35" spans="12:32">
      <c r="L35" s="56" t="s">
        <v>866</v>
      </c>
      <c r="M35" s="282">
        <f>'[18]Percentiles_All_Bills Jan'!$J$2</f>
        <v>133</v>
      </c>
      <c r="N35" s="261">
        <f t="shared" ref="N35:N38" si="25">VLOOKUP($N$32,$H$5:$J$5,3,0)</f>
        <v>28.32</v>
      </c>
      <c r="O35" s="261">
        <f t="shared" ref="O35:O38" si="26">$J$8*M35</f>
        <v>41.682200000000002</v>
      </c>
      <c r="P35" s="261">
        <f t="shared" ref="P35:P38" si="27">$I$10*M35</f>
        <v>58.586500000000001</v>
      </c>
      <c r="Q35" s="261">
        <f t="shared" ref="Q35:Q38" si="28">R35*$J$9</f>
        <v>0</v>
      </c>
      <c r="R35" s="261">
        <f t="shared" ref="R35:R38" si="29">SUM(N35:P35)</f>
        <v>128.58870000000002</v>
      </c>
      <c r="S35" s="261">
        <f t="shared" ref="S35:S38" si="30">R35-R26</f>
        <v>14.358200000000011</v>
      </c>
      <c r="T35" s="272">
        <f t="shared" ref="T35:T38" si="31">S35/R26</f>
        <v>0.12569497638546631</v>
      </c>
      <c r="U35"/>
      <c r="V35" s="261">
        <f>R35*'UNSG Riders- Current'!$C$4</f>
        <v>0.24226111080000004</v>
      </c>
      <c r="W35" s="261">
        <f t="shared" ref="W35:W38" si="32">R35*$J$12</f>
        <v>0</v>
      </c>
      <c r="X35" s="261">
        <f t="shared" ref="X35:X38" si="33">R35*$J$13</f>
        <v>0</v>
      </c>
      <c r="Y35" s="263">
        <f>ROUND(SUM(R35,V35:X35),2)</f>
        <v>128.83000000000001</v>
      </c>
      <c r="Z35" s="261">
        <f>Y35-W26</f>
        <v>14.38000000000001</v>
      </c>
      <c r="AA35" s="272">
        <f>Z35/W26</f>
        <v>0.125644386194845</v>
      </c>
    </row>
    <row r="36" spans="12:32" ht="15" customHeight="1">
      <c r="L36" s="56" t="s">
        <v>520</v>
      </c>
      <c r="M36" s="282">
        <f>'[18]Percentiles_All_Bills Jan'!$K$2</f>
        <v>180</v>
      </c>
      <c r="N36" s="261">
        <f t="shared" si="25"/>
        <v>28.32</v>
      </c>
      <c r="O36" s="261">
        <f t="shared" si="26"/>
        <v>56.411999999999999</v>
      </c>
      <c r="P36" s="261">
        <f t="shared" si="27"/>
        <v>79.290000000000006</v>
      </c>
      <c r="Q36" s="261">
        <f t="shared" si="28"/>
        <v>0</v>
      </c>
      <c r="R36" s="261">
        <f t="shared" si="29"/>
        <v>164.02199999999999</v>
      </c>
      <c r="S36" s="261">
        <f t="shared" si="30"/>
        <v>16.49199999999999</v>
      </c>
      <c r="T36" s="272">
        <f t="shared" si="31"/>
        <v>0.1117874330644614</v>
      </c>
      <c r="U36"/>
      <c r="V36" s="261">
        <f>R36*'UNSG Riders- Current'!$C$4</f>
        <v>0.30901744799999997</v>
      </c>
      <c r="W36" s="261">
        <f t="shared" si="32"/>
        <v>0</v>
      </c>
      <c r="X36" s="261">
        <f t="shared" si="33"/>
        <v>0</v>
      </c>
      <c r="Y36" s="263">
        <f t="shared" ref="Y36:Y38" si="34">ROUND(SUM(R36,V36:X36),2)</f>
        <v>164.33</v>
      </c>
      <c r="Z36" s="261">
        <f>Y36-W27</f>
        <v>16.52000000000001</v>
      </c>
      <c r="AA36" s="272">
        <f>Z36/W27</f>
        <v>0.11176510384953664</v>
      </c>
    </row>
    <row r="37" spans="12:32">
      <c r="L37" s="56" t="s">
        <v>868</v>
      </c>
      <c r="M37" s="282">
        <f>'[18]Percentiles_All_Bills Jan'!$L$2</f>
        <v>219</v>
      </c>
      <c r="N37" s="261">
        <f t="shared" si="25"/>
        <v>28.32</v>
      </c>
      <c r="O37" s="261">
        <f t="shared" si="26"/>
        <v>68.634600000000006</v>
      </c>
      <c r="P37" s="261">
        <f t="shared" si="27"/>
        <v>96.469499999999996</v>
      </c>
      <c r="Q37" s="261">
        <f t="shared" si="28"/>
        <v>0</v>
      </c>
      <c r="R37" s="261">
        <f t="shared" si="29"/>
        <v>193.42410000000001</v>
      </c>
      <c r="S37" s="261">
        <f t="shared" si="30"/>
        <v>18.262599999999992</v>
      </c>
      <c r="T37" s="272">
        <f t="shared" si="31"/>
        <v>0.10426149581957217</v>
      </c>
      <c r="U37"/>
      <c r="V37" s="261">
        <f>R37*'UNSG Riders- Current'!$C$4</f>
        <v>0.36441100440000002</v>
      </c>
      <c r="W37" s="261">
        <f t="shared" si="32"/>
        <v>0</v>
      </c>
      <c r="X37" s="261">
        <f t="shared" si="33"/>
        <v>0</v>
      </c>
      <c r="Y37" s="263">
        <f t="shared" si="34"/>
        <v>193.79</v>
      </c>
      <c r="Z37" s="261">
        <f>Y37-W28</f>
        <v>18.299999999999983</v>
      </c>
      <c r="AA37" s="272">
        <f>Z37/W28</f>
        <v>0.10427944612228607</v>
      </c>
      <c r="AB37" s="251"/>
      <c r="AD37" s="255"/>
      <c r="AF37" s="251"/>
    </row>
    <row r="38" spans="12:32" ht="15.75" customHeight="1">
      <c r="L38" s="267" t="s">
        <v>877</v>
      </c>
      <c r="M38" s="282">
        <f>'[18]Percentiles_All_Bills Jan'!$O$2</f>
        <v>100.96323066428796</v>
      </c>
      <c r="N38" s="261">
        <f t="shared" si="25"/>
        <v>28.32</v>
      </c>
      <c r="O38" s="261">
        <f t="shared" si="26"/>
        <v>31.641876490187848</v>
      </c>
      <c r="P38" s="261">
        <f t="shared" si="27"/>
        <v>44.474303107618844</v>
      </c>
      <c r="Q38" s="261">
        <f t="shared" si="28"/>
        <v>0</v>
      </c>
      <c r="R38" s="261">
        <f t="shared" si="29"/>
        <v>104.4361795978067</v>
      </c>
      <c r="S38" s="261">
        <f t="shared" si="30"/>
        <v>12.903730672158687</v>
      </c>
      <c r="T38" s="272">
        <f t="shared" si="31"/>
        <v>0.14097438475223592</v>
      </c>
      <c r="U38"/>
      <c r="V38" s="261">
        <f>R38*'UNSG Riders- Current'!$C$4</f>
        <v>0.19675776236226783</v>
      </c>
      <c r="W38" s="261">
        <f t="shared" si="32"/>
        <v>0</v>
      </c>
      <c r="X38" s="261">
        <f t="shared" si="33"/>
        <v>0</v>
      </c>
      <c r="Y38" s="263">
        <f t="shared" si="34"/>
        <v>104.63</v>
      </c>
      <c r="Z38" s="261">
        <f>Y38-W29</f>
        <v>12.929999999999993</v>
      </c>
      <c r="AA38" s="272">
        <f>Z38/W29</f>
        <v>0.1410032715376226</v>
      </c>
      <c r="AB38" s="251"/>
      <c r="AD38" s="255"/>
      <c r="AF38" s="251"/>
    </row>
    <row r="39" spans="12:32">
      <c r="L39"/>
      <c r="M39"/>
      <c r="N39"/>
      <c r="O39"/>
      <c r="P39"/>
      <c r="Q39" s="268"/>
      <c r="R39"/>
      <c r="S39"/>
      <c r="T39"/>
      <c r="U39"/>
      <c r="V39"/>
      <c r="W39"/>
      <c r="X39"/>
      <c r="Y39"/>
      <c r="Z39"/>
      <c r="AA39"/>
      <c r="AB39" s="251"/>
      <c r="AD39" s="255"/>
      <c r="AF39" s="251"/>
    </row>
    <row r="40" spans="12:32">
      <c r="L40" s="284" t="s">
        <v>878</v>
      </c>
      <c r="M40" s="813" t="s">
        <v>857</v>
      </c>
      <c r="N40" s="814"/>
      <c r="O40" s="814"/>
      <c r="P40" s="815"/>
      <c r="Q40" s="296"/>
      <c r="S40"/>
      <c r="T40"/>
      <c r="U40"/>
      <c r="V40"/>
      <c r="W40"/>
      <c r="X40"/>
      <c r="Y40"/>
      <c r="Z40"/>
      <c r="AA40"/>
      <c r="AB40" s="251"/>
      <c r="AD40" s="255"/>
      <c r="AF40" s="251"/>
    </row>
    <row r="41" spans="12:32">
      <c r="M41" s="810" t="s">
        <v>859</v>
      </c>
      <c r="N41" s="816" t="s">
        <v>860</v>
      </c>
      <c r="O41" s="808" t="s">
        <v>861</v>
      </c>
      <c r="P41" s="808" t="s">
        <v>610</v>
      </c>
      <c r="Q41" s="808" t="s">
        <v>862</v>
      </c>
      <c r="R41" s="810" t="s">
        <v>863</v>
      </c>
      <c r="S41"/>
      <c r="T41"/>
      <c r="V41" s="811" t="s">
        <v>864</v>
      </c>
      <c r="W41" s="811" t="s">
        <v>870</v>
      </c>
      <c r="X41" s="811" t="s">
        <v>865</v>
      </c>
      <c r="Y41"/>
      <c r="Z41"/>
      <c r="AA41" s="251"/>
      <c r="AB41" s="251"/>
      <c r="AD41" s="255"/>
      <c r="AF41" s="251"/>
    </row>
    <row r="42" spans="12:32">
      <c r="L42"/>
      <c r="M42" s="810"/>
      <c r="N42" s="817"/>
      <c r="O42" s="809"/>
      <c r="P42" s="809"/>
      <c r="Q42" s="809"/>
      <c r="R42" s="810"/>
      <c r="S42"/>
      <c r="T42"/>
      <c r="V42" s="812"/>
      <c r="W42" s="812"/>
      <c r="X42" s="812"/>
      <c r="Y42"/>
      <c r="Z42"/>
      <c r="AA42" s="251"/>
      <c r="AB42" s="251"/>
      <c r="AD42" s="255"/>
      <c r="AF42" s="251"/>
    </row>
    <row r="43" spans="12:32">
      <c r="L43" s="56" t="s">
        <v>482</v>
      </c>
      <c r="M43" s="282">
        <f>'[18]Percentiles_All_Bills July'!$I$2</f>
        <v>11</v>
      </c>
      <c r="N43" s="261">
        <f>VLOOKUP(N41,$H$5:$J$5,2,0)</f>
        <v>20</v>
      </c>
      <c r="O43" s="261">
        <f>$I$8*M43</f>
        <v>3.1251000000000002</v>
      </c>
      <c r="P43" s="261">
        <f>$I$10*M43</f>
        <v>4.8455000000000004</v>
      </c>
      <c r="Q43" s="261">
        <f>M43*$I$9</f>
        <v>-0.17710000000000001</v>
      </c>
      <c r="R43" s="261">
        <f>SUM(N43:Q43)</f>
        <v>27.793500000000002</v>
      </c>
      <c r="S43"/>
      <c r="T43"/>
      <c r="U43"/>
      <c r="V43" s="261">
        <f>R43*'UNSG Riders- Current'!$C$4</f>
        <v>5.2362954000000003E-2</v>
      </c>
      <c r="W43" s="261">
        <v>0</v>
      </c>
      <c r="X43" s="263">
        <f>ROUND(SUM(R43,V43:W43),2)</f>
        <v>27.85</v>
      </c>
      <c r="Y43"/>
      <c r="Z43"/>
      <c r="AA43" s="251"/>
      <c r="AB43" s="251"/>
      <c r="AD43" s="255"/>
      <c r="AF43" s="251"/>
    </row>
    <row r="44" spans="12:32">
      <c r="L44" s="56" t="s">
        <v>866</v>
      </c>
      <c r="M44" s="282">
        <f>'[18]Percentiles_All_Bills July'!$J$2</f>
        <v>18</v>
      </c>
      <c r="N44" s="261">
        <f>VLOOKUP(N41,$H$5:$J$5,2,0)</f>
        <v>20</v>
      </c>
      <c r="O44" s="261">
        <f t="shared" ref="O44:O47" si="35">$I$8*M44</f>
        <v>5.1138000000000003</v>
      </c>
      <c r="P44" s="261">
        <f t="shared" ref="P44:P47" si="36">$I$10*M44</f>
        <v>7.9290000000000003</v>
      </c>
      <c r="Q44" s="261">
        <f t="shared" ref="Q44:Q47" si="37">M44*$I$9</f>
        <v>-0.2898</v>
      </c>
      <c r="R44" s="261">
        <f t="shared" ref="R44:R47" si="38">SUM(N44:Q44)</f>
        <v>32.753</v>
      </c>
      <c r="S44"/>
      <c r="T44"/>
      <c r="U44"/>
      <c r="V44" s="261">
        <f>R44*'UNSG Riders- Current'!$C$4</f>
        <v>6.1706652000000001E-2</v>
      </c>
      <c r="W44" s="261">
        <v>0</v>
      </c>
      <c r="X44" s="263">
        <f>ROUND(SUM(R44,V44:W44),2)</f>
        <v>32.81</v>
      </c>
      <c r="Y44"/>
      <c r="Z44"/>
      <c r="AA44" s="251"/>
      <c r="AB44" s="251"/>
      <c r="AD44" s="255"/>
      <c r="AF44" s="251"/>
    </row>
    <row r="45" spans="12:32">
      <c r="L45" s="56" t="s">
        <v>520</v>
      </c>
      <c r="M45" s="282">
        <f>'[18]Percentiles_All_Bills July'!$K$2</f>
        <v>28</v>
      </c>
      <c r="N45" s="261">
        <f>VLOOKUP(N41,$H$5:$J$5,2,0)</f>
        <v>20</v>
      </c>
      <c r="O45" s="261">
        <f t="shared" si="35"/>
        <v>7.9548000000000005</v>
      </c>
      <c r="P45" s="261">
        <f t="shared" si="36"/>
        <v>12.334</v>
      </c>
      <c r="Q45" s="261">
        <f t="shared" si="37"/>
        <v>-0.45079999999999998</v>
      </c>
      <c r="R45" s="261">
        <f t="shared" si="38"/>
        <v>39.837999999999994</v>
      </c>
      <c r="S45"/>
      <c r="T45"/>
      <c r="U45"/>
      <c r="V45" s="261">
        <f>R45*'UNSG Riders- Current'!$C$4</f>
        <v>7.5054791999999995E-2</v>
      </c>
      <c r="W45" s="261">
        <v>0</v>
      </c>
      <c r="X45" s="263">
        <f>ROUND(SUM(R45,V45:W45),2)</f>
        <v>39.909999999999997</v>
      </c>
      <c r="Y45"/>
      <c r="Z45"/>
      <c r="AB45" s="251"/>
      <c r="AD45" s="255"/>
      <c r="AF45" s="251"/>
    </row>
    <row r="46" spans="12:32">
      <c r="L46" s="56" t="s">
        <v>868</v>
      </c>
      <c r="M46" s="282">
        <f>'[18]Percentiles_All_Bills July'!$L$2</f>
        <v>35</v>
      </c>
      <c r="N46" s="261">
        <f>VLOOKUP(N41,$H$5:$J$5,2,0)</f>
        <v>20</v>
      </c>
      <c r="O46" s="261">
        <f t="shared" si="35"/>
        <v>9.9435000000000002</v>
      </c>
      <c r="P46" s="261">
        <f t="shared" si="36"/>
        <v>15.4175</v>
      </c>
      <c r="Q46" s="261">
        <f t="shared" si="37"/>
        <v>-0.5635</v>
      </c>
      <c r="R46" s="261">
        <f t="shared" si="38"/>
        <v>44.797500000000007</v>
      </c>
      <c r="S46"/>
      <c r="T46"/>
      <c r="U46"/>
      <c r="V46" s="261">
        <f>R46*'UNSG Riders- Current'!$C$4</f>
        <v>8.439849000000002E-2</v>
      </c>
      <c r="W46" s="261">
        <v>0</v>
      </c>
      <c r="X46" s="263">
        <f>ROUND(SUM(R46,V46:W46),2)</f>
        <v>44.88</v>
      </c>
      <c r="Y46"/>
      <c r="Z46"/>
    </row>
    <row r="47" spans="12:32">
      <c r="L47" s="267" t="s">
        <v>877</v>
      </c>
      <c r="M47" s="282">
        <f>'[18]Percentiles_All_Bills July'!$O$2</f>
        <v>13.825403488152455</v>
      </c>
      <c r="N47" s="261">
        <f>VLOOKUP(N41,$H$5:$J$5,2,0)</f>
        <v>20</v>
      </c>
      <c r="O47" s="261">
        <f t="shared" si="35"/>
        <v>3.9277971309841129</v>
      </c>
      <c r="P47" s="261">
        <f t="shared" si="36"/>
        <v>6.0900902365311564</v>
      </c>
      <c r="Q47" s="261">
        <f t="shared" si="37"/>
        <v>-0.22258899615925451</v>
      </c>
      <c r="R47" s="261">
        <f t="shared" si="38"/>
        <v>29.795298371356019</v>
      </c>
      <c r="S47"/>
      <c r="T47"/>
      <c r="U47"/>
      <c r="V47" s="261">
        <f>R47*'UNSG Riders- Current'!$C$4</f>
        <v>5.6134342131634742E-2</v>
      </c>
      <c r="W47" s="261">
        <v>0</v>
      </c>
      <c r="X47" s="263">
        <f>ROUND(SUM(R47,V47:W47),2)</f>
        <v>29.85</v>
      </c>
      <c r="Y47"/>
      <c r="Z47"/>
    </row>
    <row r="48" spans="12:32">
      <c r="L48"/>
      <c r="M48"/>
      <c r="N48"/>
      <c r="O48"/>
      <c r="P48"/>
      <c r="Q48" s="264"/>
      <c r="R48"/>
      <c r="S48"/>
      <c r="T48"/>
      <c r="U48"/>
      <c r="V48"/>
      <c r="W48"/>
      <c r="X48"/>
      <c r="Y48"/>
      <c r="Z48"/>
      <c r="AA48"/>
    </row>
    <row r="49" spans="11:32" ht="15" customHeight="1">
      <c r="L49" s="284" t="s">
        <v>878</v>
      </c>
      <c r="M49" s="813" t="s">
        <v>872</v>
      </c>
      <c r="N49" s="814"/>
      <c r="O49" s="814"/>
      <c r="P49" s="815"/>
      <c r="Q49" s="296"/>
      <c r="S49"/>
      <c r="T49"/>
      <c r="U49"/>
      <c r="V49"/>
      <c r="W49"/>
      <c r="X49"/>
      <c r="Y49"/>
      <c r="Z49"/>
      <c r="AA49"/>
      <c r="AB49" s="251"/>
      <c r="AD49" s="255"/>
      <c r="AF49" s="251"/>
    </row>
    <row r="50" spans="11:32">
      <c r="M50" s="810" t="s">
        <v>859</v>
      </c>
      <c r="N50" s="816" t="s">
        <v>860</v>
      </c>
      <c r="O50" s="808" t="s">
        <v>861</v>
      </c>
      <c r="P50" s="808" t="s">
        <v>610</v>
      </c>
      <c r="Q50" s="808" t="s">
        <v>873</v>
      </c>
      <c r="R50" s="810" t="s">
        <v>863</v>
      </c>
      <c r="S50" s="808" t="s">
        <v>874</v>
      </c>
      <c r="T50" s="808" t="s">
        <v>875</v>
      </c>
      <c r="V50" s="811" t="s">
        <v>864</v>
      </c>
      <c r="W50" s="811" t="s">
        <v>870</v>
      </c>
      <c r="X50" s="811" t="s">
        <v>871</v>
      </c>
      <c r="Y50" s="811" t="s">
        <v>865</v>
      </c>
      <c r="Z50" s="808" t="s">
        <v>874</v>
      </c>
      <c r="AA50" s="808" t="s">
        <v>875</v>
      </c>
      <c r="AB50" s="251"/>
      <c r="AD50" s="255"/>
      <c r="AF50" s="251"/>
    </row>
    <row r="51" spans="11:32">
      <c r="L51"/>
      <c r="M51" s="810"/>
      <c r="N51" s="817"/>
      <c r="O51" s="809"/>
      <c r="P51" s="809"/>
      <c r="Q51" s="809"/>
      <c r="R51" s="810"/>
      <c r="S51" s="809"/>
      <c r="T51" s="809"/>
      <c r="V51" s="812"/>
      <c r="W51" s="812"/>
      <c r="X51" s="812"/>
      <c r="Y51" s="812"/>
      <c r="Z51" s="809"/>
      <c r="AA51" s="809"/>
      <c r="AB51" s="251"/>
      <c r="AD51" s="255"/>
      <c r="AF51" s="251"/>
    </row>
    <row r="52" spans="11:32">
      <c r="K52" s="278"/>
      <c r="L52" s="56" t="s">
        <v>482</v>
      </c>
      <c r="M52" s="282">
        <f>'[18]Percentiles_All_Bills July'!$I$2</f>
        <v>11</v>
      </c>
      <c r="N52" s="261">
        <f>VLOOKUP($N$32,$H$5:$J$5,3,0)</f>
        <v>28.32</v>
      </c>
      <c r="O52" s="261">
        <f>$J$8*M52</f>
        <v>3.4474</v>
      </c>
      <c r="P52" s="261">
        <f>$I$10*M52</f>
        <v>4.8455000000000004</v>
      </c>
      <c r="Q52" s="261">
        <f>R52*$J$9</f>
        <v>0</v>
      </c>
      <c r="R52" s="261">
        <f>SUM(N52:P52)</f>
        <v>36.612900000000003</v>
      </c>
      <c r="S52" s="261">
        <f>R52-R43</f>
        <v>8.8194000000000017</v>
      </c>
      <c r="T52" s="272">
        <f>S52/R43</f>
        <v>0.31731879756058073</v>
      </c>
      <c r="U52"/>
      <c r="V52" s="261">
        <f>R52*'UNSG Riders- Current'!$C$4</f>
        <v>6.897870360000001E-2</v>
      </c>
      <c r="W52" s="261">
        <f>R52*$J$12</f>
        <v>0</v>
      </c>
      <c r="X52" s="261">
        <f>R52*$J$13</f>
        <v>0</v>
      </c>
      <c r="Y52" s="263">
        <f>ROUND(SUM(R52,V52:X52),2)</f>
        <v>36.68</v>
      </c>
      <c r="Z52" s="261">
        <f>Y52-X43</f>
        <v>8.8299999999999983</v>
      </c>
      <c r="AA52" s="272">
        <f>Z52/X43</f>
        <v>0.3170556552962297</v>
      </c>
      <c r="AB52" s="251"/>
      <c r="AD52" s="255"/>
      <c r="AF52" s="251"/>
    </row>
    <row r="53" spans="11:32">
      <c r="L53" s="56" t="s">
        <v>866</v>
      </c>
      <c r="M53" s="282">
        <f>'[18]Percentiles_All_Bills July'!$J$2</f>
        <v>18</v>
      </c>
      <c r="N53" s="261">
        <f t="shared" ref="N53:N56" si="39">VLOOKUP($N$32,$H$5:$J$5,3,0)</f>
        <v>28.32</v>
      </c>
      <c r="O53" s="261">
        <f t="shared" ref="O53:O56" si="40">$J$8*M53</f>
        <v>5.6412000000000004</v>
      </c>
      <c r="P53" s="261">
        <f t="shared" ref="P53:P56" si="41">$I$10*M53</f>
        <v>7.9290000000000003</v>
      </c>
      <c r="Q53" s="261">
        <f t="shared" ref="Q53:Q56" si="42">R53*$J$9</f>
        <v>0</v>
      </c>
      <c r="R53" s="261">
        <f t="shared" ref="R53:R56" si="43">SUM(N53:P53)</f>
        <v>41.8902</v>
      </c>
      <c r="S53" s="261">
        <f t="shared" ref="S53:S56" si="44">R53-R44</f>
        <v>9.1372</v>
      </c>
      <c r="T53" s="272">
        <f t="shared" ref="T53:T56" si="45">S53/R44</f>
        <v>0.27897291851128142</v>
      </c>
      <c r="U53"/>
      <c r="V53" s="261">
        <f>R53*'UNSG Riders- Current'!$C$4</f>
        <v>7.89211368E-2</v>
      </c>
      <c r="W53" s="261">
        <f t="shared" ref="W53:W56" si="46">R53*$J$12</f>
        <v>0</v>
      </c>
      <c r="X53" s="261">
        <f t="shared" ref="X53:X56" si="47">R53*$J$13</f>
        <v>0</v>
      </c>
      <c r="Y53" s="263">
        <f>ROUND(SUM(R53,V53:X53),2)</f>
        <v>41.97</v>
      </c>
      <c r="Z53" s="261">
        <f>Y53-X44</f>
        <v>9.1599999999999966</v>
      </c>
      <c r="AA53" s="272">
        <f>Z53/X44</f>
        <v>0.27918317586101787</v>
      </c>
      <c r="AB53" s="251"/>
      <c r="AD53" s="255"/>
      <c r="AF53" s="251"/>
    </row>
    <row r="54" spans="11:32">
      <c r="L54" s="56" t="s">
        <v>520</v>
      </c>
      <c r="M54" s="282">
        <f>'[18]Percentiles_All_Bills July'!$K$2</f>
        <v>28</v>
      </c>
      <c r="N54" s="261">
        <f t="shared" si="39"/>
        <v>28.32</v>
      </c>
      <c r="O54" s="261">
        <f t="shared" si="40"/>
        <v>8.7751999999999999</v>
      </c>
      <c r="P54" s="261">
        <f t="shared" si="41"/>
        <v>12.334</v>
      </c>
      <c r="Q54" s="261">
        <f t="shared" si="42"/>
        <v>0</v>
      </c>
      <c r="R54" s="261">
        <f t="shared" si="43"/>
        <v>49.429199999999994</v>
      </c>
      <c r="S54" s="261">
        <f t="shared" si="44"/>
        <v>9.5912000000000006</v>
      </c>
      <c r="T54" s="272">
        <f t="shared" si="45"/>
        <v>0.24075505798483865</v>
      </c>
      <c r="U54"/>
      <c r="V54" s="261">
        <f>R54*'UNSG Riders- Current'!$C$4</f>
        <v>9.3124612799999992E-2</v>
      </c>
      <c r="W54" s="261">
        <f t="shared" si="46"/>
        <v>0</v>
      </c>
      <c r="X54" s="261">
        <f t="shared" si="47"/>
        <v>0</v>
      </c>
      <c r="Y54" s="263">
        <f t="shared" ref="Y54:Y56" si="48">ROUND(SUM(R54,V54:X54),2)</f>
        <v>49.52</v>
      </c>
      <c r="Z54" s="261">
        <f>Y54-X45</f>
        <v>9.6100000000000065</v>
      </c>
      <c r="AA54" s="272">
        <f>Z54/X45</f>
        <v>0.24079178150839406</v>
      </c>
      <c r="AB54" s="251"/>
      <c r="AD54" s="255"/>
      <c r="AF54" s="251"/>
    </row>
    <row r="55" spans="11:32">
      <c r="L55" s="56" t="s">
        <v>868</v>
      </c>
      <c r="M55" s="282">
        <f>'[18]Percentiles_All_Bills July'!$L$2</f>
        <v>35</v>
      </c>
      <c r="N55" s="261">
        <f t="shared" si="39"/>
        <v>28.32</v>
      </c>
      <c r="O55" s="261">
        <f t="shared" si="40"/>
        <v>10.969000000000001</v>
      </c>
      <c r="P55" s="261">
        <f t="shared" si="41"/>
        <v>15.4175</v>
      </c>
      <c r="Q55" s="261">
        <f t="shared" si="42"/>
        <v>0</v>
      </c>
      <c r="R55" s="261">
        <f t="shared" si="43"/>
        <v>54.706500000000005</v>
      </c>
      <c r="S55" s="261">
        <f t="shared" si="44"/>
        <v>9.9089999999999989</v>
      </c>
      <c r="T55" s="272">
        <f t="shared" si="45"/>
        <v>0.22119537920642887</v>
      </c>
      <c r="U55"/>
      <c r="V55" s="261">
        <f>R55*'UNSG Riders- Current'!$C$4</f>
        <v>0.10306704600000001</v>
      </c>
      <c r="W55" s="261">
        <f t="shared" si="46"/>
        <v>0</v>
      </c>
      <c r="X55" s="261">
        <f t="shared" si="47"/>
        <v>0</v>
      </c>
      <c r="Y55" s="263">
        <f t="shared" si="48"/>
        <v>54.81</v>
      </c>
      <c r="Z55" s="261">
        <f>Y55-X46</f>
        <v>9.93</v>
      </c>
      <c r="AA55" s="272">
        <f>Z55/X46</f>
        <v>0.22125668449197858</v>
      </c>
      <c r="AB55" s="251"/>
      <c r="AD55" s="255"/>
      <c r="AF55" s="251"/>
    </row>
    <row r="56" spans="11:32">
      <c r="L56" s="267" t="s">
        <v>877</v>
      </c>
      <c r="M56" s="282">
        <f>'[18]Percentiles_All_Bills July'!$O$2</f>
        <v>13.825403488152455</v>
      </c>
      <c r="N56" s="261">
        <f t="shared" si="39"/>
        <v>28.32</v>
      </c>
      <c r="O56" s="261">
        <f t="shared" si="40"/>
        <v>4.3328814531869799</v>
      </c>
      <c r="P56" s="261">
        <f t="shared" si="41"/>
        <v>6.0900902365311564</v>
      </c>
      <c r="Q56" s="261">
        <f t="shared" si="42"/>
        <v>0</v>
      </c>
      <c r="R56" s="261">
        <f t="shared" si="43"/>
        <v>38.742971689718132</v>
      </c>
      <c r="S56" s="261">
        <f t="shared" si="44"/>
        <v>8.9476733183621135</v>
      </c>
      <c r="T56" s="272">
        <f t="shared" si="45"/>
        <v>0.30030487383754617</v>
      </c>
      <c r="U56"/>
      <c r="V56" s="261">
        <f>R56*'UNSG Riders- Current'!$C$4</f>
        <v>7.2991758663428968E-2</v>
      </c>
      <c r="W56" s="261">
        <f t="shared" si="46"/>
        <v>0</v>
      </c>
      <c r="X56" s="261">
        <f t="shared" si="47"/>
        <v>0</v>
      </c>
      <c r="Y56" s="263">
        <f t="shared" si="48"/>
        <v>38.82</v>
      </c>
      <c r="Z56" s="261">
        <f>Y56-X47</f>
        <v>8.9699999999999989</v>
      </c>
      <c r="AA56" s="272">
        <f>Z56/X47</f>
        <v>0.30050251256281402</v>
      </c>
      <c r="AB56" s="251"/>
      <c r="AD56" s="255"/>
      <c r="AF56" s="251"/>
    </row>
    <row r="57" spans="11:32"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 s="251"/>
      <c r="AD57" s="255"/>
      <c r="AF57" s="251"/>
    </row>
    <row r="58" spans="11:32"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 s="251"/>
      <c r="AD58" s="255"/>
      <c r="AF58" s="251"/>
    </row>
    <row r="59" spans="11:32"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1:32"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1:32" ht="15" customHeight="1"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 s="251"/>
      <c r="AD61" s="255"/>
      <c r="AF61" s="251"/>
    </row>
    <row r="62" spans="11:32" ht="21.75" customHeight="1"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 s="251"/>
      <c r="AD62" s="255"/>
      <c r="AF62" s="251"/>
    </row>
    <row r="63" spans="11:32"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 s="251"/>
      <c r="AD63" s="255"/>
      <c r="AF63" s="251"/>
    </row>
    <row r="64" spans="11:32"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 s="251"/>
      <c r="AD64" s="255"/>
      <c r="AF64" s="251"/>
    </row>
    <row r="65" spans="12:32"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 s="251"/>
      <c r="AD65" s="255"/>
      <c r="AF65" s="251"/>
    </row>
    <row r="66" spans="12:32"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 s="251"/>
      <c r="AD66" s="255"/>
      <c r="AF66" s="251"/>
    </row>
    <row r="67" spans="12:32"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 s="251"/>
      <c r="AD67" s="255"/>
      <c r="AF67" s="251"/>
    </row>
    <row r="68" spans="12:32"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 s="251"/>
      <c r="AD68" s="255"/>
      <c r="AF68" s="251"/>
    </row>
    <row r="69" spans="12:32"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 s="251"/>
      <c r="AD69" s="255"/>
      <c r="AF69" s="251"/>
    </row>
    <row r="70" spans="12:32"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 s="251"/>
      <c r="AD70" s="255"/>
      <c r="AF70" s="251"/>
    </row>
  </sheetData>
  <mergeCells count="74">
    <mergeCell ref="AA32:AA33"/>
    <mergeCell ref="Y32:Y33"/>
    <mergeCell ref="Z32:Z33"/>
    <mergeCell ref="Z50:Z51"/>
    <mergeCell ref="AA50:AA51"/>
    <mergeCell ref="AA14:AA15"/>
    <mergeCell ref="X14:X15"/>
    <mergeCell ref="Y14:Y15"/>
    <mergeCell ref="Z14:Z15"/>
    <mergeCell ref="V23:V24"/>
    <mergeCell ref="W23:W24"/>
    <mergeCell ref="V4:V5"/>
    <mergeCell ref="W4:W5"/>
    <mergeCell ref="M13:P13"/>
    <mergeCell ref="M14:M15"/>
    <mergeCell ref="N14:N15"/>
    <mergeCell ref="O14:O15"/>
    <mergeCell ref="P14:P15"/>
    <mergeCell ref="R14:R15"/>
    <mergeCell ref="S14:S15"/>
    <mergeCell ref="T14:T15"/>
    <mergeCell ref="V14:V15"/>
    <mergeCell ref="W14:W15"/>
    <mergeCell ref="Q14:Q15"/>
    <mergeCell ref="L1:T1"/>
    <mergeCell ref="M3:P3"/>
    <mergeCell ref="M4:M5"/>
    <mergeCell ref="N4:N5"/>
    <mergeCell ref="O4:O5"/>
    <mergeCell ref="P4:P5"/>
    <mergeCell ref="R4:R5"/>
    <mergeCell ref="Q4:Q5"/>
    <mergeCell ref="R23:R24"/>
    <mergeCell ref="M31:P31"/>
    <mergeCell ref="M22:P22"/>
    <mergeCell ref="M23:M24"/>
    <mergeCell ref="N23:N24"/>
    <mergeCell ref="O23:O24"/>
    <mergeCell ref="P23:P24"/>
    <mergeCell ref="Q23:Q24"/>
    <mergeCell ref="W41:W42"/>
    <mergeCell ref="X41:X42"/>
    <mergeCell ref="V32:V33"/>
    <mergeCell ref="W32:W33"/>
    <mergeCell ref="X32:X33"/>
    <mergeCell ref="M32:M33"/>
    <mergeCell ref="M49:P49"/>
    <mergeCell ref="M50:M51"/>
    <mergeCell ref="N50:N51"/>
    <mergeCell ref="O50:O51"/>
    <mergeCell ref="P50:P51"/>
    <mergeCell ref="M40:P40"/>
    <mergeCell ref="M41:M42"/>
    <mergeCell ref="N41:N42"/>
    <mergeCell ref="O41:O42"/>
    <mergeCell ref="P41:P42"/>
    <mergeCell ref="N32:N33"/>
    <mergeCell ref="O32:O33"/>
    <mergeCell ref="P32:P33"/>
    <mergeCell ref="W50:W51"/>
    <mergeCell ref="X50:X51"/>
    <mergeCell ref="Y50:Y51"/>
    <mergeCell ref="S50:S51"/>
    <mergeCell ref="T50:T51"/>
    <mergeCell ref="Q32:Q33"/>
    <mergeCell ref="Q41:Q42"/>
    <mergeCell ref="Q50:Q51"/>
    <mergeCell ref="R50:R51"/>
    <mergeCell ref="V50:V51"/>
    <mergeCell ref="R41:R42"/>
    <mergeCell ref="V41:V42"/>
    <mergeCell ref="R32:R33"/>
    <mergeCell ref="S32:S33"/>
    <mergeCell ref="T32:T33"/>
  </mergeCells>
  <conditionalFormatting sqref="J12">
    <cfRule type="containsBlanks" dxfId="121" priority="1">
      <formula>LEN(TRIM(J12))=0</formula>
    </cfRule>
  </conditionalFormatting>
  <printOptions horizontalCentered="1"/>
  <pageMargins left="0.45" right="0.45" top="1.25" bottom="0.75" header="0.5" footer="0.3"/>
  <pageSetup scale="93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1" max="26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B0DC6-0E86-4347-9DCF-C472348A3080}">
  <sheetPr codeName="Sheet28">
    <tabColor theme="2" tint="-0.249977111117893"/>
    <pageSetUpPr fitToPage="1"/>
  </sheetPr>
  <dimension ref="A1:AG70"/>
  <sheetViews>
    <sheetView zoomScale="90" zoomScaleNormal="90" zoomScaleSheetLayoutView="70" workbookViewId="0">
      <selection activeCell="B6" sqref="B6"/>
    </sheetView>
  </sheetViews>
  <sheetFormatPr defaultColWidth="9.28515625" defaultRowHeight="15"/>
  <cols>
    <col min="1" max="1" width="9.28515625" style="251"/>
    <col min="2" max="2" width="17.7109375" style="251" bestFit="1" customWidth="1"/>
    <col min="3" max="3" width="9.28515625" style="251"/>
    <col min="4" max="4" width="13" style="251" bestFit="1" customWidth="1"/>
    <col min="5" max="5" width="12.5703125" style="251" bestFit="1" customWidth="1"/>
    <col min="6" max="6" width="14.42578125" style="251" bestFit="1" customWidth="1"/>
    <col min="7" max="7" width="20.28515625" style="251" bestFit="1" customWidth="1"/>
    <col min="8" max="8" width="22.42578125" style="57" bestFit="1" customWidth="1"/>
    <col min="9" max="10" width="9.7109375" style="57" bestFit="1" customWidth="1"/>
    <col min="11" max="11" width="3.42578125" style="57" customWidth="1"/>
    <col min="12" max="12" width="9.7109375" style="57" bestFit="1" customWidth="1"/>
    <col min="13" max="18" width="10.28515625" style="57" customWidth="1"/>
    <col min="19" max="19" width="7.42578125" style="57" bestFit="1" customWidth="1"/>
    <col min="20" max="20" width="7.5703125" style="57" bestFit="1" customWidth="1"/>
    <col min="21" max="21" width="7.5703125" style="57" customWidth="1"/>
    <col min="22" max="22" width="7" style="57" bestFit="1" customWidth="1"/>
    <col min="23" max="28" width="7.5703125" style="57" customWidth="1"/>
    <col min="29" max="31" width="9.28515625" style="251"/>
    <col min="32" max="32" width="9.28515625" style="255"/>
    <col min="33" max="16384" width="9.28515625" style="251"/>
  </cols>
  <sheetData>
    <row r="1" spans="1:33">
      <c r="H1" s="57" t="s">
        <v>854</v>
      </c>
      <c r="I1" s="4" t="s">
        <v>799</v>
      </c>
      <c r="J1" s="56" t="s">
        <v>541</v>
      </c>
      <c r="L1" s="818" t="s">
        <v>891</v>
      </c>
      <c r="M1" s="818"/>
      <c r="N1" s="818"/>
      <c r="O1" s="818"/>
      <c r="P1" s="818"/>
      <c r="Q1" s="818"/>
      <c r="R1" s="818"/>
      <c r="S1" s="818"/>
      <c r="T1" s="818"/>
      <c r="U1" s="253"/>
      <c r="V1" s="254"/>
    </row>
    <row r="2" spans="1:33">
      <c r="M2" s="256" t="s">
        <v>856</v>
      </c>
    </row>
    <row r="3" spans="1:33" ht="15" customHeight="1">
      <c r="J3" s="100"/>
      <c r="M3" s="813" t="s">
        <v>857</v>
      </c>
      <c r="N3" s="814"/>
      <c r="O3" s="814"/>
      <c r="P3" s="815"/>
      <c r="Q3" s="296"/>
      <c r="U3" s="251"/>
      <c r="AA3" s="251"/>
      <c r="AB3" s="251"/>
      <c r="AD3" s="255"/>
      <c r="AF3" s="251"/>
    </row>
    <row r="4" spans="1:33" ht="21.75" customHeight="1">
      <c r="A4" s="251" t="s">
        <v>598</v>
      </c>
      <c r="B4" s="251" t="s">
        <v>599</v>
      </c>
      <c r="C4" s="251" t="s">
        <v>587</v>
      </c>
      <c r="D4" s="279" t="s">
        <v>880</v>
      </c>
      <c r="E4" s="251" t="s">
        <v>600</v>
      </c>
      <c r="F4" s="251" t="s">
        <v>601</v>
      </c>
      <c r="G4" s="251" t="s">
        <v>858</v>
      </c>
      <c r="I4" s="257" t="s">
        <v>828</v>
      </c>
      <c r="J4" s="257" t="s">
        <v>551</v>
      </c>
      <c r="M4" s="810" t="s">
        <v>859</v>
      </c>
      <c r="N4" s="816" t="s">
        <v>860</v>
      </c>
      <c r="O4" s="808" t="s">
        <v>861</v>
      </c>
      <c r="P4" s="808" t="s">
        <v>610</v>
      </c>
      <c r="Q4" s="808" t="s">
        <v>862</v>
      </c>
      <c r="R4" s="810" t="s">
        <v>863</v>
      </c>
      <c r="V4" s="811" t="s">
        <v>864</v>
      </c>
      <c r="W4" s="811" t="s">
        <v>865</v>
      </c>
      <c r="AB4" s="251"/>
      <c r="AE4" s="255"/>
      <c r="AF4" s="251"/>
    </row>
    <row r="5" spans="1:33">
      <c r="A5" s="100">
        <v>41030</v>
      </c>
      <c r="B5" s="100">
        <v>46082</v>
      </c>
      <c r="C5" s="251" t="str">
        <f>J1</f>
        <v>GGIRS</v>
      </c>
      <c r="D5" s="251" t="s">
        <v>521</v>
      </c>
      <c r="E5" s="100" t="str">
        <f t="shared" ref="E5:E11" si="0">IF(C5="","",A5&amp;$C5)</f>
        <v>41030GGIRS</v>
      </c>
      <c r="F5" s="100" t="str">
        <f>IF(E5="","",B5&amp;$D5)</f>
        <v>46082GGSVS</v>
      </c>
      <c r="G5" s="251" t="str">
        <f>IFERROR(IF(VLOOKUP(H5,Lookup!$A$1:$B$200,2,0)="","",VLOOKUP(H5,Lookup!$A$1:$B$200,2,0)),"")</f>
        <v>BASIC_SERVICE_CHARGE</v>
      </c>
      <c r="H5" s="258" t="s">
        <v>607</v>
      </c>
      <c r="I5" s="259">
        <f>VLOOKUP(E5,'UNSG - ALL RATES'!$A$1:$DF$43,MATCH($G5,'UNSG - ALL RATES'!$A$2:$DF$2,0),0)</f>
        <v>20</v>
      </c>
      <c r="J5" s="259">
        <f>VLOOKUP(F5,'UNSG - ALL RATES'!$A$1:$DF$43,MATCH($G5,'UNSG - ALL RATES'!$A$2:$DF$2,0),0)</f>
        <v>28.32</v>
      </c>
      <c r="K5" s="259"/>
      <c r="M5" s="810"/>
      <c r="N5" s="817"/>
      <c r="O5" s="809"/>
      <c r="P5" s="809"/>
      <c r="Q5" s="809"/>
      <c r="R5" s="810"/>
      <c r="U5" s="251"/>
      <c r="V5" s="812"/>
      <c r="W5" s="812"/>
      <c r="AA5" s="251"/>
      <c r="AB5" s="251"/>
      <c r="AD5" s="255"/>
      <c r="AF5" s="251"/>
    </row>
    <row r="6" spans="1:33">
      <c r="A6" s="100">
        <v>41030</v>
      </c>
      <c r="B6" s="100">
        <f>$B$5</f>
        <v>46082</v>
      </c>
      <c r="C6" s="251" t="str">
        <f>C5</f>
        <v>GGIRS</v>
      </c>
      <c r="D6" s="251" t="s">
        <v>521</v>
      </c>
      <c r="E6" s="100" t="str">
        <f t="shared" si="0"/>
        <v>41030GGIRS</v>
      </c>
      <c r="F6" s="100" t="str">
        <f t="shared" ref="F6:F11" si="1">IF(E6="","",B6&amp;$D6)</f>
        <v>46082GGSVS</v>
      </c>
      <c r="G6" s="251" t="str">
        <f>IFERROR(IF(VLOOKUP(H6,Lookup!$A$1:$B$200,2,0)="","",VLOOKUP(H6,Lookup!$A$1:$B$200,2,0)),"")</f>
        <v/>
      </c>
      <c r="H6" s="258"/>
      <c r="I6" s="259"/>
      <c r="J6" s="259"/>
      <c r="K6" s="259"/>
      <c r="L6" s="56" t="s">
        <v>482</v>
      </c>
      <c r="M6" s="260">
        <f>AVERAGE(M25,M43)</f>
        <v>52</v>
      </c>
      <c r="N6" s="261">
        <f>VLOOKUP(N4,$H$5:$J$5,2,0)</f>
        <v>20</v>
      </c>
      <c r="O6" s="261">
        <f>$I$8*M6</f>
        <v>18.366400000000002</v>
      </c>
      <c r="P6" s="261">
        <f>$I$10*M6</f>
        <v>22.905999999999999</v>
      </c>
      <c r="Q6" s="261">
        <f>M6*$I$9</f>
        <v>-0.83719999999999994</v>
      </c>
      <c r="R6" s="261">
        <f>SUM(N6:Q6)</f>
        <v>60.435199999999995</v>
      </c>
      <c r="U6" s="262"/>
      <c r="V6" s="261">
        <v>0</v>
      </c>
      <c r="W6" s="263">
        <f>ROUND(SUM(R6,V6:V6),2)</f>
        <v>60.44</v>
      </c>
      <c r="Z6" s="262"/>
      <c r="AA6" s="251"/>
      <c r="AB6" s="251"/>
      <c r="AD6" s="255"/>
      <c r="AF6" s="251"/>
    </row>
    <row r="7" spans="1:33">
      <c r="A7" s="100">
        <v>41030</v>
      </c>
      <c r="B7" s="100">
        <f t="shared" ref="B7:B18" si="2">$B$5</f>
        <v>46082</v>
      </c>
      <c r="C7" s="251" t="str">
        <f t="shared" ref="C7:C18" si="3">C6</f>
        <v>GGIRS</v>
      </c>
      <c r="D7" s="251" t="s">
        <v>521</v>
      </c>
      <c r="E7" s="100" t="str">
        <f t="shared" si="0"/>
        <v>41030GGIRS</v>
      </c>
      <c r="F7" s="100" t="str">
        <f t="shared" si="1"/>
        <v>46082GGSVS</v>
      </c>
      <c r="G7" s="251" t="str">
        <f>IFERROR(IF(VLOOKUP(H7,Lookup!$A$1:$B$200,2,0)="","",VLOOKUP(H7,Lookup!$A$1:$B$200,2,0)),"")</f>
        <v/>
      </c>
      <c r="H7" s="258" t="s">
        <v>512</v>
      </c>
      <c r="I7" s="259"/>
      <c r="J7" s="259"/>
      <c r="K7" s="264"/>
      <c r="L7" s="56" t="s">
        <v>866</v>
      </c>
      <c r="M7" s="260">
        <f t="shared" ref="M7:M10" si="4">AVERAGE(M26,M44)</f>
        <v>75.5</v>
      </c>
      <c r="N7" s="261">
        <f>N6</f>
        <v>20</v>
      </c>
      <c r="O7" s="261">
        <f t="shared" ref="O7:O10" si="5">$I$8*M7</f>
        <v>26.666600000000003</v>
      </c>
      <c r="P7" s="261">
        <f t="shared" ref="P7:P10" si="6">$I$10*M7</f>
        <v>33.257750000000001</v>
      </c>
      <c r="Q7" s="261">
        <f t="shared" ref="Q7:Q10" si="7">M7*$I$9</f>
        <v>-1.2155499999999999</v>
      </c>
      <c r="R7" s="261">
        <f t="shared" ref="R7:R10" si="8">SUM(N7:Q7)</f>
        <v>78.708800000000011</v>
      </c>
      <c r="U7" s="262"/>
      <c r="V7" s="261">
        <v>0</v>
      </c>
      <c r="W7" s="263">
        <f>ROUND(SUM(R7,V7:V7),2)</f>
        <v>78.709999999999994</v>
      </c>
      <c r="Z7" s="262"/>
      <c r="AA7" s="251"/>
      <c r="AB7" s="251"/>
      <c r="AD7" s="255"/>
      <c r="AF7" s="251"/>
    </row>
    <row r="8" spans="1:33">
      <c r="A8" s="100">
        <v>41030</v>
      </c>
      <c r="B8" s="100">
        <f t="shared" si="2"/>
        <v>46082</v>
      </c>
      <c r="C8" s="251" t="str">
        <f t="shared" si="3"/>
        <v>GGIRS</v>
      </c>
      <c r="D8" s="251" t="s">
        <v>521</v>
      </c>
      <c r="E8" s="100" t="str">
        <f t="shared" si="0"/>
        <v>41030GGIRS</v>
      </c>
      <c r="F8" s="100" t="str">
        <f t="shared" si="1"/>
        <v>46082GGSVS</v>
      </c>
      <c r="G8" s="251" t="str">
        <f>IFERROR(IF(VLOOKUP(H8,Lookup!$A$1:$B$200,2,0)="","",VLOOKUP(H8,Lookup!$A$1:$B$200,2,0)),"")</f>
        <v>THERM_DELIVERY_TIER1</v>
      </c>
      <c r="H8" s="57" t="s">
        <v>609</v>
      </c>
      <c r="I8" s="265">
        <f>VLOOKUP(E8,'UNSG - ALL RATES'!$A$1:$DF$43,MATCH($G8,'UNSG - ALL RATES'!$A$2:$DF$2,0),0)</f>
        <v>0.35320000000000001</v>
      </c>
      <c r="J8" s="265">
        <f>VLOOKUP(F8,'UNSG - ALL RATES'!$A$1:$DF$43,MATCH($G8,'UNSG - ALL RATES'!$A$2:$DF$2,0),0)</f>
        <v>0.31340000000000001</v>
      </c>
      <c r="K8" s="264"/>
      <c r="L8" s="56" t="s">
        <v>520</v>
      </c>
      <c r="M8" s="260">
        <f t="shared" si="4"/>
        <v>104</v>
      </c>
      <c r="N8" s="261">
        <f t="shared" ref="N8:N10" si="9">N7</f>
        <v>20</v>
      </c>
      <c r="O8" s="261">
        <f t="shared" si="5"/>
        <v>36.732800000000005</v>
      </c>
      <c r="P8" s="261">
        <f t="shared" si="6"/>
        <v>45.811999999999998</v>
      </c>
      <c r="Q8" s="261">
        <f t="shared" si="7"/>
        <v>-1.6743999999999999</v>
      </c>
      <c r="R8" s="261">
        <f t="shared" si="8"/>
        <v>100.8704</v>
      </c>
      <c r="U8" s="262"/>
      <c r="V8" s="261">
        <v>0</v>
      </c>
      <c r="W8" s="263">
        <f>ROUND(SUM(R8,V8:V8),2)</f>
        <v>100.87</v>
      </c>
      <c r="Z8" s="262"/>
      <c r="AA8" s="251"/>
      <c r="AB8" s="251"/>
      <c r="AD8" s="255"/>
      <c r="AF8" s="251"/>
    </row>
    <row r="9" spans="1:33">
      <c r="A9" s="100">
        <v>41030</v>
      </c>
      <c r="B9" s="100">
        <f t="shared" si="2"/>
        <v>46082</v>
      </c>
      <c r="C9" s="251" t="str">
        <f t="shared" si="3"/>
        <v>GGIRS</v>
      </c>
      <c r="D9" s="251" t="s">
        <v>521</v>
      </c>
      <c r="E9" s="100" t="str">
        <f t="shared" si="0"/>
        <v>41030GGIRS</v>
      </c>
      <c r="F9" s="100" t="str">
        <f t="shared" si="1"/>
        <v>46082GGSVS</v>
      </c>
      <c r="G9" s="251" t="str">
        <f>IFERROR(IF(VLOOKUP(H9,Lookup!$A$1:$B$200,2,0)="","",VLOOKUP(H9,Lookup!$A$1:$B$200,2,0)),"")</f>
        <v/>
      </c>
      <c r="H9" s="57" t="s">
        <v>867</v>
      </c>
      <c r="I9" s="264">
        <v>-1.61E-2</v>
      </c>
      <c r="J9" s="674">
        <v>0</v>
      </c>
      <c r="K9" s="264"/>
      <c r="L9" s="56" t="s">
        <v>868</v>
      </c>
      <c r="M9" s="260">
        <f t="shared" si="4"/>
        <v>127</v>
      </c>
      <c r="N9" s="261">
        <f t="shared" si="9"/>
        <v>20</v>
      </c>
      <c r="O9" s="261">
        <f t="shared" si="5"/>
        <v>44.856400000000001</v>
      </c>
      <c r="P9" s="261">
        <f t="shared" si="6"/>
        <v>55.9435</v>
      </c>
      <c r="Q9" s="261">
        <f t="shared" si="7"/>
        <v>-2.0447000000000002</v>
      </c>
      <c r="R9" s="261">
        <f t="shared" si="8"/>
        <v>118.7552</v>
      </c>
      <c r="U9" s="262"/>
      <c r="V9" s="261">
        <v>0</v>
      </c>
      <c r="W9" s="263">
        <f>ROUND(SUM(R9,V9:V9),2)</f>
        <v>118.76</v>
      </c>
      <c r="Z9" s="262"/>
      <c r="AA9" s="251"/>
      <c r="AB9" s="251"/>
      <c r="AD9" s="255"/>
      <c r="AF9" s="251"/>
    </row>
    <row r="10" spans="1:33">
      <c r="A10" s="100">
        <v>41030</v>
      </c>
      <c r="B10" s="100">
        <f t="shared" si="2"/>
        <v>46082</v>
      </c>
      <c r="C10" s="251" t="str">
        <f t="shared" si="3"/>
        <v>GGIRS</v>
      </c>
      <c r="D10" s="251" t="s">
        <v>521</v>
      </c>
      <c r="E10" s="100" t="str">
        <f t="shared" si="0"/>
        <v>41030GGIRS</v>
      </c>
      <c r="F10" s="100" t="str">
        <f t="shared" si="1"/>
        <v>46082GGSVS</v>
      </c>
      <c r="G10" s="251" t="str">
        <f>IFERROR(IF(VLOOKUP(H10,Lookup!$A$1:$B$200,2,0)="","",VLOOKUP(H10,Lookup!$A$1:$B$200,2,0)),"")</f>
        <v/>
      </c>
      <c r="H10" s="266" t="s">
        <v>610</v>
      </c>
      <c r="I10" s="264">
        <f>'PGA Calculation'!$B$3</f>
        <v>0.4405</v>
      </c>
      <c r="J10" s="264">
        <f>'PGA Calculation'!$B$13</f>
        <v>0.44669999999999999</v>
      </c>
      <c r="K10" s="264"/>
      <c r="L10" s="267" t="s">
        <v>869</v>
      </c>
      <c r="M10" s="260">
        <f t="shared" si="4"/>
        <v>57.394317076220212</v>
      </c>
      <c r="N10" s="261">
        <f t="shared" si="9"/>
        <v>20</v>
      </c>
      <c r="O10" s="261">
        <f t="shared" si="5"/>
        <v>20.271672791320981</v>
      </c>
      <c r="P10" s="261">
        <f t="shared" si="6"/>
        <v>25.282196672075003</v>
      </c>
      <c r="Q10" s="261">
        <f t="shared" si="7"/>
        <v>-0.92404850492714541</v>
      </c>
      <c r="R10" s="261">
        <f t="shared" si="8"/>
        <v>64.629820958468841</v>
      </c>
      <c r="U10" s="262"/>
      <c r="V10" s="261">
        <v>0</v>
      </c>
      <c r="W10" s="263">
        <f>ROUND(SUM(R10,V10:V10),2)</f>
        <v>64.63</v>
      </c>
      <c r="Z10" s="262"/>
      <c r="AA10" s="251"/>
      <c r="AB10" s="251"/>
      <c r="AD10" s="255"/>
      <c r="AF10" s="251"/>
    </row>
    <row r="11" spans="1:33">
      <c r="A11" s="100">
        <v>41030</v>
      </c>
      <c r="B11" s="100">
        <f t="shared" si="2"/>
        <v>46082</v>
      </c>
      <c r="C11" s="251" t="str">
        <f t="shared" si="3"/>
        <v>GGIRS</v>
      </c>
      <c r="D11" s="251" t="s">
        <v>521</v>
      </c>
      <c r="E11" s="100" t="str">
        <f t="shared" si="0"/>
        <v>41030GGIRS</v>
      </c>
      <c r="F11" s="100" t="str">
        <f t="shared" si="1"/>
        <v>46082GGSVS</v>
      </c>
      <c r="G11" s="251" t="str">
        <f>IFERROR(IF(VLOOKUP(H11,Lookup!$A$1:$B$200,2,0)="","",VLOOKUP(H11,Lookup!$A$1:$B$200,2,0)),"")</f>
        <v/>
      </c>
      <c r="H11" s="258"/>
      <c r="I11" s="264"/>
      <c r="J11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W11" s="268"/>
      <c r="X11" s="268"/>
      <c r="Y11" s="268"/>
      <c r="Z11" s="269"/>
      <c r="AB11" s="262"/>
    </row>
    <row r="12" spans="1:33">
      <c r="A12" s="100"/>
      <c r="B12" s="100"/>
      <c r="E12" s="100"/>
      <c r="F12" s="100"/>
      <c r="H12" s="258" t="s">
        <v>870</v>
      </c>
      <c r="I12" s="264">
        <v>0</v>
      </c>
      <c r="J12" s="669">
        <f>'UNSG Riders- Current'!$C$3</f>
        <v>0</v>
      </c>
      <c r="K12" s="264"/>
      <c r="R12" s="270"/>
    </row>
    <row r="13" spans="1:33" ht="15" customHeight="1">
      <c r="A13" s="100">
        <v>41030</v>
      </c>
      <c r="B13" s="100">
        <f t="shared" si="2"/>
        <v>46082</v>
      </c>
      <c r="C13" s="251" t="str">
        <f>C11</f>
        <v>GGIRS</v>
      </c>
      <c r="D13" s="251" t="s">
        <v>521</v>
      </c>
      <c r="E13" s="100" t="str">
        <f t="shared" ref="E13:E18" si="10">IF(C13="","",A13&amp;$C13)</f>
        <v>41030GGIRS</v>
      </c>
      <c r="F13" s="100" t="str">
        <f>IF(E13="","",B13&amp;$D13)</f>
        <v>46082GGSVS</v>
      </c>
      <c r="G13" s="251" t="str">
        <f>IFERROR(IF(VLOOKUP(H13,Lookup!$A$1:$B$200,2,0)="","",VLOOKUP(H13,Lookup!$A$1:$B$200,2,0)),"")</f>
        <v/>
      </c>
      <c r="H13" s="266" t="s">
        <v>871</v>
      </c>
      <c r="I13" s="264">
        <v>0</v>
      </c>
      <c r="J13" s="675">
        <f>'UNSG Riders- Current'!$C$5</f>
        <v>0</v>
      </c>
      <c r="M13" s="813" t="s">
        <v>872</v>
      </c>
      <c r="N13" s="814"/>
      <c r="O13" s="814"/>
      <c r="P13" s="815"/>
      <c r="Q13" s="296"/>
      <c r="U13" s="251"/>
      <c r="W13" s="271"/>
      <c r="AA13" s="251"/>
      <c r="AB13" s="251"/>
      <c r="AD13" s="255"/>
      <c r="AF13" s="251"/>
    </row>
    <row r="14" spans="1:33" ht="22.5" customHeight="1">
      <c r="A14" s="100">
        <v>41030</v>
      </c>
      <c r="B14" s="100">
        <f t="shared" si="2"/>
        <v>46082</v>
      </c>
      <c r="C14" s="251" t="str">
        <f t="shared" si="3"/>
        <v>GGIRS</v>
      </c>
      <c r="D14" s="251" t="s">
        <v>521</v>
      </c>
      <c r="E14" s="100" t="str">
        <f t="shared" si="10"/>
        <v>41030GGIRS</v>
      </c>
      <c r="F14" s="100" t="str">
        <f t="shared" ref="F14:F17" si="11">IF(E14="","",B14&amp;$D14)</f>
        <v>46082GGSVS</v>
      </c>
      <c r="G14" s="251" t="str">
        <f>IFERROR(IF(VLOOKUP(H14,Lookup!$A$1:$B$200,2,0)="","",VLOOKUP(H14,Lookup!$A$1:$B$200,2,0)),"")</f>
        <v/>
      </c>
      <c r="J14"/>
      <c r="M14" s="810" t="s">
        <v>859</v>
      </c>
      <c r="N14" s="816" t="s">
        <v>860</v>
      </c>
      <c r="O14" s="808" t="s">
        <v>861</v>
      </c>
      <c r="P14" s="808" t="s">
        <v>610</v>
      </c>
      <c r="Q14" s="808" t="s">
        <v>873</v>
      </c>
      <c r="R14" s="810" t="s">
        <v>863</v>
      </c>
      <c r="S14" s="808" t="s">
        <v>874</v>
      </c>
      <c r="T14" s="808" t="s">
        <v>875</v>
      </c>
      <c r="V14" s="811" t="s">
        <v>864</v>
      </c>
      <c r="W14" s="811" t="s">
        <v>870</v>
      </c>
      <c r="X14" s="811" t="s">
        <v>871</v>
      </c>
      <c r="Y14" s="811" t="s">
        <v>865</v>
      </c>
      <c r="Z14" s="808" t="s">
        <v>874</v>
      </c>
      <c r="AA14" s="808" t="s">
        <v>875</v>
      </c>
      <c r="AC14" s="57"/>
      <c r="AF14" s="251"/>
      <c r="AG14" s="255"/>
    </row>
    <row r="15" spans="1:33" ht="16.5" customHeight="1">
      <c r="A15" s="100">
        <v>41030</v>
      </c>
      <c r="B15" s="100">
        <f t="shared" si="2"/>
        <v>46082</v>
      </c>
      <c r="C15" s="251" t="str">
        <f t="shared" si="3"/>
        <v>GGIRS</v>
      </c>
      <c r="D15" s="251" t="s">
        <v>521</v>
      </c>
      <c r="E15" s="100" t="str">
        <f t="shared" si="10"/>
        <v>41030GGIRS</v>
      </c>
      <c r="F15" s="100" t="str">
        <f t="shared" si="11"/>
        <v>46082GGSVS</v>
      </c>
      <c r="G15" s="251" t="str">
        <f>IFERROR(IF(VLOOKUP(H15,Lookup!$A$1:$B$200,2,0)="","",VLOOKUP(H15,Lookup!$A$1:$B$200,2,0)),"")</f>
        <v/>
      </c>
      <c r="I15" s="264"/>
      <c r="J15"/>
      <c r="M15" s="810"/>
      <c r="N15" s="817"/>
      <c r="O15" s="809"/>
      <c r="P15" s="809"/>
      <c r="Q15" s="809"/>
      <c r="R15" s="810"/>
      <c r="S15" s="809"/>
      <c r="T15" s="809"/>
      <c r="V15" s="812"/>
      <c r="W15" s="812"/>
      <c r="X15" s="812"/>
      <c r="Y15" s="812"/>
      <c r="Z15" s="809"/>
      <c r="AA15" s="809"/>
      <c r="AC15" s="57"/>
      <c r="AF15" s="251"/>
      <c r="AG15" s="255"/>
    </row>
    <row r="16" spans="1:33">
      <c r="A16" s="100">
        <v>41030</v>
      </c>
      <c r="B16" s="100">
        <f t="shared" si="2"/>
        <v>46082</v>
      </c>
      <c r="C16" s="251" t="str">
        <f t="shared" si="3"/>
        <v>GGIRS</v>
      </c>
      <c r="D16" s="251" t="s">
        <v>521</v>
      </c>
      <c r="E16" s="100" t="str">
        <f t="shared" si="10"/>
        <v>41030GGIRS</v>
      </c>
      <c r="F16" s="100" t="str">
        <f t="shared" si="11"/>
        <v>46082GGSVS</v>
      </c>
      <c r="H16" s="130"/>
      <c r="I16" s="264"/>
      <c r="J16" s="264"/>
      <c r="K16" s="264"/>
      <c r="L16" s="56" t="s">
        <v>482</v>
      </c>
      <c r="M16" s="260">
        <f>M6</f>
        <v>52</v>
      </c>
      <c r="N16" s="261">
        <f>VLOOKUP(N14,$H$5:$J$5,3,0)</f>
        <v>28.32</v>
      </c>
      <c r="O16" s="261">
        <f>$J$8*M16</f>
        <v>16.296800000000001</v>
      </c>
      <c r="P16" s="261">
        <f>$J$10*M16</f>
        <v>23.228400000000001</v>
      </c>
      <c r="Q16" s="261">
        <f>M16*$J$9</f>
        <v>0</v>
      </c>
      <c r="R16" s="261">
        <f>SUM(N16:Q16)</f>
        <v>67.845200000000006</v>
      </c>
      <c r="S16" s="261">
        <f>R16-R6</f>
        <v>7.4100000000000108</v>
      </c>
      <c r="T16" s="272">
        <f>S16/R6</f>
        <v>0.12261066398390361</v>
      </c>
      <c r="U16" s="273"/>
      <c r="V16" s="261">
        <f>R16*'UNSG Riders- Current'!$C$4</f>
        <v>0.12782035680000001</v>
      </c>
      <c r="W16" s="261">
        <f>M16*$J$12</f>
        <v>0</v>
      </c>
      <c r="X16" s="261">
        <f>R16*$J$13</f>
        <v>0</v>
      </c>
      <c r="Y16" s="263">
        <f>ROUND(SUM(R16,V16:X16),2)</f>
        <v>67.97</v>
      </c>
      <c r="Z16" s="261">
        <f>Y16-W6</f>
        <v>7.5300000000000011</v>
      </c>
      <c r="AA16" s="272">
        <f>Z16/W6</f>
        <v>0.12458636664460625</v>
      </c>
      <c r="AC16" s="57"/>
      <c r="AF16" s="251"/>
      <c r="AG16" s="255"/>
    </row>
    <row r="17" spans="1:33">
      <c r="A17" s="100">
        <v>41030</v>
      </c>
      <c r="B17" s="100">
        <f t="shared" si="2"/>
        <v>46082</v>
      </c>
      <c r="C17" s="251" t="str">
        <f t="shared" si="3"/>
        <v>GGIRS</v>
      </c>
      <c r="D17" s="251" t="s">
        <v>521</v>
      </c>
      <c r="E17" s="100" t="str">
        <f t="shared" si="10"/>
        <v>41030GGIRS</v>
      </c>
      <c r="F17" s="100" t="str">
        <f t="shared" si="11"/>
        <v>46082GGSVS</v>
      </c>
      <c r="I17" s="274"/>
      <c r="J17" s="274"/>
      <c r="K17" s="264"/>
      <c r="L17" s="56" t="s">
        <v>866</v>
      </c>
      <c r="M17" s="260">
        <f t="shared" ref="M17:M20" si="12">M7</f>
        <v>75.5</v>
      </c>
      <c r="N17" s="261">
        <f>N16</f>
        <v>28.32</v>
      </c>
      <c r="O17" s="261">
        <f t="shared" ref="O17:O20" si="13">$J$8*M17</f>
        <v>23.6617</v>
      </c>
      <c r="P17" s="261">
        <f t="shared" ref="P17:P20" si="14">$J$10*M17</f>
        <v>33.725850000000001</v>
      </c>
      <c r="Q17" s="261">
        <f t="shared" ref="Q17:Q20" si="15">M17*$J$9</f>
        <v>0</v>
      </c>
      <c r="R17" s="261">
        <f t="shared" ref="R17:R20" si="16">SUM(N17:Q17)</f>
        <v>85.707549999999998</v>
      </c>
      <c r="S17" s="261">
        <f>R17-R7</f>
        <v>6.9987499999999869</v>
      </c>
      <c r="T17" s="272">
        <f>S17/R7</f>
        <v>8.8919536316142356E-2</v>
      </c>
      <c r="U17" s="273"/>
      <c r="V17" s="261">
        <f>R17*'UNSG Riders- Current'!$C$4</f>
        <v>0.16147302420000001</v>
      </c>
      <c r="W17" s="261">
        <f t="shared" ref="W17:W20" si="17">M17*$J$12</f>
        <v>0</v>
      </c>
      <c r="X17" s="261">
        <f t="shared" ref="X17:X20" si="18">R17*$J$13</f>
        <v>0</v>
      </c>
      <c r="Y17" s="263">
        <f t="shared" ref="Y17:Y20" si="19">ROUND(SUM(R17,V17:X17),2)</f>
        <v>85.87</v>
      </c>
      <c r="Z17" s="261">
        <f>Y17-W7</f>
        <v>7.1600000000000108</v>
      </c>
      <c r="AA17" s="272">
        <f>Z17/W7</f>
        <v>9.0966840299834983E-2</v>
      </c>
      <c r="AC17" s="57"/>
      <c r="AF17" s="251"/>
      <c r="AG17" s="255"/>
    </row>
    <row r="18" spans="1:33">
      <c r="A18" s="100">
        <v>41030</v>
      </c>
      <c r="B18" s="100">
        <f t="shared" si="2"/>
        <v>46082</v>
      </c>
      <c r="C18" s="251" t="str">
        <f t="shared" si="3"/>
        <v>GGIRS</v>
      </c>
      <c r="D18" s="251" t="s">
        <v>521</v>
      </c>
      <c r="E18" s="100" t="str">
        <f t="shared" si="10"/>
        <v>41030GGIRS</v>
      </c>
      <c r="F18" s="100" t="str">
        <f>IF(E18="","",B18&amp;$D18)</f>
        <v>46082GGSVS</v>
      </c>
      <c r="G18" s="251" t="str">
        <f>IFERROR(IF(VLOOKUP(H18,Lookup!$A$1:$B$200,2,0)="","",VLOOKUP(H18,Lookup!$A$1:$B$200,2,0)),"")</f>
        <v/>
      </c>
      <c r="H18"/>
      <c r="I18"/>
      <c r="J18"/>
      <c r="K18" s="264"/>
      <c r="L18" s="56" t="s">
        <v>520</v>
      </c>
      <c r="M18" s="260">
        <f t="shared" si="12"/>
        <v>104</v>
      </c>
      <c r="N18" s="261">
        <f t="shared" ref="N18:N20" si="20">N17</f>
        <v>28.32</v>
      </c>
      <c r="O18" s="261">
        <f t="shared" si="13"/>
        <v>32.593600000000002</v>
      </c>
      <c r="P18" s="261">
        <f t="shared" si="14"/>
        <v>46.456800000000001</v>
      </c>
      <c r="Q18" s="261">
        <f t="shared" si="15"/>
        <v>0</v>
      </c>
      <c r="R18" s="261">
        <f t="shared" si="16"/>
        <v>107.3704</v>
      </c>
      <c r="S18" s="261">
        <f>R18-R8</f>
        <v>6.5</v>
      </c>
      <c r="T18" s="272">
        <f>S18/R8</f>
        <v>6.4439121883129238E-2</v>
      </c>
      <c r="U18" s="273"/>
      <c r="V18" s="261">
        <f>R18*'UNSG Riders- Current'!$C$4</f>
        <v>0.20228583360000002</v>
      </c>
      <c r="W18" s="261">
        <f t="shared" si="17"/>
        <v>0</v>
      </c>
      <c r="X18" s="261">
        <f t="shared" si="18"/>
        <v>0</v>
      </c>
      <c r="Y18" s="263">
        <f t="shared" si="19"/>
        <v>107.57</v>
      </c>
      <c r="Z18" s="261">
        <f>Y18-W8</f>
        <v>6.6999999999999886</v>
      </c>
      <c r="AA18" s="272">
        <f>Z18/W8</f>
        <v>6.6422127490829666E-2</v>
      </c>
      <c r="AC18" s="57"/>
      <c r="AF18" s="251"/>
      <c r="AG18" s="255"/>
    </row>
    <row r="19" spans="1:33">
      <c r="L19" s="56" t="s">
        <v>868</v>
      </c>
      <c r="M19" s="260">
        <f t="shared" si="12"/>
        <v>127</v>
      </c>
      <c r="N19" s="261">
        <f t="shared" si="20"/>
        <v>28.32</v>
      </c>
      <c r="O19" s="261">
        <f t="shared" si="13"/>
        <v>39.8018</v>
      </c>
      <c r="P19" s="261">
        <f t="shared" si="14"/>
        <v>56.730899999999998</v>
      </c>
      <c r="Q19" s="261">
        <f t="shared" si="15"/>
        <v>0</v>
      </c>
      <c r="R19" s="261">
        <f t="shared" si="16"/>
        <v>124.8527</v>
      </c>
      <c r="S19" s="261">
        <f>R19-R9</f>
        <v>6.0974999999999966</v>
      </c>
      <c r="T19" s="272">
        <f>S19/R9</f>
        <v>5.1345120045269567E-2</v>
      </c>
      <c r="U19" s="273"/>
      <c r="V19" s="261">
        <f>R19*'UNSG Riders- Current'!$C$4</f>
        <v>0.23522248679999999</v>
      </c>
      <c r="W19" s="261">
        <f t="shared" si="17"/>
        <v>0</v>
      </c>
      <c r="X19" s="261">
        <f t="shared" si="18"/>
        <v>0</v>
      </c>
      <c r="Y19" s="263">
        <f t="shared" si="19"/>
        <v>125.09</v>
      </c>
      <c r="Z19" s="261">
        <f>Y19-W9</f>
        <v>6.3299999999999983</v>
      </c>
      <c r="AA19" s="272">
        <f>Z19/W9</f>
        <v>5.3300774671606585E-2</v>
      </c>
      <c r="AC19" s="57"/>
      <c r="AF19" s="251"/>
      <c r="AG19" s="255"/>
    </row>
    <row r="20" spans="1:33">
      <c r="I20" s="262"/>
      <c r="L20" s="267" t="s">
        <v>869</v>
      </c>
      <c r="M20" s="260">
        <f t="shared" si="12"/>
        <v>57.394317076220212</v>
      </c>
      <c r="N20" s="261">
        <f t="shared" si="20"/>
        <v>28.32</v>
      </c>
      <c r="O20" s="261">
        <f t="shared" si="13"/>
        <v>17.987378971687416</v>
      </c>
      <c r="P20" s="261">
        <f t="shared" si="14"/>
        <v>25.638041437947567</v>
      </c>
      <c r="Q20" s="261">
        <f t="shared" si="15"/>
        <v>0</v>
      </c>
      <c r="R20" s="261">
        <f t="shared" si="16"/>
        <v>71.945420409634977</v>
      </c>
      <c r="S20" s="261">
        <f>R20-R10</f>
        <v>7.3155994511661362</v>
      </c>
      <c r="T20" s="272">
        <f>S20/R10</f>
        <v>0.11319232117116872</v>
      </c>
      <c r="U20" s="273"/>
      <c r="V20" s="261">
        <f>R20*'UNSG Riders- Current'!$C$4</f>
        <v>0.13554517205175229</v>
      </c>
      <c r="W20" s="261">
        <f t="shared" si="17"/>
        <v>0</v>
      </c>
      <c r="X20" s="261">
        <f t="shared" si="18"/>
        <v>0</v>
      </c>
      <c r="Y20" s="263">
        <f t="shared" si="19"/>
        <v>72.08</v>
      </c>
      <c r="Z20" s="261">
        <f>Y20-W10</f>
        <v>7.4500000000000028</v>
      </c>
      <c r="AA20" s="272">
        <f>Z20/W10</f>
        <v>0.11527154572180107</v>
      </c>
      <c r="AC20" s="57"/>
      <c r="AF20" s="251"/>
      <c r="AG20" s="255"/>
    </row>
    <row r="21" spans="1:33">
      <c r="H21"/>
      <c r="I21" s="262"/>
      <c r="K21" s="275"/>
      <c r="AA21" s="268"/>
      <c r="AB21" s="276"/>
    </row>
    <row r="22" spans="1:33">
      <c r="H22"/>
      <c r="I22" s="262"/>
      <c r="L22" s="284" t="s">
        <v>876</v>
      </c>
      <c r="M22" s="813" t="s">
        <v>857</v>
      </c>
      <c r="N22" s="814"/>
      <c r="O22" s="814"/>
      <c r="P22" s="815"/>
      <c r="Q22" s="296"/>
      <c r="AA22" s="268"/>
    </row>
    <row r="23" spans="1:33">
      <c r="H23"/>
      <c r="K23" s="275"/>
      <c r="M23" s="810" t="s">
        <v>859</v>
      </c>
      <c r="N23" s="816" t="s">
        <v>860</v>
      </c>
      <c r="O23" s="808" t="s">
        <v>861</v>
      </c>
      <c r="P23" s="808" t="s">
        <v>610</v>
      </c>
      <c r="Q23" s="808" t="s">
        <v>862</v>
      </c>
      <c r="R23" s="810" t="s">
        <v>863</v>
      </c>
      <c r="V23" s="811" t="s">
        <v>864</v>
      </c>
      <c r="W23" s="811" t="s">
        <v>865</v>
      </c>
      <c r="AB23" s="251"/>
      <c r="AE23" s="255"/>
      <c r="AF23" s="251"/>
    </row>
    <row r="24" spans="1:33" ht="15" customHeight="1">
      <c r="K24" s="277"/>
      <c r="L24"/>
      <c r="M24" s="810"/>
      <c r="N24" s="817"/>
      <c r="O24" s="809"/>
      <c r="P24" s="809"/>
      <c r="Q24" s="809"/>
      <c r="R24" s="810"/>
      <c r="U24" s="251"/>
      <c r="V24" s="812"/>
      <c r="W24" s="812"/>
      <c r="X24"/>
      <c r="Y24"/>
      <c r="Z24"/>
      <c r="AB24" s="251"/>
      <c r="AE24" s="255"/>
      <c r="AF24" s="251"/>
    </row>
    <row r="25" spans="1:33">
      <c r="K25" s="275"/>
      <c r="L25" s="56" t="s">
        <v>482</v>
      </c>
      <c r="M25" s="282">
        <f>'[18]Percentiles_All_Bills Jan'!$I$2</f>
        <v>93</v>
      </c>
      <c r="N25" s="261">
        <f>VLOOKUP($N$23,$H$5:$J$5,2,0)</f>
        <v>20</v>
      </c>
      <c r="O25" s="261">
        <f>$I$8*M25</f>
        <v>32.8476</v>
      </c>
      <c r="P25" s="261">
        <f>$I$10*M25</f>
        <v>40.966500000000003</v>
      </c>
      <c r="Q25" s="261">
        <f>M25*$I$9</f>
        <v>-1.4973000000000001</v>
      </c>
      <c r="R25" s="261">
        <f>SUM(N25:Q25)</f>
        <v>92.316800000000001</v>
      </c>
      <c r="S25"/>
      <c r="T25"/>
      <c r="U25"/>
      <c r="V25" s="261">
        <v>0</v>
      </c>
      <c r="W25" s="263">
        <f>ROUND(SUM(R25,V25:V25),2)</f>
        <v>92.32</v>
      </c>
      <c r="X25"/>
      <c r="Y25"/>
      <c r="Z25"/>
      <c r="AA25" s="251"/>
      <c r="AB25" s="251"/>
      <c r="AC25" s="255"/>
      <c r="AF25" s="251"/>
    </row>
    <row r="26" spans="1:33">
      <c r="K26" s="275"/>
      <c r="L26" s="56" t="s">
        <v>866</v>
      </c>
      <c r="M26" s="282">
        <f>'[18]Percentiles_All_Bills Jan'!$J$2</f>
        <v>133</v>
      </c>
      <c r="N26" s="261">
        <f t="shared" ref="N26:N29" si="21">VLOOKUP($N$23,$H$5:$J$5,2,0)</f>
        <v>20</v>
      </c>
      <c r="O26" s="261">
        <f t="shared" ref="O26:O29" si="22">$I$8*M26</f>
        <v>46.9756</v>
      </c>
      <c r="P26" s="261">
        <f t="shared" ref="P26:P29" si="23">$I$10*M26</f>
        <v>58.586500000000001</v>
      </c>
      <c r="Q26" s="261">
        <f t="shared" ref="Q26:Q29" si="24">M26*$I$9</f>
        <v>-2.1412999999999998</v>
      </c>
      <c r="R26" s="261">
        <f t="shared" ref="R26:R29" si="25">SUM(N26:Q26)</f>
        <v>123.4208</v>
      </c>
      <c r="S26"/>
      <c r="T26"/>
      <c r="U26"/>
      <c r="V26" s="261">
        <v>0</v>
      </c>
      <c r="W26" s="263">
        <f>ROUND(SUM(R26,V26:V26),2)</f>
        <v>123.42</v>
      </c>
      <c r="X26"/>
      <c r="Y26"/>
      <c r="Z26"/>
      <c r="AA26" s="251"/>
      <c r="AB26" s="251"/>
      <c r="AC26" s="255"/>
      <c r="AF26" s="251"/>
    </row>
    <row r="27" spans="1:33">
      <c r="L27" s="56" t="s">
        <v>520</v>
      </c>
      <c r="M27" s="282">
        <f>'[18]Percentiles_All_Bills Jan'!$K$2</f>
        <v>180</v>
      </c>
      <c r="N27" s="261">
        <f t="shared" si="21"/>
        <v>20</v>
      </c>
      <c r="O27" s="261">
        <f t="shared" si="22"/>
        <v>63.576000000000001</v>
      </c>
      <c r="P27" s="261">
        <f t="shared" si="23"/>
        <v>79.290000000000006</v>
      </c>
      <c r="Q27" s="261">
        <f t="shared" si="24"/>
        <v>-2.8980000000000001</v>
      </c>
      <c r="R27" s="261">
        <f t="shared" si="25"/>
        <v>159.96799999999999</v>
      </c>
      <c r="S27"/>
      <c r="T27"/>
      <c r="U27"/>
      <c r="V27" s="261">
        <v>0</v>
      </c>
      <c r="W27" s="263">
        <f>ROUND(SUM(R27,V27:V27),2)</f>
        <v>159.97</v>
      </c>
      <c r="X27"/>
      <c r="Y27"/>
      <c r="Z27"/>
      <c r="AA27" s="251"/>
      <c r="AB27" s="251"/>
      <c r="AC27" s="255"/>
      <c r="AF27" s="251"/>
    </row>
    <row r="28" spans="1:33">
      <c r="L28" s="56" t="s">
        <v>868</v>
      </c>
      <c r="M28" s="282">
        <f>'[18]Percentiles_All_Bills Jan'!$L$2</f>
        <v>219</v>
      </c>
      <c r="N28" s="261">
        <f t="shared" si="21"/>
        <v>20</v>
      </c>
      <c r="O28" s="261">
        <f t="shared" si="22"/>
        <v>77.350800000000007</v>
      </c>
      <c r="P28" s="261">
        <f t="shared" si="23"/>
        <v>96.469499999999996</v>
      </c>
      <c r="Q28" s="261">
        <f t="shared" si="24"/>
        <v>-3.5259</v>
      </c>
      <c r="R28" s="261">
        <f t="shared" si="25"/>
        <v>190.2944</v>
      </c>
      <c r="S28"/>
      <c r="T28"/>
      <c r="U28"/>
      <c r="V28" s="261">
        <v>0</v>
      </c>
      <c r="W28" s="263">
        <f>ROUND(SUM(R28,V28:V28),2)</f>
        <v>190.29</v>
      </c>
      <c r="X28"/>
      <c r="Y28"/>
      <c r="Z28"/>
      <c r="AA28" s="251"/>
      <c r="AB28" s="251"/>
      <c r="AC28" s="255"/>
      <c r="AF28" s="251"/>
    </row>
    <row r="29" spans="1:33">
      <c r="L29" s="267" t="s">
        <v>877</v>
      </c>
      <c r="M29" s="282">
        <f>'[18]Percentiles_All_Bills Jan'!$O$2</f>
        <v>100.96323066428796</v>
      </c>
      <c r="N29" s="261">
        <f t="shared" si="21"/>
        <v>20</v>
      </c>
      <c r="O29" s="261">
        <f t="shared" si="22"/>
        <v>35.660213070626511</v>
      </c>
      <c r="P29" s="261">
        <f t="shared" si="23"/>
        <v>44.474303107618844</v>
      </c>
      <c r="Q29" s="261">
        <f t="shared" si="24"/>
        <v>-1.6255080136950362</v>
      </c>
      <c r="R29" s="261">
        <f t="shared" si="25"/>
        <v>98.509008164550309</v>
      </c>
      <c r="S29"/>
      <c r="T29"/>
      <c r="U29"/>
      <c r="V29" s="261">
        <v>0</v>
      </c>
      <c r="W29" s="263">
        <f>ROUND(SUM(R29,V29:V29),2)</f>
        <v>98.51</v>
      </c>
      <c r="X29"/>
      <c r="Y29"/>
      <c r="Z29"/>
      <c r="AA29" s="251"/>
      <c r="AB29" s="251"/>
      <c r="AC29" s="255"/>
      <c r="AF29" s="251"/>
    </row>
    <row r="30" spans="1:33">
      <c r="L30" s="240"/>
      <c r="M30"/>
      <c r="N30"/>
      <c r="O30"/>
      <c r="P30"/>
      <c r="Q30" s="264"/>
      <c r="R30"/>
      <c r="S30"/>
      <c r="T30"/>
      <c r="U30"/>
      <c r="V30"/>
      <c r="W30"/>
      <c r="X30"/>
      <c r="Y30"/>
      <c r="Z30"/>
      <c r="AA30"/>
      <c r="AB30" s="251"/>
      <c r="AD30" s="255"/>
      <c r="AF30" s="251"/>
    </row>
    <row r="31" spans="1:33">
      <c r="L31" s="284" t="s">
        <v>876</v>
      </c>
      <c r="M31" s="813" t="s">
        <v>872</v>
      </c>
      <c r="N31" s="814"/>
      <c r="O31" s="814"/>
      <c r="P31" s="815"/>
      <c r="Q31" s="296"/>
      <c r="S31"/>
      <c r="T31"/>
      <c r="U31"/>
      <c r="V31"/>
      <c r="W31"/>
      <c r="X31"/>
      <c r="Y31"/>
      <c r="Z31"/>
      <c r="AA31"/>
      <c r="AB31" s="251"/>
      <c r="AD31" s="255"/>
      <c r="AF31" s="251"/>
    </row>
    <row r="32" spans="1:33">
      <c r="M32" s="810" t="s">
        <v>859</v>
      </c>
      <c r="N32" s="816" t="s">
        <v>860</v>
      </c>
      <c r="O32" s="808" t="s">
        <v>861</v>
      </c>
      <c r="P32" s="808" t="s">
        <v>610</v>
      </c>
      <c r="Q32" s="808" t="s">
        <v>873</v>
      </c>
      <c r="R32" s="810" t="s">
        <v>863</v>
      </c>
      <c r="S32" s="808" t="s">
        <v>874</v>
      </c>
      <c r="T32" s="808" t="s">
        <v>875</v>
      </c>
      <c r="V32" s="811" t="s">
        <v>864</v>
      </c>
      <c r="W32" s="811" t="s">
        <v>870</v>
      </c>
      <c r="X32" s="811" t="s">
        <v>871</v>
      </c>
      <c r="Y32" s="811" t="s">
        <v>865</v>
      </c>
      <c r="Z32" s="808" t="s">
        <v>874</v>
      </c>
      <c r="AA32" s="808" t="s">
        <v>875</v>
      </c>
      <c r="AB32" s="251"/>
      <c r="AD32" s="255"/>
      <c r="AF32" s="251"/>
    </row>
    <row r="33" spans="12:32">
      <c r="L33"/>
      <c r="M33" s="810"/>
      <c r="N33" s="817"/>
      <c r="O33" s="809"/>
      <c r="P33" s="809"/>
      <c r="Q33" s="809"/>
      <c r="R33" s="810"/>
      <c r="S33" s="809"/>
      <c r="T33" s="809"/>
      <c r="V33" s="812"/>
      <c r="W33" s="812"/>
      <c r="X33" s="812"/>
      <c r="Y33" s="812"/>
      <c r="Z33" s="809"/>
      <c r="AA33" s="809"/>
      <c r="AB33" s="251"/>
      <c r="AD33" s="255"/>
      <c r="AF33" s="251"/>
    </row>
    <row r="34" spans="12:32">
      <c r="L34" s="56" t="s">
        <v>482</v>
      </c>
      <c r="M34" s="282">
        <f>'[18]Percentiles_All_Bills Jan'!$I$2</f>
        <v>93</v>
      </c>
      <c r="N34" s="261">
        <f>VLOOKUP($N$32,$H$5:$J$5,3,0)</f>
        <v>28.32</v>
      </c>
      <c r="O34" s="261">
        <f>$J$8*M34</f>
        <v>29.1462</v>
      </c>
      <c r="P34" s="261">
        <f>$I$10*M34</f>
        <v>40.966500000000003</v>
      </c>
      <c r="Q34" s="261">
        <f>M34*$J$9</f>
        <v>0</v>
      </c>
      <c r="R34" s="261">
        <f>SUM(N34:Q34)</f>
        <v>98.432700000000011</v>
      </c>
      <c r="S34" s="261">
        <f>R34-R25</f>
        <v>6.1159000000000106</v>
      </c>
      <c r="T34" s="272">
        <f>S34/R25</f>
        <v>6.6249046760719729E-2</v>
      </c>
      <c r="U34"/>
      <c r="V34" s="261">
        <f>R34*'UNSG Riders- Current'!$C$4</f>
        <v>0.18544720680000001</v>
      </c>
      <c r="W34" s="261">
        <f>M34*$J$12</f>
        <v>0</v>
      </c>
      <c r="X34" s="261">
        <f>R34*$J$13</f>
        <v>0</v>
      </c>
      <c r="Y34" s="263">
        <f>ROUND(SUM(R34,V34:X34),2)</f>
        <v>98.62</v>
      </c>
      <c r="Z34" s="261">
        <f>Y34-W25</f>
        <v>6.3000000000000114</v>
      </c>
      <c r="AA34" s="272">
        <f>Z34/W25</f>
        <v>6.8240901213171709E-2</v>
      </c>
    </row>
    <row r="35" spans="12:32">
      <c r="L35" s="56" t="s">
        <v>866</v>
      </c>
      <c r="M35" s="282">
        <f>'[18]Percentiles_All_Bills Jan'!$J$2</f>
        <v>133</v>
      </c>
      <c r="N35" s="261">
        <f t="shared" ref="N35:N38" si="26">VLOOKUP($N$32,$H$5:$J$5,3,0)</f>
        <v>28.32</v>
      </c>
      <c r="O35" s="261">
        <f t="shared" ref="O35:O38" si="27">$J$8*M35</f>
        <v>41.682200000000002</v>
      </c>
      <c r="P35" s="261">
        <f t="shared" ref="P35:P38" si="28">$I$10*M35</f>
        <v>58.586500000000001</v>
      </c>
      <c r="Q35" s="261">
        <f t="shared" ref="Q35:Q38" si="29">M35*$J$9</f>
        <v>0</v>
      </c>
      <c r="R35" s="261">
        <f t="shared" ref="R35:R38" si="30">SUM(N35:Q35)</f>
        <v>128.58870000000002</v>
      </c>
      <c r="S35" s="261">
        <f t="shared" ref="S35:S38" si="31">R35-R26</f>
        <v>5.1679000000000173</v>
      </c>
      <c r="T35" s="272">
        <f t="shared" ref="T35:T38" si="32">S35/R26</f>
        <v>4.1872196582747941E-2</v>
      </c>
      <c r="U35"/>
      <c r="V35" s="261">
        <f>R35*'UNSG Riders- Current'!$C$4</f>
        <v>0.24226111080000004</v>
      </c>
      <c r="W35" s="261">
        <f t="shared" ref="W35:W38" si="33">M35*$J$12</f>
        <v>0</v>
      </c>
      <c r="X35" s="261">
        <f t="shared" ref="X35:X38" si="34">R35*$J$13</f>
        <v>0</v>
      </c>
      <c r="Y35" s="263">
        <f t="shared" ref="Y35:Y38" si="35">ROUND(SUM(R35,V35:X35),2)</f>
        <v>128.83000000000001</v>
      </c>
      <c r="Z35" s="261">
        <f>Y35-W26</f>
        <v>5.4100000000000108</v>
      </c>
      <c r="AA35" s="272">
        <f>Z35/W26</f>
        <v>4.3834062550640179E-2</v>
      </c>
    </row>
    <row r="36" spans="12:32" ht="15" customHeight="1">
      <c r="L36" s="56" t="s">
        <v>520</v>
      </c>
      <c r="M36" s="282">
        <f>'[18]Percentiles_All_Bills Jan'!$K$2</f>
        <v>180</v>
      </c>
      <c r="N36" s="261">
        <f t="shared" si="26"/>
        <v>28.32</v>
      </c>
      <c r="O36" s="261">
        <f t="shared" si="27"/>
        <v>56.411999999999999</v>
      </c>
      <c r="P36" s="261">
        <f t="shared" si="28"/>
        <v>79.290000000000006</v>
      </c>
      <c r="Q36" s="261">
        <f t="shared" si="29"/>
        <v>0</v>
      </c>
      <c r="R36" s="261">
        <f t="shared" si="30"/>
        <v>164.02199999999999</v>
      </c>
      <c r="S36" s="261">
        <f t="shared" si="31"/>
        <v>4.054000000000002</v>
      </c>
      <c r="T36" s="272">
        <f t="shared" si="32"/>
        <v>2.5342568513702757E-2</v>
      </c>
      <c r="U36"/>
      <c r="V36" s="261">
        <f>R36*'UNSG Riders- Current'!$C$4</f>
        <v>0.30901744799999997</v>
      </c>
      <c r="W36" s="261">
        <f t="shared" si="33"/>
        <v>0</v>
      </c>
      <c r="X36" s="261">
        <f t="shared" si="34"/>
        <v>0</v>
      </c>
      <c r="Y36" s="263">
        <f t="shared" si="35"/>
        <v>164.33</v>
      </c>
      <c r="Z36" s="261">
        <f>Y36-W27</f>
        <v>4.3600000000000136</v>
      </c>
      <c r="AA36" s="272">
        <f>Z36/W27</f>
        <v>2.7255110333187556E-2</v>
      </c>
    </row>
    <row r="37" spans="12:32">
      <c r="L37" s="56" t="s">
        <v>868</v>
      </c>
      <c r="M37" s="282">
        <f>'[18]Percentiles_All_Bills Jan'!$L$2</f>
        <v>219</v>
      </c>
      <c r="N37" s="261">
        <f t="shared" si="26"/>
        <v>28.32</v>
      </c>
      <c r="O37" s="261">
        <f t="shared" si="27"/>
        <v>68.634600000000006</v>
      </c>
      <c r="P37" s="261">
        <f t="shared" si="28"/>
        <v>96.469499999999996</v>
      </c>
      <c r="Q37" s="261">
        <f t="shared" si="29"/>
        <v>0</v>
      </c>
      <c r="R37" s="261">
        <f t="shared" si="30"/>
        <v>193.42410000000001</v>
      </c>
      <c r="S37" s="261">
        <f t="shared" si="31"/>
        <v>3.1297000000000139</v>
      </c>
      <c r="T37" s="272">
        <f t="shared" si="32"/>
        <v>1.6446621655708281E-2</v>
      </c>
      <c r="U37"/>
      <c r="V37" s="261">
        <f>R37*'UNSG Riders- Current'!$C$4</f>
        <v>0.36441100440000002</v>
      </c>
      <c r="W37" s="261">
        <f t="shared" si="33"/>
        <v>0</v>
      </c>
      <c r="X37" s="261">
        <f t="shared" si="34"/>
        <v>0</v>
      </c>
      <c r="Y37" s="263">
        <f t="shared" si="35"/>
        <v>193.79</v>
      </c>
      <c r="Z37" s="261">
        <f>Y37-W28</f>
        <v>3.5</v>
      </c>
      <c r="AA37" s="272">
        <f>Z37/W28</f>
        <v>1.8392979137106521E-2</v>
      </c>
      <c r="AB37" s="251"/>
      <c r="AD37" s="255"/>
      <c r="AF37" s="251"/>
    </row>
    <row r="38" spans="12:32" ht="15.75" customHeight="1">
      <c r="L38" s="267" t="s">
        <v>877</v>
      </c>
      <c r="M38" s="282">
        <f>'[18]Percentiles_All_Bills Jan'!$O$2</f>
        <v>100.96323066428796</v>
      </c>
      <c r="N38" s="261">
        <f t="shared" si="26"/>
        <v>28.32</v>
      </c>
      <c r="O38" s="261">
        <f t="shared" si="27"/>
        <v>31.641876490187848</v>
      </c>
      <c r="P38" s="261">
        <f t="shared" si="28"/>
        <v>44.474303107618844</v>
      </c>
      <c r="Q38" s="261">
        <f t="shared" si="29"/>
        <v>0</v>
      </c>
      <c r="R38" s="261">
        <f t="shared" si="30"/>
        <v>104.4361795978067</v>
      </c>
      <c r="S38" s="261">
        <f t="shared" si="31"/>
        <v>5.9271714332563903</v>
      </c>
      <c r="T38" s="272">
        <f t="shared" si="32"/>
        <v>6.0168826625028968E-2</v>
      </c>
      <c r="U38"/>
      <c r="V38" s="261">
        <f>R38*'UNSG Riders- Current'!$C$4</f>
        <v>0.19675776236226783</v>
      </c>
      <c r="W38" s="261">
        <f t="shared" si="33"/>
        <v>0</v>
      </c>
      <c r="X38" s="261">
        <f t="shared" si="34"/>
        <v>0</v>
      </c>
      <c r="Y38" s="263">
        <f t="shared" si="35"/>
        <v>104.63</v>
      </c>
      <c r="Z38" s="261">
        <f>Y38-W29</f>
        <v>6.1199999999999903</v>
      </c>
      <c r="AA38" s="272">
        <f>Z38/W29</f>
        <v>6.2125672520556188E-2</v>
      </c>
      <c r="AB38" s="251"/>
      <c r="AD38" s="255"/>
      <c r="AF38" s="251"/>
    </row>
    <row r="39" spans="12:32">
      <c r="L39"/>
      <c r="M39"/>
      <c r="N39"/>
      <c r="O39"/>
      <c r="P39"/>
      <c r="Q39" s="268"/>
      <c r="R39"/>
      <c r="S39"/>
      <c r="T39"/>
      <c r="U39"/>
      <c r="V39"/>
      <c r="W39"/>
      <c r="X39"/>
      <c r="Y39"/>
      <c r="Z39"/>
      <c r="AA39"/>
      <c r="AB39" s="251"/>
      <c r="AD39" s="255"/>
      <c r="AF39" s="251"/>
    </row>
    <row r="40" spans="12:32">
      <c r="L40" s="284" t="s">
        <v>878</v>
      </c>
      <c r="M40" s="813" t="s">
        <v>857</v>
      </c>
      <c r="N40" s="814"/>
      <c r="O40" s="814"/>
      <c r="P40" s="815"/>
      <c r="Q40" s="296"/>
      <c r="S40"/>
      <c r="T40"/>
      <c r="U40"/>
      <c r="V40"/>
      <c r="W40"/>
      <c r="X40"/>
      <c r="Y40"/>
      <c r="Z40"/>
      <c r="AA40"/>
      <c r="AB40" s="251"/>
      <c r="AD40" s="255"/>
      <c r="AF40" s="251"/>
    </row>
    <row r="41" spans="12:32">
      <c r="M41" s="810" t="s">
        <v>859</v>
      </c>
      <c r="N41" s="816" t="s">
        <v>860</v>
      </c>
      <c r="O41" s="808" t="s">
        <v>861</v>
      </c>
      <c r="P41" s="808" t="s">
        <v>610</v>
      </c>
      <c r="Q41" s="808" t="s">
        <v>862</v>
      </c>
      <c r="R41" s="810" t="s">
        <v>863</v>
      </c>
      <c r="S41"/>
      <c r="T41"/>
      <c r="V41" s="811" t="s">
        <v>864</v>
      </c>
      <c r="W41" s="811" t="s">
        <v>870</v>
      </c>
      <c r="X41" s="811" t="s">
        <v>865</v>
      </c>
      <c r="Y41"/>
      <c r="Z41"/>
      <c r="AA41" s="251"/>
      <c r="AB41" s="251"/>
      <c r="AD41" s="255"/>
      <c r="AF41" s="251"/>
    </row>
    <row r="42" spans="12:32">
      <c r="L42"/>
      <c r="M42" s="810"/>
      <c r="N42" s="817"/>
      <c r="O42" s="809"/>
      <c r="P42" s="809"/>
      <c r="Q42" s="809"/>
      <c r="R42" s="810"/>
      <c r="S42"/>
      <c r="T42"/>
      <c r="V42" s="812"/>
      <c r="W42" s="812"/>
      <c r="X42" s="812"/>
      <c r="Y42"/>
      <c r="Z42"/>
      <c r="AA42" s="251"/>
      <c r="AB42" s="251"/>
      <c r="AD42" s="255"/>
      <c r="AF42" s="251"/>
    </row>
    <row r="43" spans="12:32">
      <c r="L43" s="56" t="s">
        <v>482</v>
      </c>
      <c r="M43" s="282">
        <f>'[18]Percentiles_All_Bills July'!$I$2</f>
        <v>11</v>
      </c>
      <c r="N43" s="261">
        <f>VLOOKUP($N$23,$H$5:$J$5,2,0)</f>
        <v>20</v>
      </c>
      <c r="O43" s="261">
        <f>$I$8*M43</f>
        <v>3.8852000000000002</v>
      </c>
      <c r="P43" s="261">
        <f>$I$10*M43</f>
        <v>4.8455000000000004</v>
      </c>
      <c r="Q43" s="261">
        <f>M43*$I$9</f>
        <v>-0.17710000000000001</v>
      </c>
      <c r="R43" s="261">
        <f>SUM(N43:Q43)</f>
        <v>28.553600000000003</v>
      </c>
      <c r="S43"/>
      <c r="T43"/>
      <c r="U43"/>
      <c r="V43" s="261">
        <v>0</v>
      </c>
      <c r="W43" s="261">
        <v>0</v>
      </c>
      <c r="X43" s="263">
        <f>ROUND(SUM(R43,V43:W43),2)</f>
        <v>28.55</v>
      </c>
      <c r="Y43"/>
      <c r="Z43"/>
      <c r="AA43" s="251"/>
      <c r="AB43" s="251"/>
      <c r="AD43" s="255"/>
      <c r="AF43" s="251"/>
    </row>
    <row r="44" spans="12:32">
      <c r="L44" s="56" t="s">
        <v>866</v>
      </c>
      <c r="M44" s="282">
        <f>'[18]Percentiles_All_Bills July'!$J$2</f>
        <v>18</v>
      </c>
      <c r="N44" s="261">
        <f t="shared" ref="N44:N47" si="36">VLOOKUP($N$23,$H$5:$J$5,2,0)</f>
        <v>20</v>
      </c>
      <c r="O44" s="261">
        <f t="shared" ref="O44:O47" si="37">$I$8*M44</f>
        <v>6.3576000000000006</v>
      </c>
      <c r="P44" s="261">
        <f t="shared" ref="P44:P47" si="38">$I$10*M44</f>
        <v>7.9290000000000003</v>
      </c>
      <c r="Q44" s="261">
        <f t="shared" ref="Q44:Q47" si="39">M44*$I$9</f>
        <v>-0.2898</v>
      </c>
      <c r="R44" s="261">
        <f t="shared" ref="R44:R47" si="40">SUM(N44:Q44)</f>
        <v>33.9968</v>
      </c>
      <c r="S44"/>
      <c r="T44"/>
      <c r="U44"/>
      <c r="V44" s="261">
        <v>0</v>
      </c>
      <c r="W44" s="261">
        <v>0</v>
      </c>
      <c r="X44" s="263">
        <f>ROUND(SUM(R44,V44:W44),2)</f>
        <v>34</v>
      </c>
      <c r="Y44"/>
      <c r="Z44"/>
      <c r="AA44" s="251"/>
      <c r="AB44" s="251"/>
      <c r="AD44" s="255"/>
      <c r="AF44" s="251"/>
    </row>
    <row r="45" spans="12:32">
      <c r="L45" s="56" t="s">
        <v>520</v>
      </c>
      <c r="M45" s="282">
        <f>'[18]Percentiles_All_Bills July'!$K$2</f>
        <v>28</v>
      </c>
      <c r="N45" s="261">
        <f t="shared" si="36"/>
        <v>20</v>
      </c>
      <c r="O45" s="261">
        <f t="shared" si="37"/>
        <v>9.8895999999999997</v>
      </c>
      <c r="P45" s="261">
        <f t="shared" si="38"/>
        <v>12.334</v>
      </c>
      <c r="Q45" s="261">
        <f t="shared" si="39"/>
        <v>-0.45079999999999998</v>
      </c>
      <c r="R45" s="261">
        <f t="shared" si="40"/>
        <v>41.772800000000004</v>
      </c>
      <c r="S45"/>
      <c r="T45"/>
      <c r="U45"/>
      <c r="V45" s="261">
        <v>0</v>
      </c>
      <c r="W45" s="261">
        <v>0</v>
      </c>
      <c r="X45" s="263">
        <f>ROUND(SUM(R45,V45:W45),2)</f>
        <v>41.77</v>
      </c>
      <c r="Y45"/>
      <c r="Z45"/>
      <c r="AB45" s="251"/>
      <c r="AD45" s="255"/>
      <c r="AF45" s="251"/>
    </row>
    <row r="46" spans="12:32">
      <c r="L46" s="56" t="s">
        <v>868</v>
      </c>
      <c r="M46" s="282">
        <f>'[18]Percentiles_All_Bills July'!$L$2</f>
        <v>35</v>
      </c>
      <c r="N46" s="261">
        <f t="shared" si="36"/>
        <v>20</v>
      </c>
      <c r="O46" s="261">
        <f t="shared" si="37"/>
        <v>12.362</v>
      </c>
      <c r="P46" s="261">
        <f t="shared" si="38"/>
        <v>15.4175</v>
      </c>
      <c r="Q46" s="261">
        <f t="shared" si="39"/>
        <v>-0.5635</v>
      </c>
      <c r="R46" s="261">
        <f t="shared" si="40"/>
        <v>47.216000000000001</v>
      </c>
      <c r="S46"/>
      <c r="T46"/>
      <c r="U46"/>
      <c r="V46" s="261">
        <v>0</v>
      </c>
      <c r="W46" s="261">
        <v>0</v>
      </c>
      <c r="X46" s="263">
        <f>ROUND(SUM(R46,V46:W46),2)</f>
        <v>47.22</v>
      </c>
      <c r="Y46"/>
      <c r="Z46"/>
    </row>
    <row r="47" spans="12:32">
      <c r="L47" s="267" t="s">
        <v>877</v>
      </c>
      <c r="M47" s="282">
        <f>'[18]Percentiles_All_Bills July'!$O$2</f>
        <v>13.825403488152455</v>
      </c>
      <c r="N47" s="261">
        <f t="shared" si="36"/>
        <v>20</v>
      </c>
      <c r="O47" s="261">
        <f t="shared" si="37"/>
        <v>4.8831325120154476</v>
      </c>
      <c r="P47" s="261">
        <f t="shared" si="38"/>
        <v>6.0900902365311564</v>
      </c>
      <c r="Q47" s="261">
        <f t="shared" si="39"/>
        <v>-0.22258899615925451</v>
      </c>
      <c r="R47" s="261">
        <f t="shared" si="40"/>
        <v>30.750633752387351</v>
      </c>
      <c r="S47"/>
      <c r="T47"/>
      <c r="U47"/>
      <c r="V47" s="261">
        <v>0</v>
      </c>
      <c r="W47" s="261">
        <v>0</v>
      </c>
      <c r="X47" s="263">
        <f>ROUND(SUM(R47,V47:W47),2)</f>
        <v>30.75</v>
      </c>
      <c r="Y47"/>
      <c r="Z47"/>
    </row>
    <row r="48" spans="12:32">
      <c r="L48"/>
      <c r="M48"/>
      <c r="N48"/>
      <c r="O48"/>
      <c r="P48"/>
      <c r="Q48" s="264"/>
      <c r="R48"/>
      <c r="S48"/>
      <c r="T48"/>
      <c r="U48"/>
      <c r="V48"/>
      <c r="W48"/>
      <c r="X48"/>
      <c r="Y48"/>
      <c r="Z48"/>
      <c r="AA48"/>
    </row>
    <row r="49" spans="11:32" ht="15" customHeight="1">
      <c r="L49" s="284" t="s">
        <v>878</v>
      </c>
      <c r="M49" s="813" t="s">
        <v>872</v>
      </c>
      <c r="N49" s="814"/>
      <c r="O49" s="814"/>
      <c r="P49" s="815"/>
      <c r="Q49" s="296"/>
      <c r="S49"/>
      <c r="T49"/>
      <c r="U49"/>
      <c r="V49"/>
      <c r="W49"/>
      <c r="X49"/>
      <c r="Y49"/>
      <c r="Z49"/>
      <c r="AA49"/>
      <c r="AB49" s="251"/>
      <c r="AD49" s="255"/>
      <c r="AF49" s="251"/>
    </row>
    <row r="50" spans="11:32" ht="23.25" customHeight="1">
      <c r="M50" s="810" t="s">
        <v>859</v>
      </c>
      <c r="N50" s="816" t="s">
        <v>860</v>
      </c>
      <c r="O50" s="808" t="s">
        <v>861</v>
      </c>
      <c r="P50" s="808" t="s">
        <v>610</v>
      </c>
      <c r="Q50" s="808" t="s">
        <v>873</v>
      </c>
      <c r="R50" s="810" t="s">
        <v>863</v>
      </c>
      <c r="S50" s="808" t="s">
        <v>874</v>
      </c>
      <c r="T50" s="808" t="s">
        <v>875</v>
      </c>
      <c r="V50" s="811" t="s">
        <v>864</v>
      </c>
      <c r="W50" s="811" t="s">
        <v>870</v>
      </c>
      <c r="X50" s="811" t="s">
        <v>871</v>
      </c>
      <c r="Y50" s="811" t="s">
        <v>865</v>
      </c>
      <c r="Z50" s="808" t="s">
        <v>874</v>
      </c>
      <c r="AA50" s="808" t="s">
        <v>875</v>
      </c>
      <c r="AB50" s="251"/>
      <c r="AD50" s="255"/>
      <c r="AF50" s="251"/>
    </row>
    <row r="51" spans="11:32">
      <c r="L51"/>
      <c r="M51" s="810"/>
      <c r="N51" s="817"/>
      <c r="O51" s="809"/>
      <c r="P51" s="809"/>
      <c r="Q51" s="809"/>
      <c r="R51" s="810"/>
      <c r="S51" s="809"/>
      <c r="T51" s="809"/>
      <c r="V51" s="812"/>
      <c r="W51" s="812"/>
      <c r="X51" s="812"/>
      <c r="Y51" s="812"/>
      <c r="Z51" s="809"/>
      <c r="AA51" s="809"/>
      <c r="AB51" s="251"/>
      <c r="AD51" s="255"/>
      <c r="AF51" s="251"/>
    </row>
    <row r="52" spans="11:32">
      <c r="K52" s="278"/>
      <c r="L52" s="56" t="s">
        <v>482</v>
      </c>
      <c r="M52" s="282">
        <f>'[18]Percentiles_All_Bills July'!$I$2</f>
        <v>11</v>
      </c>
      <c r="N52" s="261">
        <f>VLOOKUP($N$32,$H$5:$J$5,3,0)</f>
        <v>28.32</v>
      </c>
      <c r="O52" s="261">
        <f>$J$8*M52</f>
        <v>3.4474</v>
      </c>
      <c r="P52" s="261">
        <f>$I$10*M52</f>
        <v>4.8455000000000004</v>
      </c>
      <c r="Q52" s="261">
        <f>M52*$J$9</f>
        <v>0</v>
      </c>
      <c r="R52" s="261">
        <f>SUM(N52:Q52)</f>
        <v>36.612900000000003</v>
      </c>
      <c r="S52" s="261">
        <f>R52-R43</f>
        <v>8.0593000000000004</v>
      </c>
      <c r="T52" s="272">
        <f>S52/R43</f>
        <v>0.28225162501400874</v>
      </c>
      <c r="U52"/>
      <c r="V52" s="261">
        <f>R52*'UNSG Riders- Current'!$C$4</f>
        <v>6.897870360000001E-2</v>
      </c>
      <c r="W52" s="261">
        <f>M52*$J$12</f>
        <v>0</v>
      </c>
      <c r="X52" s="261">
        <f>R52*$J$13</f>
        <v>0</v>
      </c>
      <c r="Y52" s="263">
        <f>ROUND(SUM(R52,V52:X52),2)</f>
        <v>36.68</v>
      </c>
      <c r="Z52" s="261">
        <f>Y52-X43</f>
        <v>8.129999999999999</v>
      </c>
      <c r="AA52" s="272">
        <f>Z52/X43</f>
        <v>0.28476357267950958</v>
      </c>
      <c r="AB52" s="251"/>
      <c r="AD52" s="255"/>
      <c r="AF52" s="251"/>
    </row>
    <row r="53" spans="11:32">
      <c r="L53" s="56" t="s">
        <v>866</v>
      </c>
      <c r="M53" s="282">
        <f>'[18]Percentiles_All_Bills July'!$J$2</f>
        <v>18</v>
      </c>
      <c r="N53" s="261">
        <f t="shared" ref="N53:N56" si="41">VLOOKUP($N$32,$H$5:$J$5,3,0)</f>
        <v>28.32</v>
      </c>
      <c r="O53" s="261">
        <f t="shared" ref="O53:O56" si="42">$J$8*M53</f>
        <v>5.6412000000000004</v>
      </c>
      <c r="P53" s="261">
        <f t="shared" ref="P53:P56" si="43">$I$10*M53</f>
        <v>7.9290000000000003</v>
      </c>
      <c r="Q53" s="261">
        <f t="shared" ref="Q53:Q56" si="44">M53*$J$9</f>
        <v>0</v>
      </c>
      <c r="R53" s="261">
        <f t="shared" ref="R53:R56" si="45">SUM(N53:Q53)</f>
        <v>41.8902</v>
      </c>
      <c r="S53" s="261">
        <f t="shared" ref="S53:S56" si="46">R53-R44</f>
        <v>7.8933999999999997</v>
      </c>
      <c r="T53" s="272">
        <f t="shared" ref="T53:T56" si="47">S53/R44</f>
        <v>0.23218067582831325</v>
      </c>
      <c r="U53"/>
      <c r="V53" s="261">
        <f>R53*'UNSG Riders- Current'!$C$4</f>
        <v>7.89211368E-2</v>
      </c>
      <c r="W53" s="261">
        <f t="shared" ref="W53:W56" si="48">M53*$J$12</f>
        <v>0</v>
      </c>
      <c r="X53" s="261">
        <f t="shared" ref="X53:X56" si="49">R53*$J$13</f>
        <v>0</v>
      </c>
      <c r="Y53" s="263">
        <f t="shared" ref="Y53:Y56" si="50">ROUND(SUM(R53,V53:X53),2)</f>
        <v>41.97</v>
      </c>
      <c r="Z53" s="261">
        <f>Y53-X44</f>
        <v>7.9699999999999989</v>
      </c>
      <c r="AA53" s="272">
        <f>Z53/X44</f>
        <v>0.23441176470588232</v>
      </c>
      <c r="AB53" s="251"/>
      <c r="AD53" s="255"/>
      <c r="AF53" s="251"/>
    </row>
    <row r="54" spans="11:32">
      <c r="L54" s="56" t="s">
        <v>520</v>
      </c>
      <c r="M54" s="282">
        <f>'[18]Percentiles_All_Bills July'!$K$2</f>
        <v>28</v>
      </c>
      <c r="N54" s="261">
        <f t="shared" si="41"/>
        <v>28.32</v>
      </c>
      <c r="O54" s="261">
        <f t="shared" si="42"/>
        <v>8.7751999999999999</v>
      </c>
      <c r="P54" s="261">
        <f t="shared" si="43"/>
        <v>12.334</v>
      </c>
      <c r="Q54" s="261">
        <f t="shared" si="44"/>
        <v>0</v>
      </c>
      <c r="R54" s="261">
        <f t="shared" si="45"/>
        <v>49.429199999999994</v>
      </c>
      <c r="S54" s="261">
        <f t="shared" si="46"/>
        <v>7.6563999999999908</v>
      </c>
      <c r="T54" s="272">
        <f t="shared" si="47"/>
        <v>0.18328673203615725</v>
      </c>
      <c r="U54"/>
      <c r="V54" s="261">
        <f>R54*'UNSG Riders- Current'!$C$4</f>
        <v>9.3124612799999992E-2</v>
      </c>
      <c r="W54" s="261">
        <f t="shared" si="48"/>
        <v>0</v>
      </c>
      <c r="X54" s="261">
        <f t="shared" si="49"/>
        <v>0</v>
      </c>
      <c r="Y54" s="263">
        <f t="shared" si="50"/>
        <v>49.52</v>
      </c>
      <c r="Z54" s="261">
        <f>Y54-X45</f>
        <v>7.75</v>
      </c>
      <c r="AA54" s="272">
        <f>Z54/X45</f>
        <v>0.18553986114436197</v>
      </c>
      <c r="AB54" s="251"/>
      <c r="AD54" s="255"/>
      <c r="AF54" s="251"/>
    </row>
    <row r="55" spans="11:32">
      <c r="L55" s="56" t="s">
        <v>868</v>
      </c>
      <c r="M55" s="282">
        <f>'[18]Percentiles_All_Bills July'!$L$2</f>
        <v>35</v>
      </c>
      <c r="N55" s="261">
        <f t="shared" si="41"/>
        <v>28.32</v>
      </c>
      <c r="O55" s="261">
        <f t="shared" si="42"/>
        <v>10.969000000000001</v>
      </c>
      <c r="P55" s="261">
        <f t="shared" si="43"/>
        <v>15.4175</v>
      </c>
      <c r="Q55" s="261">
        <f t="shared" si="44"/>
        <v>0</v>
      </c>
      <c r="R55" s="261">
        <f t="shared" si="45"/>
        <v>54.706500000000005</v>
      </c>
      <c r="S55" s="261">
        <f t="shared" si="46"/>
        <v>7.4905000000000044</v>
      </c>
      <c r="T55" s="272">
        <f t="shared" si="47"/>
        <v>0.15864325652321257</v>
      </c>
      <c r="U55"/>
      <c r="V55" s="261">
        <f>R55*'UNSG Riders- Current'!$C$4</f>
        <v>0.10306704600000001</v>
      </c>
      <c r="W55" s="261">
        <f t="shared" si="48"/>
        <v>0</v>
      </c>
      <c r="X55" s="261">
        <f t="shared" si="49"/>
        <v>0</v>
      </c>
      <c r="Y55" s="263">
        <f t="shared" si="50"/>
        <v>54.81</v>
      </c>
      <c r="Z55" s="261">
        <f>Y55-X46</f>
        <v>7.5900000000000034</v>
      </c>
      <c r="AA55" s="272">
        <f>Z55/X46</f>
        <v>0.16073697585768751</v>
      </c>
      <c r="AB55" s="251"/>
      <c r="AD55" s="255"/>
      <c r="AF55" s="251"/>
    </row>
    <row r="56" spans="11:32">
      <c r="L56" s="267" t="s">
        <v>877</v>
      </c>
      <c r="M56" s="282">
        <f>'[18]Percentiles_All_Bills July'!$O$2</f>
        <v>13.825403488152455</v>
      </c>
      <c r="N56" s="261">
        <f t="shared" si="41"/>
        <v>28.32</v>
      </c>
      <c r="O56" s="261">
        <f t="shared" si="42"/>
        <v>4.3328814531869799</v>
      </c>
      <c r="P56" s="261">
        <f t="shared" si="43"/>
        <v>6.0900902365311564</v>
      </c>
      <c r="Q56" s="261">
        <f t="shared" si="44"/>
        <v>0</v>
      </c>
      <c r="R56" s="261">
        <f t="shared" si="45"/>
        <v>38.742971689718132</v>
      </c>
      <c r="S56" s="261">
        <f t="shared" si="46"/>
        <v>7.992337937330781</v>
      </c>
      <c r="T56" s="272">
        <f t="shared" si="47"/>
        <v>0.25990807219413126</v>
      </c>
      <c r="U56"/>
      <c r="V56" s="261">
        <f>R56*'UNSG Riders- Current'!$C$4</f>
        <v>7.2991758663428968E-2</v>
      </c>
      <c r="W56" s="261">
        <f t="shared" si="48"/>
        <v>0</v>
      </c>
      <c r="X56" s="261">
        <f t="shared" si="49"/>
        <v>0</v>
      </c>
      <c r="Y56" s="263">
        <f t="shared" si="50"/>
        <v>38.82</v>
      </c>
      <c r="Z56" s="261">
        <f>Y56-X47</f>
        <v>8.07</v>
      </c>
      <c r="AA56" s="272">
        <f>Z56/X47</f>
        <v>0.26243902439024391</v>
      </c>
      <c r="AB56" s="251"/>
      <c r="AD56" s="255"/>
      <c r="AF56" s="251"/>
    </row>
    <row r="57" spans="11:32"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 s="251"/>
      <c r="AD57" s="255"/>
      <c r="AF57" s="251"/>
    </row>
    <row r="58" spans="11:32"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 s="251"/>
      <c r="AD58" s="255"/>
      <c r="AF58" s="251"/>
    </row>
    <row r="59" spans="11:32"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1:32"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1:32" ht="15" customHeight="1"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 s="251"/>
      <c r="AD61" s="255"/>
      <c r="AF61" s="251"/>
    </row>
    <row r="62" spans="11:32" ht="21.75" customHeight="1"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 s="251"/>
      <c r="AD62" s="255"/>
      <c r="AF62" s="251"/>
    </row>
    <row r="63" spans="11:32"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 s="251"/>
      <c r="AD63" s="255"/>
      <c r="AF63" s="251"/>
    </row>
    <row r="64" spans="11:32"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 s="251"/>
      <c r="AD64" s="255"/>
      <c r="AF64" s="251"/>
    </row>
    <row r="65" spans="12:32"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 s="251"/>
      <c r="AD65" s="255"/>
      <c r="AF65" s="251"/>
    </row>
    <row r="66" spans="12:32"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 s="251"/>
      <c r="AD66" s="255"/>
      <c r="AF66" s="251"/>
    </row>
    <row r="67" spans="12:32"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 s="251"/>
      <c r="AD67" s="255"/>
      <c r="AF67" s="251"/>
    </row>
    <row r="68" spans="12:32"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 s="251"/>
      <c r="AD68" s="255"/>
      <c r="AF68" s="251"/>
    </row>
    <row r="69" spans="12:32"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 s="251"/>
      <c r="AD69" s="255"/>
      <c r="AF69" s="251"/>
    </row>
    <row r="70" spans="12:32"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 s="251"/>
      <c r="AD70" s="255"/>
      <c r="AF70" s="251"/>
    </row>
  </sheetData>
  <mergeCells count="74">
    <mergeCell ref="AA32:AA33"/>
    <mergeCell ref="Y32:Y33"/>
    <mergeCell ref="Z32:Z33"/>
    <mergeCell ref="Z50:Z51"/>
    <mergeCell ref="AA50:AA51"/>
    <mergeCell ref="AA14:AA15"/>
    <mergeCell ref="X14:X15"/>
    <mergeCell ref="Y14:Y15"/>
    <mergeCell ref="Z14:Z15"/>
    <mergeCell ref="V23:V24"/>
    <mergeCell ref="W23:W24"/>
    <mergeCell ref="V4:V5"/>
    <mergeCell ref="W4:W5"/>
    <mergeCell ref="M13:P13"/>
    <mergeCell ref="M14:M15"/>
    <mergeCell ref="N14:N15"/>
    <mergeCell ref="O14:O15"/>
    <mergeCell ref="P14:P15"/>
    <mergeCell ref="R14:R15"/>
    <mergeCell ref="S14:S15"/>
    <mergeCell ref="T14:T15"/>
    <mergeCell ref="V14:V15"/>
    <mergeCell ref="W14:W15"/>
    <mergeCell ref="Q14:Q15"/>
    <mergeCell ref="L1:T1"/>
    <mergeCell ref="M3:P3"/>
    <mergeCell ref="M4:M5"/>
    <mergeCell ref="N4:N5"/>
    <mergeCell ref="O4:O5"/>
    <mergeCell ref="P4:P5"/>
    <mergeCell ref="R4:R5"/>
    <mergeCell ref="Q4:Q5"/>
    <mergeCell ref="R23:R24"/>
    <mergeCell ref="M31:P31"/>
    <mergeCell ref="M22:P22"/>
    <mergeCell ref="M23:M24"/>
    <mergeCell ref="N23:N24"/>
    <mergeCell ref="O23:O24"/>
    <mergeCell ref="P23:P24"/>
    <mergeCell ref="Q23:Q24"/>
    <mergeCell ref="W41:W42"/>
    <mergeCell ref="X41:X42"/>
    <mergeCell ref="V32:V33"/>
    <mergeCell ref="W32:W33"/>
    <mergeCell ref="X32:X33"/>
    <mergeCell ref="M32:M33"/>
    <mergeCell ref="M49:P49"/>
    <mergeCell ref="M50:M51"/>
    <mergeCell ref="N50:N51"/>
    <mergeCell ref="O50:O51"/>
    <mergeCell ref="P50:P51"/>
    <mergeCell ref="M40:P40"/>
    <mergeCell ref="M41:M42"/>
    <mergeCell ref="N41:N42"/>
    <mergeCell ref="O41:O42"/>
    <mergeCell ref="P41:P42"/>
    <mergeCell ref="N32:N33"/>
    <mergeCell ref="O32:O33"/>
    <mergeCell ref="P32:P33"/>
    <mergeCell ref="W50:W51"/>
    <mergeCell ref="X50:X51"/>
    <mergeCell ref="Y50:Y51"/>
    <mergeCell ref="S50:S51"/>
    <mergeCell ref="T50:T51"/>
    <mergeCell ref="Q32:Q33"/>
    <mergeCell ref="Q41:Q42"/>
    <mergeCell ref="Q50:Q51"/>
    <mergeCell ref="R50:R51"/>
    <mergeCell ref="V50:V51"/>
    <mergeCell ref="R41:R42"/>
    <mergeCell ref="V41:V42"/>
    <mergeCell ref="R32:R33"/>
    <mergeCell ref="S32:S33"/>
    <mergeCell ref="T32:T33"/>
  </mergeCells>
  <conditionalFormatting sqref="J12">
    <cfRule type="containsBlanks" dxfId="120" priority="1">
      <formula>LEN(TRIM(J12))=0</formula>
    </cfRule>
  </conditionalFormatting>
  <printOptions horizontalCentered="1"/>
  <pageMargins left="0.45" right="0.45" top="1.25" bottom="0.75" header="0.5" footer="0.3"/>
  <pageSetup scale="93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1" max="26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78CD-20FF-4187-A4BE-D5221CA86BCD}">
  <sheetPr codeName="Sheet32">
    <tabColor theme="2" tint="-0.249977111117893"/>
    <pageSetUpPr fitToPage="1"/>
  </sheetPr>
  <dimension ref="A1:AG70"/>
  <sheetViews>
    <sheetView zoomScale="90" zoomScaleNormal="90" zoomScaleSheetLayoutView="70" workbookViewId="0">
      <selection activeCell="B6" sqref="B6"/>
    </sheetView>
  </sheetViews>
  <sheetFormatPr defaultColWidth="9.28515625" defaultRowHeight="15"/>
  <cols>
    <col min="1" max="4" width="9.28515625" style="251" customWidth="1"/>
    <col min="5" max="5" width="12.5703125" style="251" customWidth="1"/>
    <col min="6" max="6" width="14.42578125" style="251" customWidth="1"/>
    <col min="7" max="7" width="20.28515625" style="251" customWidth="1"/>
    <col min="8" max="8" width="22.42578125" style="57" customWidth="1"/>
    <col min="9" max="10" width="9.7109375" style="57" bestFit="1" customWidth="1"/>
    <col min="11" max="11" width="3.42578125" style="57" customWidth="1"/>
    <col min="12" max="12" width="9.7109375" style="57" bestFit="1" customWidth="1"/>
    <col min="13" max="18" width="10.28515625" style="57" customWidth="1"/>
    <col min="19" max="19" width="8.28515625" style="57" bestFit="1" customWidth="1"/>
    <col min="20" max="20" width="8.7109375" style="57" bestFit="1" customWidth="1"/>
    <col min="21" max="21" width="7.5703125" style="57" customWidth="1"/>
    <col min="22" max="22" width="7" style="57" bestFit="1" customWidth="1"/>
    <col min="23" max="25" width="7.5703125" style="57" customWidth="1"/>
    <col min="26" max="26" width="6.85546875" style="57" bestFit="1" customWidth="1"/>
    <col min="27" max="27" width="7.28515625" style="57" bestFit="1" customWidth="1"/>
    <col min="28" max="28" width="7.5703125" style="57" customWidth="1"/>
    <col min="29" max="31" width="9.28515625" style="251"/>
    <col min="32" max="32" width="9.28515625" style="255"/>
    <col min="33" max="16384" width="9.28515625" style="251"/>
  </cols>
  <sheetData>
    <row r="1" spans="1:33">
      <c r="H1" s="57" t="s">
        <v>854</v>
      </c>
      <c r="I1" s="240" t="s">
        <v>777</v>
      </c>
      <c r="J1" s="56" t="s">
        <v>539</v>
      </c>
      <c r="L1" s="818" t="s">
        <v>892</v>
      </c>
      <c r="M1" s="818"/>
      <c r="N1" s="818"/>
      <c r="O1" s="818"/>
      <c r="P1" s="818"/>
      <c r="Q1" s="818"/>
      <c r="R1" s="818"/>
      <c r="S1" s="818"/>
      <c r="T1" s="818"/>
      <c r="U1" s="253"/>
      <c r="V1" s="254"/>
    </row>
    <row r="2" spans="1:33">
      <c r="M2" s="256" t="s">
        <v>856</v>
      </c>
    </row>
    <row r="3" spans="1:33" ht="15" customHeight="1">
      <c r="J3" s="100"/>
      <c r="M3" s="813" t="s">
        <v>857</v>
      </c>
      <c r="N3" s="814"/>
      <c r="O3" s="814"/>
      <c r="P3" s="815"/>
      <c r="Q3" s="296"/>
      <c r="U3" s="251"/>
      <c r="AA3" s="251"/>
      <c r="AB3" s="251"/>
      <c r="AD3" s="255"/>
      <c r="AF3" s="251"/>
    </row>
    <row r="4" spans="1:33" ht="21.75" customHeight="1">
      <c r="A4" s="251" t="s">
        <v>598</v>
      </c>
      <c r="B4" s="251" t="s">
        <v>599</v>
      </c>
      <c r="C4" s="251" t="s">
        <v>587</v>
      </c>
      <c r="D4" s="251" t="s">
        <v>880</v>
      </c>
      <c r="E4" s="251" t="s">
        <v>600</v>
      </c>
      <c r="F4" s="251" t="s">
        <v>601</v>
      </c>
      <c r="G4" s="251" t="s">
        <v>858</v>
      </c>
      <c r="I4" s="257" t="s">
        <v>828</v>
      </c>
      <c r="J4" s="257" t="s">
        <v>551</v>
      </c>
      <c r="M4" s="810" t="s">
        <v>859</v>
      </c>
      <c r="N4" s="816" t="s">
        <v>860</v>
      </c>
      <c r="O4" s="808" t="s">
        <v>861</v>
      </c>
      <c r="P4" s="808" t="s">
        <v>610</v>
      </c>
      <c r="Q4" s="808" t="s">
        <v>862</v>
      </c>
      <c r="R4" s="810" t="s">
        <v>863</v>
      </c>
      <c r="V4" s="811" t="s">
        <v>864</v>
      </c>
      <c r="W4" s="811" t="s">
        <v>865</v>
      </c>
      <c r="AB4" s="251"/>
      <c r="AE4" s="255"/>
      <c r="AF4" s="251"/>
    </row>
    <row r="5" spans="1:33">
      <c r="A5" s="100">
        <v>41030</v>
      </c>
      <c r="B5" s="100">
        <v>46082</v>
      </c>
      <c r="C5" s="251" t="str">
        <f>J1</f>
        <v>GPCNGSV</v>
      </c>
      <c r="D5" s="251" t="s">
        <v>521</v>
      </c>
      <c r="E5" s="100" t="str">
        <f t="shared" ref="E5:E11" si="0">IF(C5="","",A5&amp;$C5)</f>
        <v>41030GPCNGSV</v>
      </c>
      <c r="F5" s="100" t="str">
        <f>IF(D5="","",B5&amp;$D5)</f>
        <v>46082GGSVS</v>
      </c>
      <c r="G5" s="251" t="str">
        <f>IFERROR(IF(VLOOKUP(H5,Lookup!$A$1:$B$200,2,0)="","",VLOOKUP(H5,Lookup!$A$1:$B$200,2,0)),"")</f>
        <v>BASIC_SERVICE_CHARGE</v>
      </c>
      <c r="H5" s="258" t="s">
        <v>607</v>
      </c>
      <c r="I5" s="259">
        <f>VLOOKUP(E5,'UNSG - ALL RATES'!$A$1:$DF$43,MATCH($G5,'UNSG - ALL RATES'!$A$2:$DF$2,0),0)</f>
        <v>20</v>
      </c>
      <c r="J5" s="259">
        <f>VLOOKUP(F5,'UNSG - ALL RATES'!$A$1:$DF$43,MATCH($G5,'UNSG - ALL RATES'!$A$2:$DF$2,0),0)</f>
        <v>28.32</v>
      </c>
      <c r="K5" s="259"/>
      <c r="M5" s="810"/>
      <c r="N5" s="817"/>
      <c r="O5" s="809"/>
      <c r="P5" s="809"/>
      <c r="Q5" s="809"/>
      <c r="R5" s="810"/>
      <c r="U5" s="251"/>
      <c r="V5" s="812"/>
      <c r="W5" s="812"/>
      <c r="AA5" s="251"/>
      <c r="AB5" s="251"/>
      <c r="AD5" s="255"/>
      <c r="AF5" s="251"/>
    </row>
    <row r="6" spans="1:33">
      <c r="A6" s="100">
        <v>41030</v>
      </c>
      <c r="B6" s="100">
        <f>$B$5</f>
        <v>46082</v>
      </c>
      <c r="C6" s="251" t="str">
        <f>C5</f>
        <v>GPCNGSV</v>
      </c>
      <c r="D6" s="251" t="s">
        <v>521</v>
      </c>
      <c r="E6" s="100" t="str">
        <f t="shared" si="0"/>
        <v>41030GPCNGSV</v>
      </c>
      <c r="F6" s="100" t="str">
        <f t="shared" ref="F6:F11" si="1">IF(D6="","",B6&amp;$D6)</f>
        <v>46082GGSVS</v>
      </c>
      <c r="G6" s="251" t="str">
        <f>IFERROR(IF(VLOOKUP(H6,Lookup!$A$1:$B$200,2,0)="","",VLOOKUP(H6,Lookup!$A$1:$B$200,2,0)),"")</f>
        <v/>
      </c>
      <c r="H6" s="258"/>
      <c r="I6" s="259"/>
      <c r="J6" s="259"/>
      <c r="K6" s="259"/>
      <c r="L6" s="56" t="s">
        <v>482</v>
      </c>
      <c r="M6" s="260">
        <f>AVERAGE(M25,M43)</f>
        <v>0</v>
      </c>
      <c r="N6" s="261">
        <f>VLOOKUP(N4,$H$5:$J$5,2,0)</f>
        <v>20</v>
      </c>
      <c r="O6" s="261">
        <f>$I$8*M6</f>
        <v>0</v>
      </c>
      <c r="P6" s="261">
        <f>$I$10*M6</f>
        <v>0</v>
      </c>
      <c r="Q6" s="261">
        <f>M6*$I$9</f>
        <v>0</v>
      </c>
      <c r="R6" s="261">
        <f>SUM(N6:Q6)</f>
        <v>20</v>
      </c>
      <c r="U6" s="262"/>
      <c r="V6" s="261">
        <v>2.4979999999999999E-2</v>
      </c>
      <c r="W6" s="263">
        <f>ROUND(SUM(R6,V6:V6),2)</f>
        <v>20.02</v>
      </c>
      <c r="Z6" s="262"/>
      <c r="AA6" s="251"/>
      <c r="AB6" s="251"/>
      <c r="AD6" s="255"/>
      <c r="AF6" s="251"/>
    </row>
    <row r="7" spans="1:33">
      <c r="A7" s="100">
        <v>41030</v>
      </c>
      <c r="B7" s="100">
        <f t="shared" ref="B7:B18" si="2">$B$5</f>
        <v>46082</v>
      </c>
      <c r="C7" s="251" t="str">
        <f t="shared" ref="C7:C18" si="3">C6</f>
        <v>GPCNGSV</v>
      </c>
      <c r="D7" s="251" t="s">
        <v>521</v>
      </c>
      <c r="E7" s="100" t="str">
        <f t="shared" si="0"/>
        <v>41030GPCNGSV</v>
      </c>
      <c r="F7" s="100" t="str">
        <f t="shared" si="1"/>
        <v>46082GGSVS</v>
      </c>
      <c r="G7" s="251" t="str">
        <f>IFERROR(IF(VLOOKUP(H7,Lookup!$A$1:$B$200,2,0)="","",VLOOKUP(H7,Lookup!$A$1:$B$200,2,0)),"")</f>
        <v/>
      </c>
      <c r="H7" s="258" t="s">
        <v>512</v>
      </c>
      <c r="I7" s="259"/>
      <c r="J7" s="259"/>
      <c r="K7" s="264"/>
      <c r="L7" s="56" t="s">
        <v>866</v>
      </c>
      <c r="M7" s="260">
        <f t="shared" ref="M7:M10" si="4">AVERAGE(M26,M44)</f>
        <v>11.5</v>
      </c>
      <c r="N7" s="261">
        <f>N6</f>
        <v>20</v>
      </c>
      <c r="O7" s="261">
        <f t="shared" ref="O7:O10" si="5">$I$8*M7</f>
        <v>3.26715</v>
      </c>
      <c r="P7" s="261">
        <f t="shared" ref="P7:P10" si="6">$I$10*M7</f>
        <v>5.0657500000000004</v>
      </c>
      <c r="Q7" s="261">
        <f t="shared" ref="Q7:Q10" si="7">M7*$I$9</f>
        <v>-0.18515000000000001</v>
      </c>
      <c r="R7" s="261">
        <f t="shared" ref="R7:R10" si="8">SUM(N7:Q7)</f>
        <v>28.147750000000002</v>
      </c>
      <c r="U7" s="262"/>
      <c r="V7" s="261">
        <v>3.515653975E-2</v>
      </c>
      <c r="W7" s="263">
        <f>ROUND(SUM(R7,V7:V7),2)</f>
        <v>28.18</v>
      </c>
      <c r="Z7" s="262"/>
      <c r="AA7" s="251"/>
      <c r="AB7" s="251"/>
      <c r="AD7" s="255"/>
      <c r="AF7" s="251"/>
    </row>
    <row r="8" spans="1:33">
      <c r="A8" s="100">
        <v>41030</v>
      </c>
      <c r="B8" s="100">
        <f t="shared" si="2"/>
        <v>46082</v>
      </c>
      <c r="C8" s="251" t="str">
        <f t="shared" si="3"/>
        <v>GPCNGSV</v>
      </c>
      <c r="D8" s="251" t="s">
        <v>521</v>
      </c>
      <c r="E8" s="100" t="str">
        <f t="shared" si="0"/>
        <v>41030GPCNGSV</v>
      </c>
      <c r="F8" s="100" t="str">
        <f t="shared" si="1"/>
        <v>46082GGSVS</v>
      </c>
      <c r="G8" s="251" t="str">
        <f>IFERROR(IF(VLOOKUP(H8,Lookup!$A$1:$B$200,2,0)="","",VLOOKUP(H8,Lookup!$A$1:$B$200,2,0)),"")</f>
        <v>THERM_DELIVERY_TIER1</v>
      </c>
      <c r="H8" s="57" t="s">
        <v>609</v>
      </c>
      <c r="I8" s="265">
        <f>VLOOKUP(E8,'UNSG - ALL RATES'!$A$1:$DF$43,MATCH($G8,'UNSG - ALL RATES'!$A$2:$DF$2,0),0)</f>
        <v>0.28410000000000002</v>
      </c>
      <c r="J8" s="265">
        <f>VLOOKUP(F8,'UNSG - ALL RATES'!$A$1:$DF$43,MATCH($G8,'UNSG - ALL RATES'!$A$2:$DF$2,0),0)</f>
        <v>0.31340000000000001</v>
      </c>
      <c r="K8" s="264"/>
      <c r="L8" s="56" t="s">
        <v>520</v>
      </c>
      <c r="M8" s="260">
        <f t="shared" si="4"/>
        <v>74</v>
      </c>
      <c r="N8" s="261">
        <f t="shared" ref="N8:N10" si="9">N7</f>
        <v>20</v>
      </c>
      <c r="O8" s="261">
        <f t="shared" si="5"/>
        <v>21.023400000000002</v>
      </c>
      <c r="P8" s="261">
        <f t="shared" si="6"/>
        <v>32.597000000000001</v>
      </c>
      <c r="Q8" s="261">
        <f t="shared" si="7"/>
        <v>-1.1914</v>
      </c>
      <c r="R8" s="261">
        <f t="shared" si="8"/>
        <v>72.429000000000002</v>
      </c>
      <c r="U8" s="262"/>
      <c r="V8" s="261">
        <v>9.0463821E-2</v>
      </c>
      <c r="W8" s="263">
        <f>ROUND(SUM(R8,V8:V8),2)</f>
        <v>72.52</v>
      </c>
      <c r="Z8" s="262"/>
      <c r="AA8" s="251"/>
      <c r="AB8" s="251"/>
      <c r="AD8" s="255"/>
      <c r="AF8" s="251"/>
    </row>
    <row r="9" spans="1:33">
      <c r="A9" s="100">
        <v>41030</v>
      </c>
      <c r="B9" s="100">
        <f t="shared" si="2"/>
        <v>46082</v>
      </c>
      <c r="C9" s="251" t="str">
        <f t="shared" si="3"/>
        <v>GPCNGSV</v>
      </c>
      <c r="D9" s="251" t="s">
        <v>521</v>
      </c>
      <c r="E9" s="100" t="str">
        <f t="shared" si="0"/>
        <v>41030GPCNGSV</v>
      </c>
      <c r="F9" s="100" t="str">
        <f t="shared" si="1"/>
        <v>46082GGSVS</v>
      </c>
      <c r="G9" s="251" t="str">
        <f>IFERROR(IF(VLOOKUP(H9,Lookup!$A$1:$B$200,2,0)="","",VLOOKUP(H9,Lookup!$A$1:$B$200,2,0)),"")</f>
        <v/>
      </c>
      <c r="H9" s="57" t="s">
        <v>867</v>
      </c>
      <c r="I9" s="264">
        <v>-1.61E-2</v>
      </c>
      <c r="J9" s="674">
        <v>0</v>
      </c>
      <c r="K9" s="264"/>
      <c r="L9" s="56" t="s">
        <v>868</v>
      </c>
      <c r="M9" s="260">
        <f t="shared" si="4"/>
        <v>74</v>
      </c>
      <c r="N9" s="261">
        <f t="shared" si="9"/>
        <v>20</v>
      </c>
      <c r="O9" s="261">
        <f t="shared" si="5"/>
        <v>21.023400000000002</v>
      </c>
      <c r="P9" s="261">
        <f t="shared" si="6"/>
        <v>32.597000000000001</v>
      </c>
      <c r="Q9" s="261">
        <f t="shared" si="7"/>
        <v>-1.1914</v>
      </c>
      <c r="R9" s="261">
        <f t="shared" si="8"/>
        <v>72.429000000000002</v>
      </c>
      <c r="U9" s="262"/>
      <c r="V9" s="261">
        <v>9.0463821E-2</v>
      </c>
      <c r="W9" s="263">
        <f>ROUND(SUM(R9,V9:V9),2)</f>
        <v>72.52</v>
      </c>
      <c r="Z9" s="262"/>
      <c r="AA9" s="251"/>
      <c r="AB9" s="251"/>
      <c r="AD9" s="255"/>
      <c r="AF9" s="251"/>
    </row>
    <row r="10" spans="1:33">
      <c r="A10" s="100">
        <v>41030</v>
      </c>
      <c r="B10" s="100">
        <f t="shared" si="2"/>
        <v>46082</v>
      </c>
      <c r="C10" s="251" t="str">
        <f t="shared" si="3"/>
        <v>GPCNGSV</v>
      </c>
      <c r="D10" s="251" t="s">
        <v>521</v>
      </c>
      <c r="E10" s="100" t="str">
        <f t="shared" si="0"/>
        <v>41030GPCNGSV</v>
      </c>
      <c r="F10" s="100" t="str">
        <f t="shared" si="1"/>
        <v>46082GGSVS</v>
      </c>
      <c r="G10" s="251" t="str">
        <f>IFERROR(IF(VLOOKUP(H10,Lookup!$A$1:$B$200,2,0)="","",VLOOKUP(H10,Lookup!$A$1:$B$200,2,0)),"")</f>
        <v/>
      </c>
      <c r="H10" s="266" t="s">
        <v>610</v>
      </c>
      <c r="I10" s="264">
        <f>'PGA Calculation'!$B$3</f>
        <v>0.4405</v>
      </c>
      <c r="J10" s="264">
        <f>'PGA Calculation'!$B$13</f>
        <v>0.44669999999999999</v>
      </c>
      <c r="K10" s="264"/>
      <c r="L10" s="267" t="s">
        <v>869</v>
      </c>
      <c r="M10" s="260">
        <f t="shared" si="4"/>
        <v>39.875</v>
      </c>
      <c r="N10" s="261">
        <f t="shared" si="9"/>
        <v>20</v>
      </c>
      <c r="O10" s="261">
        <f t="shared" si="5"/>
        <v>11.328487500000001</v>
      </c>
      <c r="P10" s="261">
        <f t="shared" si="6"/>
        <v>17.564937499999999</v>
      </c>
      <c r="Q10" s="261">
        <f t="shared" si="7"/>
        <v>-0.64198750000000004</v>
      </c>
      <c r="R10" s="261">
        <f t="shared" si="8"/>
        <v>48.251437500000002</v>
      </c>
      <c r="U10" s="262"/>
      <c r="V10" s="261">
        <v>6.0266045437499999E-2</v>
      </c>
      <c r="W10" s="263">
        <f>ROUND(SUM(R10,V10:V10),2)</f>
        <v>48.31</v>
      </c>
      <c r="Z10" s="262"/>
      <c r="AA10" s="251"/>
      <c r="AB10" s="251"/>
      <c r="AD10" s="255"/>
      <c r="AF10" s="251"/>
    </row>
    <row r="11" spans="1:33">
      <c r="A11" s="100">
        <v>41030</v>
      </c>
      <c r="B11" s="100">
        <f t="shared" si="2"/>
        <v>46082</v>
      </c>
      <c r="C11" s="251" t="str">
        <f t="shared" si="3"/>
        <v>GPCNGSV</v>
      </c>
      <c r="D11" s="251" t="s">
        <v>521</v>
      </c>
      <c r="E11" s="100" t="str">
        <f t="shared" si="0"/>
        <v>41030GPCNGSV</v>
      </c>
      <c r="F11" s="100" t="str">
        <f t="shared" si="1"/>
        <v>46082GGSVS</v>
      </c>
      <c r="G11" s="251" t="str">
        <f>IFERROR(IF(VLOOKUP(H11,Lookup!$A$1:$B$200,2,0)="","",VLOOKUP(H11,Lookup!$A$1:$B$200,2,0)),"")</f>
        <v/>
      </c>
      <c r="H11" s="258"/>
      <c r="I11" s="264"/>
      <c r="J11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W11" s="268"/>
      <c r="X11" s="268"/>
      <c r="Y11" s="268"/>
      <c r="Z11" s="269"/>
      <c r="AB11" s="262"/>
    </row>
    <row r="12" spans="1:33">
      <c r="A12" s="100"/>
      <c r="B12" s="100"/>
      <c r="E12" s="100"/>
      <c r="F12" s="100"/>
      <c r="H12" s="258" t="s">
        <v>870</v>
      </c>
      <c r="I12" s="264">
        <v>0</v>
      </c>
      <c r="J12" s="669">
        <f>'UNSG Riders- Current'!$C$3</f>
        <v>0</v>
      </c>
      <c r="K12" s="264"/>
      <c r="R12" s="270"/>
    </row>
    <row r="13" spans="1:33" ht="15" customHeight="1">
      <c r="A13" s="100">
        <v>41030</v>
      </c>
      <c r="B13" s="100">
        <f t="shared" si="2"/>
        <v>46082</v>
      </c>
      <c r="C13" s="251" t="str">
        <f>C11</f>
        <v>GPCNGSV</v>
      </c>
      <c r="D13" s="251" t="s">
        <v>521</v>
      </c>
      <c r="E13" s="100" t="str">
        <f t="shared" ref="E13:E18" si="10">IF(C13="","",A13&amp;$C13)</f>
        <v>41030GPCNGSV</v>
      </c>
      <c r="F13" s="100" t="str">
        <f>IF(D13="","",B13&amp;$D13)</f>
        <v>46082GGSVS</v>
      </c>
      <c r="G13" s="251" t="str">
        <f>IFERROR(IF(VLOOKUP(H13,Lookup!$A$1:$B$200,2,0)="","",VLOOKUP(H13,Lookup!$A$1:$B$200,2,0)),"")</f>
        <v/>
      </c>
      <c r="H13" s="266" t="s">
        <v>871</v>
      </c>
      <c r="I13" s="264">
        <v>0</v>
      </c>
      <c r="J13" s="675">
        <f>'UNSG Riders- Current'!$C$5</f>
        <v>0</v>
      </c>
      <c r="M13" s="813" t="s">
        <v>872</v>
      </c>
      <c r="N13" s="814"/>
      <c r="O13" s="814"/>
      <c r="P13" s="815"/>
      <c r="Q13" s="296"/>
      <c r="U13" s="251"/>
      <c r="W13" s="271"/>
      <c r="AA13" s="251"/>
      <c r="AB13" s="251"/>
      <c r="AD13" s="255"/>
      <c r="AF13" s="251"/>
    </row>
    <row r="14" spans="1:33" ht="22.5" customHeight="1">
      <c r="A14" s="100">
        <v>41030</v>
      </c>
      <c r="B14" s="100">
        <f t="shared" si="2"/>
        <v>46082</v>
      </c>
      <c r="C14" s="251" t="str">
        <f t="shared" si="3"/>
        <v>GPCNGSV</v>
      </c>
      <c r="D14" s="251" t="s">
        <v>521</v>
      </c>
      <c r="E14" s="100" t="str">
        <f t="shared" si="10"/>
        <v>41030GPCNGSV</v>
      </c>
      <c r="F14" s="100" t="str">
        <f t="shared" ref="F14:F18" si="11">IF(D14="","",B14&amp;$D14)</f>
        <v>46082GGSVS</v>
      </c>
      <c r="G14" s="251" t="str">
        <f>IFERROR(IF(VLOOKUP(H14,Lookup!$A$1:$B$200,2,0)="","",VLOOKUP(H14,Lookup!$A$1:$B$200,2,0)),"")</f>
        <v/>
      </c>
      <c r="J14"/>
      <c r="M14" s="810" t="s">
        <v>859</v>
      </c>
      <c r="N14" s="816" t="s">
        <v>860</v>
      </c>
      <c r="O14" s="808" t="s">
        <v>861</v>
      </c>
      <c r="P14" s="808" t="s">
        <v>610</v>
      </c>
      <c r="Q14" s="808" t="s">
        <v>873</v>
      </c>
      <c r="R14" s="810" t="s">
        <v>863</v>
      </c>
      <c r="S14" s="808" t="s">
        <v>874</v>
      </c>
      <c r="T14" s="808" t="s">
        <v>875</v>
      </c>
      <c r="V14" s="811" t="s">
        <v>864</v>
      </c>
      <c r="W14" s="811" t="s">
        <v>870</v>
      </c>
      <c r="X14" s="811" t="s">
        <v>871</v>
      </c>
      <c r="Y14" s="811" t="s">
        <v>865</v>
      </c>
      <c r="Z14" s="808" t="s">
        <v>874</v>
      </c>
      <c r="AA14" s="808" t="s">
        <v>875</v>
      </c>
      <c r="AC14" s="57"/>
      <c r="AF14" s="251"/>
      <c r="AG14" s="255"/>
    </row>
    <row r="15" spans="1:33" ht="16.5" customHeight="1">
      <c r="A15" s="100">
        <v>41030</v>
      </c>
      <c r="B15" s="100">
        <f t="shared" si="2"/>
        <v>46082</v>
      </c>
      <c r="C15" s="251" t="str">
        <f t="shared" si="3"/>
        <v>GPCNGSV</v>
      </c>
      <c r="D15" s="251" t="s">
        <v>521</v>
      </c>
      <c r="E15" s="100" t="str">
        <f t="shared" si="10"/>
        <v>41030GPCNGSV</v>
      </c>
      <c r="F15" s="100" t="str">
        <f t="shared" si="11"/>
        <v>46082GGSVS</v>
      </c>
      <c r="G15" s="251" t="str">
        <f>IFERROR(IF(VLOOKUP(H15,Lookup!$A$1:$B$200,2,0)="","",VLOOKUP(H15,Lookup!$A$1:$B$200,2,0)),"")</f>
        <v/>
      </c>
      <c r="I15" s="264"/>
      <c r="J15"/>
      <c r="M15" s="810"/>
      <c r="N15" s="817"/>
      <c r="O15" s="809"/>
      <c r="P15" s="809"/>
      <c r="Q15" s="809"/>
      <c r="R15" s="810"/>
      <c r="S15" s="809"/>
      <c r="T15" s="809"/>
      <c r="V15" s="812"/>
      <c r="W15" s="812"/>
      <c r="X15" s="812"/>
      <c r="Y15" s="812"/>
      <c r="Z15" s="809"/>
      <c r="AA15" s="809"/>
      <c r="AC15" s="57"/>
      <c r="AF15" s="251"/>
      <c r="AG15" s="255"/>
    </row>
    <row r="16" spans="1:33">
      <c r="A16" s="100">
        <v>41030</v>
      </c>
      <c r="B16" s="100">
        <f t="shared" si="2"/>
        <v>46082</v>
      </c>
      <c r="C16" s="251" t="str">
        <f t="shared" si="3"/>
        <v>GPCNGSV</v>
      </c>
      <c r="D16" s="251" t="s">
        <v>521</v>
      </c>
      <c r="E16" s="100" t="str">
        <f t="shared" si="10"/>
        <v>41030GPCNGSV</v>
      </c>
      <c r="F16" s="100" t="str">
        <f t="shared" si="11"/>
        <v>46082GGSVS</v>
      </c>
      <c r="H16" s="130"/>
      <c r="I16" s="264"/>
      <c r="J16" s="264"/>
      <c r="K16" s="264"/>
      <c r="L16" s="56" t="s">
        <v>482</v>
      </c>
      <c r="M16" s="260">
        <f>M6</f>
        <v>0</v>
      </c>
      <c r="N16" s="261">
        <f>VLOOKUP(N14,$H$5:$J$5,3,0)</f>
        <v>28.32</v>
      </c>
      <c r="O16" s="261">
        <f>$J$8*M16</f>
        <v>0</v>
      </c>
      <c r="P16" s="261">
        <f>$J$10*M16</f>
        <v>0</v>
      </c>
      <c r="Q16" s="261">
        <f>M16*$J$9</f>
        <v>0</v>
      </c>
      <c r="R16" s="261">
        <f>SUM(N16:Q16)</f>
        <v>28.32</v>
      </c>
      <c r="S16" s="261">
        <f>R16-R6</f>
        <v>8.32</v>
      </c>
      <c r="T16" s="272">
        <f>S16/R6</f>
        <v>0.41600000000000004</v>
      </c>
      <c r="U16" s="273"/>
      <c r="V16" s="261">
        <v>3.7469999999999996E-2</v>
      </c>
      <c r="W16" s="261">
        <f>M16*$J$12</f>
        <v>0</v>
      </c>
      <c r="X16" s="261">
        <f>R16*$J$13</f>
        <v>0</v>
      </c>
      <c r="Y16" s="263">
        <f>ROUND(SUM(R16,V16:X16),2)</f>
        <v>28.36</v>
      </c>
      <c r="Z16" s="261">
        <f>Y16-W6</f>
        <v>8.34</v>
      </c>
      <c r="AA16" s="272">
        <f>Z16/W6</f>
        <v>0.41658341658341658</v>
      </c>
      <c r="AC16" s="57"/>
      <c r="AF16" s="251"/>
      <c r="AG16" s="255"/>
    </row>
    <row r="17" spans="1:33">
      <c r="A17" s="100">
        <v>41030</v>
      </c>
      <c r="B17" s="100">
        <f t="shared" si="2"/>
        <v>46082</v>
      </c>
      <c r="C17" s="251" t="str">
        <f t="shared" si="3"/>
        <v>GPCNGSV</v>
      </c>
      <c r="D17" s="251" t="s">
        <v>521</v>
      </c>
      <c r="E17" s="100" t="str">
        <f t="shared" si="10"/>
        <v>41030GPCNGSV</v>
      </c>
      <c r="F17" s="100" t="str">
        <f t="shared" si="11"/>
        <v>46082GGSVS</v>
      </c>
      <c r="I17" s="274"/>
      <c r="J17" s="274"/>
      <c r="K17" s="264"/>
      <c r="L17" s="56" t="s">
        <v>866</v>
      </c>
      <c r="M17" s="260">
        <f t="shared" ref="M17:M20" si="12">M7</f>
        <v>11.5</v>
      </c>
      <c r="N17" s="261">
        <f>N16</f>
        <v>28.32</v>
      </c>
      <c r="O17" s="261">
        <f t="shared" ref="O17:O20" si="13">$J$8*M17</f>
        <v>3.6041000000000003</v>
      </c>
      <c r="P17" s="261">
        <f t="shared" ref="P17:P20" si="14">$J$10*M17</f>
        <v>5.1370499999999995</v>
      </c>
      <c r="Q17" s="261">
        <f t="shared" ref="Q17:Q20" si="15">M17*$J$9</f>
        <v>0</v>
      </c>
      <c r="R17" s="261">
        <f t="shared" ref="R17:R20" si="16">SUM(N17:Q17)</f>
        <v>37.061149999999998</v>
      </c>
      <c r="S17" s="261">
        <f>R17-R7</f>
        <v>8.9133999999999958</v>
      </c>
      <c r="T17" s="272">
        <f>S17/R7</f>
        <v>0.31666474229734154</v>
      </c>
      <c r="U17" s="273"/>
      <c r="V17" s="261">
        <v>4.8607457900000005E-2</v>
      </c>
      <c r="W17" s="261">
        <f t="shared" ref="W17:W20" si="17">M17*$J$12</f>
        <v>0</v>
      </c>
      <c r="X17" s="261">
        <f t="shared" ref="X17:X20" si="18">R17*$J$13</f>
        <v>0</v>
      </c>
      <c r="Y17" s="263">
        <f t="shared" ref="Y17:Y20" si="19">ROUND(SUM(R17,V17:X17),2)</f>
        <v>37.11</v>
      </c>
      <c r="Z17" s="261">
        <f>Y17-W7</f>
        <v>8.93</v>
      </c>
      <c r="AA17" s="272">
        <f>Z17/W7</f>
        <v>0.31689141234918383</v>
      </c>
      <c r="AC17" s="57"/>
      <c r="AF17" s="251"/>
      <c r="AG17" s="255"/>
    </row>
    <row r="18" spans="1:33">
      <c r="A18" s="100">
        <v>41030</v>
      </c>
      <c r="B18" s="100">
        <f t="shared" si="2"/>
        <v>46082</v>
      </c>
      <c r="C18" s="251" t="str">
        <f t="shared" si="3"/>
        <v>GPCNGSV</v>
      </c>
      <c r="D18" s="251" t="s">
        <v>521</v>
      </c>
      <c r="E18" s="100" t="str">
        <f t="shared" si="10"/>
        <v>41030GPCNGSV</v>
      </c>
      <c r="F18" s="100" t="str">
        <f t="shared" si="11"/>
        <v>46082GGSVS</v>
      </c>
      <c r="G18" s="251" t="str">
        <f>IFERROR(IF(VLOOKUP(H18,Lookup!$A$1:$B$200,2,0)="","",VLOOKUP(H18,Lookup!$A$1:$B$200,2,0)),"")</f>
        <v/>
      </c>
      <c r="H18"/>
      <c r="I18"/>
      <c r="J18"/>
      <c r="K18" s="264"/>
      <c r="L18" s="56" t="s">
        <v>520</v>
      </c>
      <c r="M18" s="260">
        <f t="shared" si="12"/>
        <v>74</v>
      </c>
      <c r="N18" s="261">
        <f t="shared" ref="N18:N20" si="20">N17</f>
        <v>28.32</v>
      </c>
      <c r="O18" s="261">
        <f t="shared" si="13"/>
        <v>23.191600000000001</v>
      </c>
      <c r="P18" s="261">
        <f t="shared" si="14"/>
        <v>33.055799999999998</v>
      </c>
      <c r="Q18" s="261">
        <f t="shared" si="15"/>
        <v>0</v>
      </c>
      <c r="R18" s="261">
        <f t="shared" si="16"/>
        <v>84.567399999999992</v>
      </c>
      <c r="S18" s="261">
        <f>R18-R8</f>
        <v>12.13839999999999</v>
      </c>
      <c r="T18" s="272">
        <f>S18/R8</f>
        <v>0.16759032984025721</v>
      </c>
      <c r="U18" s="273"/>
      <c r="V18" s="261">
        <v>0.10913712039999998</v>
      </c>
      <c r="W18" s="261">
        <f t="shared" si="17"/>
        <v>0</v>
      </c>
      <c r="X18" s="261">
        <f t="shared" si="18"/>
        <v>0</v>
      </c>
      <c r="Y18" s="263">
        <f t="shared" si="19"/>
        <v>84.68</v>
      </c>
      <c r="Z18" s="261">
        <f>Y18-W8</f>
        <v>12.160000000000011</v>
      </c>
      <c r="AA18" s="272">
        <f>Z18/W8</f>
        <v>0.1676778819635964</v>
      </c>
      <c r="AC18" s="57"/>
      <c r="AF18" s="251"/>
      <c r="AG18" s="255"/>
    </row>
    <row r="19" spans="1:33">
      <c r="L19" s="56" t="s">
        <v>868</v>
      </c>
      <c r="M19" s="260">
        <f t="shared" si="12"/>
        <v>74</v>
      </c>
      <c r="N19" s="261">
        <f t="shared" si="20"/>
        <v>28.32</v>
      </c>
      <c r="O19" s="261">
        <f t="shared" si="13"/>
        <v>23.191600000000001</v>
      </c>
      <c r="P19" s="261">
        <f t="shared" si="14"/>
        <v>33.055799999999998</v>
      </c>
      <c r="Q19" s="261">
        <f t="shared" si="15"/>
        <v>0</v>
      </c>
      <c r="R19" s="261">
        <f t="shared" si="16"/>
        <v>84.567399999999992</v>
      </c>
      <c r="S19" s="261">
        <f>R19-R9</f>
        <v>12.13839999999999</v>
      </c>
      <c r="T19" s="272">
        <f>S19/R9</f>
        <v>0.16759032984025721</v>
      </c>
      <c r="U19" s="273"/>
      <c r="V19" s="261">
        <v>0.10913712039999998</v>
      </c>
      <c r="W19" s="261">
        <f t="shared" si="17"/>
        <v>0</v>
      </c>
      <c r="X19" s="261">
        <f t="shared" si="18"/>
        <v>0</v>
      </c>
      <c r="Y19" s="263">
        <f t="shared" si="19"/>
        <v>84.68</v>
      </c>
      <c r="Z19" s="261">
        <f>Y19-W9</f>
        <v>12.160000000000011</v>
      </c>
      <c r="AA19" s="272">
        <f>Z19/W9</f>
        <v>0.1676778819635964</v>
      </c>
      <c r="AC19" s="57"/>
      <c r="AF19" s="251"/>
      <c r="AG19" s="255"/>
    </row>
    <row r="20" spans="1:33">
      <c r="I20" s="262"/>
      <c r="L20" s="267" t="s">
        <v>869</v>
      </c>
      <c r="M20" s="260">
        <f t="shared" si="12"/>
        <v>39.875</v>
      </c>
      <c r="N20" s="261">
        <f t="shared" si="20"/>
        <v>28.32</v>
      </c>
      <c r="O20" s="261">
        <f t="shared" si="13"/>
        <v>12.496825000000001</v>
      </c>
      <c r="P20" s="261">
        <f t="shared" si="14"/>
        <v>17.812162499999999</v>
      </c>
      <c r="Q20" s="261">
        <f t="shared" si="15"/>
        <v>0</v>
      </c>
      <c r="R20" s="261">
        <f t="shared" si="16"/>
        <v>58.628987500000001</v>
      </c>
      <c r="S20" s="261">
        <f>R20-R10</f>
        <v>10.377549999999999</v>
      </c>
      <c r="T20" s="272">
        <f>S20/R10</f>
        <v>0.21507234888079757</v>
      </c>
      <c r="U20" s="273"/>
      <c r="V20" s="261">
        <v>7.6087924674999988E-2</v>
      </c>
      <c r="W20" s="261">
        <f t="shared" si="17"/>
        <v>0</v>
      </c>
      <c r="X20" s="261">
        <f t="shared" si="18"/>
        <v>0</v>
      </c>
      <c r="Y20" s="263">
        <f t="shared" si="19"/>
        <v>58.71</v>
      </c>
      <c r="Z20" s="261">
        <f>Y20-W10</f>
        <v>10.399999999999999</v>
      </c>
      <c r="AA20" s="272">
        <f>Z20/W10</f>
        <v>0.21527634030221482</v>
      </c>
      <c r="AC20" s="57"/>
      <c r="AF20" s="251"/>
      <c r="AG20" s="255"/>
    </row>
    <row r="21" spans="1:33">
      <c r="H21"/>
      <c r="I21" s="262"/>
      <c r="K21" s="275"/>
      <c r="AA21" s="268"/>
      <c r="AB21" s="276"/>
    </row>
    <row r="22" spans="1:33">
      <c r="H22"/>
      <c r="I22" s="262"/>
      <c r="L22" s="284" t="s">
        <v>876</v>
      </c>
      <c r="M22" s="813" t="s">
        <v>857</v>
      </c>
      <c r="N22" s="814"/>
      <c r="O22" s="814"/>
      <c r="P22" s="815"/>
      <c r="Q22" s="296"/>
      <c r="AA22" s="268"/>
    </row>
    <row r="23" spans="1:33">
      <c r="H23"/>
      <c r="K23" s="275"/>
      <c r="M23" s="810" t="s">
        <v>859</v>
      </c>
      <c r="N23" s="816" t="s">
        <v>860</v>
      </c>
      <c r="O23" s="808" t="s">
        <v>861</v>
      </c>
      <c r="P23" s="808" t="s">
        <v>610</v>
      </c>
      <c r="Q23" s="808" t="s">
        <v>862</v>
      </c>
      <c r="R23" s="810" t="s">
        <v>863</v>
      </c>
      <c r="V23" s="811" t="s">
        <v>864</v>
      </c>
      <c r="W23" s="811" t="s">
        <v>865</v>
      </c>
      <c r="AB23" s="251"/>
      <c r="AE23" s="255"/>
      <c r="AF23" s="251"/>
    </row>
    <row r="24" spans="1:33" ht="15" customHeight="1">
      <c r="K24" s="277"/>
      <c r="L24"/>
      <c r="M24" s="810"/>
      <c r="N24" s="817"/>
      <c r="O24" s="809"/>
      <c r="P24" s="809"/>
      <c r="Q24" s="809"/>
      <c r="R24" s="810"/>
      <c r="U24" s="251"/>
      <c r="V24" s="812"/>
      <c r="W24" s="812"/>
      <c r="X24"/>
      <c r="Y24"/>
      <c r="Z24"/>
      <c r="AB24" s="251"/>
      <c r="AE24" s="255"/>
      <c r="AF24" s="251"/>
    </row>
    <row r="25" spans="1:33">
      <c r="K25" s="275"/>
      <c r="L25" s="56" t="s">
        <v>482</v>
      </c>
      <c r="M25" s="282">
        <f>'[18]Percentiles_All_Bills Jan'!$I$9</f>
        <v>0</v>
      </c>
      <c r="N25" s="261">
        <f>VLOOKUP($N$23,$H$5:$J$5,2,0)</f>
        <v>20</v>
      </c>
      <c r="O25" s="261">
        <f>$I$8*M25</f>
        <v>0</v>
      </c>
      <c r="P25" s="261">
        <f>$I$10*M25</f>
        <v>0</v>
      </c>
      <c r="Q25" s="261">
        <f>M25*$I$9</f>
        <v>0</v>
      </c>
      <c r="R25" s="261">
        <f>SUM(N25:Q25)</f>
        <v>20</v>
      </c>
      <c r="S25"/>
      <c r="T25"/>
      <c r="U25"/>
      <c r="V25" s="261">
        <v>2.4979999999999999E-2</v>
      </c>
      <c r="W25" s="263">
        <f>ROUND(SUM(R25,V25:V25),2)</f>
        <v>20.02</v>
      </c>
      <c r="X25"/>
      <c r="Y25"/>
      <c r="Z25"/>
      <c r="AA25" s="251"/>
      <c r="AB25" s="251"/>
      <c r="AC25" s="255"/>
      <c r="AF25" s="251"/>
    </row>
    <row r="26" spans="1:33">
      <c r="K26" s="275"/>
      <c r="L26" s="56" t="s">
        <v>866</v>
      </c>
      <c r="M26" s="282">
        <f>'[18]Percentiles_All_Bills Jan'!$J$9</f>
        <v>8</v>
      </c>
      <c r="N26" s="261">
        <f t="shared" ref="N26:N29" si="21">VLOOKUP($N$23,$H$5:$J$5,2,0)</f>
        <v>20</v>
      </c>
      <c r="O26" s="261">
        <f t="shared" ref="O26:O29" si="22">$I$8*M26</f>
        <v>2.2728000000000002</v>
      </c>
      <c r="P26" s="261">
        <f t="shared" ref="P26:P29" si="23">$I$10*M26</f>
        <v>3.524</v>
      </c>
      <c r="Q26" s="261">
        <f t="shared" ref="Q26:Q29" si="24">M26*$I$9</f>
        <v>-0.1288</v>
      </c>
      <c r="R26" s="261">
        <f t="shared" ref="R26:R28" si="25">SUM(N26:Q26)</f>
        <v>25.668000000000003</v>
      </c>
      <c r="S26"/>
      <c r="T26"/>
      <c r="U26"/>
      <c r="V26" s="261">
        <v>3.2059332000000003E-2</v>
      </c>
      <c r="W26" s="263">
        <f>ROUND(SUM(R26,V26:V26),2)</f>
        <v>25.7</v>
      </c>
      <c r="X26"/>
      <c r="Y26"/>
      <c r="Z26"/>
      <c r="AA26" s="251"/>
      <c r="AB26" s="251"/>
      <c r="AC26" s="255"/>
      <c r="AF26" s="251"/>
    </row>
    <row r="27" spans="1:33">
      <c r="L27" s="56" t="s">
        <v>520</v>
      </c>
      <c r="M27" s="282">
        <f>'[18]Percentiles_All_Bills Jan'!$K$9</f>
        <v>129</v>
      </c>
      <c r="N27" s="261">
        <f t="shared" si="21"/>
        <v>20</v>
      </c>
      <c r="O27" s="261">
        <f t="shared" si="22"/>
        <v>36.648900000000005</v>
      </c>
      <c r="P27" s="261">
        <f t="shared" si="23"/>
        <v>56.8245</v>
      </c>
      <c r="Q27" s="261">
        <f t="shared" si="24"/>
        <v>-2.0768999999999997</v>
      </c>
      <c r="R27" s="261">
        <f>SUM(N27:Q27)</f>
        <v>111.3965</v>
      </c>
      <c r="S27"/>
      <c r="T27"/>
      <c r="U27"/>
      <c r="V27" s="261">
        <v>0.13913422849999998</v>
      </c>
      <c r="W27" s="263">
        <f>ROUND(SUM(R27,V27:V27),2)</f>
        <v>111.54</v>
      </c>
      <c r="X27"/>
      <c r="Y27"/>
      <c r="Z27"/>
      <c r="AA27" s="251"/>
      <c r="AB27" s="251"/>
      <c r="AC27" s="255"/>
      <c r="AF27" s="251"/>
    </row>
    <row r="28" spans="1:33">
      <c r="L28" s="56" t="s">
        <v>868</v>
      </c>
      <c r="M28" s="282">
        <f>'[18]Percentiles_All_Bills Jan'!$L$9</f>
        <v>129</v>
      </c>
      <c r="N28" s="261">
        <f t="shared" si="21"/>
        <v>20</v>
      </c>
      <c r="O28" s="261">
        <f t="shared" si="22"/>
        <v>36.648900000000005</v>
      </c>
      <c r="P28" s="261">
        <f t="shared" si="23"/>
        <v>56.8245</v>
      </c>
      <c r="Q28" s="261">
        <f t="shared" si="24"/>
        <v>-2.0768999999999997</v>
      </c>
      <c r="R28" s="261">
        <f t="shared" si="25"/>
        <v>111.3965</v>
      </c>
      <c r="S28"/>
      <c r="T28"/>
      <c r="U28"/>
      <c r="V28" s="261">
        <v>0.13913422849999998</v>
      </c>
      <c r="W28" s="263">
        <f>ROUND(SUM(R28,V28:V28),2)</f>
        <v>111.54</v>
      </c>
      <c r="X28"/>
      <c r="Y28"/>
      <c r="Z28"/>
      <c r="AA28" s="251"/>
      <c r="AB28" s="251"/>
      <c r="AC28" s="255"/>
      <c r="AF28" s="251"/>
    </row>
    <row r="29" spans="1:33">
      <c r="L29" s="267" t="s">
        <v>877</v>
      </c>
      <c r="M29" s="282">
        <f>AVERAGE(M25:M28)</f>
        <v>66.5</v>
      </c>
      <c r="N29" s="261">
        <f t="shared" si="21"/>
        <v>20</v>
      </c>
      <c r="O29" s="261">
        <f t="shared" si="22"/>
        <v>18.89265</v>
      </c>
      <c r="P29" s="261">
        <f t="shared" si="23"/>
        <v>29.29325</v>
      </c>
      <c r="Q29" s="261">
        <f t="shared" si="24"/>
        <v>-1.0706499999999999</v>
      </c>
      <c r="R29" s="261">
        <f>SUM(N29:Q29)</f>
        <v>67.115250000000003</v>
      </c>
      <c r="S29"/>
      <c r="T29"/>
      <c r="U29"/>
      <c r="V29" s="261">
        <v>8.3826947249999992E-2</v>
      </c>
      <c r="W29" s="263">
        <f>ROUND(SUM(R29,V29:V29),2)</f>
        <v>67.2</v>
      </c>
      <c r="X29"/>
      <c r="Y29"/>
      <c r="Z29"/>
      <c r="AA29" s="251"/>
      <c r="AB29" s="251"/>
      <c r="AC29" s="255"/>
      <c r="AF29" s="251"/>
    </row>
    <row r="30" spans="1:33">
      <c r="L30" s="240"/>
      <c r="M30"/>
      <c r="N30"/>
      <c r="O30"/>
      <c r="P30"/>
      <c r="Q30" s="264"/>
      <c r="R30"/>
      <c r="S30"/>
      <c r="T30"/>
      <c r="U30"/>
      <c r="V30"/>
      <c r="W30"/>
      <c r="X30"/>
      <c r="Y30"/>
      <c r="Z30"/>
      <c r="AA30"/>
      <c r="AB30" s="251"/>
      <c r="AD30" s="255"/>
      <c r="AF30" s="251"/>
    </row>
    <row r="31" spans="1:33">
      <c r="L31" s="284" t="s">
        <v>876</v>
      </c>
      <c r="M31" s="813" t="s">
        <v>872</v>
      </c>
      <c r="N31" s="814"/>
      <c r="O31" s="814"/>
      <c r="P31" s="815"/>
      <c r="Q31" s="296"/>
      <c r="S31"/>
      <c r="T31"/>
      <c r="U31"/>
      <c r="V31"/>
      <c r="W31"/>
      <c r="X31"/>
      <c r="Y31"/>
      <c r="Z31"/>
      <c r="AA31"/>
      <c r="AB31" s="251"/>
      <c r="AD31" s="255"/>
      <c r="AF31" s="251"/>
    </row>
    <row r="32" spans="1:33">
      <c r="M32" s="810" t="s">
        <v>859</v>
      </c>
      <c r="N32" s="816" t="s">
        <v>860</v>
      </c>
      <c r="O32" s="808" t="s">
        <v>861</v>
      </c>
      <c r="P32" s="808" t="s">
        <v>610</v>
      </c>
      <c r="Q32" s="808" t="s">
        <v>873</v>
      </c>
      <c r="R32" s="810" t="s">
        <v>863</v>
      </c>
      <c r="S32" s="808" t="s">
        <v>874</v>
      </c>
      <c r="T32" s="808" t="s">
        <v>875</v>
      </c>
      <c r="V32" s="811" t="s">
        <v>864</v>
      </c>
      <c r="W32" s="811" t="s">
        <v>870</v>
      </c>
      <c r="X32" s="811" t="s">
        <v>871</v>
      </c>
      <c r="Y32" s="811" t="s">
        <v>865</v>
      </c>
      <c r="Z32" s="808" t="s">
        <v>874</v>
      </c>
      <c r="AA32" s="808" t="s">
        <v>875</v>
      </c>
      <c r="AB32" s="251"/>
      <c r="AD32" s="255"/>
      <c r="AF32" s="251"/>
    </row>
    <row r="33" spans="12:32">
      <c r="L33"/>
      <c r="M33" s="810"/>
      <c r="N33" s="817"/>
      <c r="O33" s="809"/>
      <c r="P33" s="809"/>
      <c r="Q33" s="809"/>
      <c r="R33" s="810"/>
      <c r="S33" s="809"/>
      <c r="T33" s="809"/>
      <c r="V33" s="812"/>
      <c r="W33" s="812"/>
      <c r="X33" s="812"/>
      <c r="Y33" s="812"/>
      <c r="Z33" s="809"/>
      <c r="AA33" s="809"/>
      <c r="AB33" s="251"/>
      <c r="AD33" s="255"/>
      <c r="AF33" s="251"/>
    </row>
    <row r="34" spans="12:32">
      <c r="L34" s="56" t="s">
        <v>482</v>
      </c>
      <c r="M34" s="282">
        <f>M25</f>
        <v>0</v>
      </c>
      <c r="N34" s="261">
        <f>VLOOKUP($N$32,$H$5:$J$5,3,0)</f>
        <v>28.32</v>
      </c>
      <c r="O34" s="261">
        <f>$J$8*M34</f>
        <v>0</v>
      </c>
      <c r="P34" s="261">
        <f>$J$10*M34</f>
        <v>0</v>
      </c>
      <c r="Q34" s="261">
        <f>M34*$J$9</f>
        <v>0</v>
      </c>
      <c r="R34" s="261">
        <f>SUM(N34:Q34)</f>
        <v>28.32</v>
      </c>
      <c r="S34" s="261">
        <f>R34-R25</f>
        <v>8.32</v>
      </c>
      <c r="T34" s="272">
        <f>S34/R25</f>
        <v>0.41600000000000004</v>
      </c>
      <c r="U34"/>
      <c r="V34" s="261">
        <v>3.7469999999999996E-2</v>
      </c>
      <c r="W34" s="261">
        <f>M34*$J$12</f>
        <v>0</v>
      </c>
      <c r="X34" s="261">
        <f>R34*$J$13</f>
        <v>0</v>
      </c>
      <c r="Y34" s="263">
        <f>ROUND(SUM(R34,V34:X34),2)</f>
        <v>28.36</v>
      </c>
      <c r="Z34" s="261">
        <f>Y34-W25</f>
        <v>8.34</v>
      </c>
      <c r="AA34" s="272">
        <f>Z34/W25</f>
        <v>0.41658341658341658</v>
      </c>
    </row>
    <row r="35" spans="12:32">
      <c r="L35" s="56" t="s">
        <v>866</v>
      </c>
      <c r="M35" s="282">
        <f t="shared" ref="M35:M38" si="26">M26</f>
        <v>8</v>
      </c>
      <c r="N35" s="261">
        <f t="shared" ref="N35:N38" si="27">VLOOKUP($N$32,$H$5:$J$5,3,0)</f>
        <v>28.32</v>
      </c>
      <c r="O35" s="261">
        <f t="shared" ref="O35:O38" si="28">$J$8*M35</f>
        <v>2.5072000000000001</v>
      </c>
      <c r="P35" s="261">
        <f t="shared" ref="P35:P38" si="29">$J$10*M35</f>
        <v>3.5735999999999999</v>
      </c>
      <c r="Q35" s="261">
        <f t="shared" ref="Q35:Q38" si="30">M35*$J$9</f>
        <v>0</v>
      </c>
      <c r="R35" s="261">
        <f t="shared" ref="R35:R38" si="31">SUM(N35:Q35)</f>
        <v>34.400800000000004</v>
      </c>
      <c r="S35" s="261">
        <f t="shared" ref="S35:S38" si="32">R35-R26</f>
        <v>8.732800000000001</v>
      </c>
      <c r="T35" s="272">
        <f t="shared" ref="T35:T38" si="33">S35/R26</f>
        <v>0.34022128720585942</v>
      </c>
      <c r="U35"/>
      <c r="V35" s="261">
        <v>4.5217796799999987E-2</v>
      </c>
      <c r="W35" s="261">
        <f t="shared" ref="W35:W38" si="34">M35*$J$12</f>
        <v>0</v>
      </c>
      <c r="X35" s="261">
        <f t="shared" ref="X35:X38" si="35">R35*$J$13</f>
        <v>0</v>
      </c>
      <c r="Y35" s="263">
        <f t="shared" ref="Y35:Y38" si="36">ROUND(SUM(R35,V35:X35),2)</f>
        <v>34.450000000000003</v>
      </c>
      <c r="Z35" s="261">
        <f>Y35-W26</f>
        <v>8.7500000000000036</v>
      </c>
      <c r="AA35" s="272">
        <f>Z35/W26</f>
        <v>0.34046692607003903</v>
      </c>
    </row>
    <row r="36" spans="12:32" ht="15" customHeight="1">
      <c r="L36" s="56" t="s">
        <v>520</v>
      </c>
      <c r="M36" s="282">
        <f t="shared" si="26"/>
        <v>129</v>
      </c>
      <c r="N36" s="261">
        <f t="shared" si="27"/>
        <v>28.32</v>
      </c>
      <c r="O36" s="261">
        <f t="shared" si="28"/>
        <v>40.428600000000003</v>
      </c>
      <c r="P36" s="261">
        <f t="shared" si="29"/>
        <v>57.624299999999998</v>
      </c>
      <c r="Q36" s="261">
        <f t="shared" si="30"/>
        <v>0</v>
      </c>
      <c r="R36" s="261">
        <f t="shared" si="31"/>
        <v>126.37290000000002</v>
      </c>
      <c r="S36" s="261">
        <f t="shared" si="32"/>
        <v>14.976400000000012</v>
      </c>
      <c r="T36" s="272">
        <f t="shared" si="33"/>
        <v>0.13444228499100072</v>
      </c>
      <c r="U36"/>
      <c r="V36" s="261">
        <v>0.16240322339999999</v>
      </c>
      <c r="W36" s="261">
        <f t="shared" si="34"/>
        <v>0</v>
      </c>
      <c r="X36" s="261">
        <f t="shared" si="35"/>
        <v>0</v>
      </c>
      <c r="Y36" s="263">
        <f t="shared" si="36"/>
        <v>126.54</v>
      </c>
      <c r="Z36" s="261">
        <f>Y36-W27</f>
        <v>15</v>
      </c>
      <c r="AA36" s="272">
        <f>Z36/W27</f>
        <v>0.13448090371167293</v>
      </c>
    </row>
    <row r="37" spans="12:32">
      <c r="L37" s="56" t="s">
        <v>868</v>
      </c>
      <c r="M37" s="282">
        <f t="shared" si="26"/>
        <v>129</v>
      </c>
      <c r="N37" s="261">
        <f t="shared" si="27"/>
        <v>28.32</v>
      </c>
      <c r="O37" s="261">
        <f t="shared" si="28"/>
        <v>40.428600000000003</v>
      </c>
      <c r="P37" s="261">
        <f t="shared" si="29"/>
        <v>57.624299999999998</v>
      </c>
      <c r="Q37" s="261">
        <f t="shared" si="30"/>
        <v>0</v>
      </c>
      <c r="R37" s="261">
        <f t="shared" si="31"/>
        <v>126.37290000000002</v>
      </c>
      <c r="S37" s="261">
        <f t="shared" si="32"/>
        <v>14.976400000000012</v>
      </c>
      <c r="T37" s="272">
        <f t="shared" si="33"/>
        <v>0.13444228499100072</v>
      </c>
      <c r="U37"/>
      <c r="V37" s="261">
        <v>0.16240322339999999</v>
      </c>
      <c r="W37" s="261">
        <f t="shared" si="34"/>
        <v>0</v>
      </c>
      <c r="X37" s="261">
        <f t="shared" si="35"/>
        <v>0</v>
      </c>
      <c r="Y37" s="263">
        <f t="shared" si="36"/>
        <v>126.54</v>
      </c>
      <c r="Z37" s="261">
        <f>Y37-W28</f>
        <v>15</v>
      </c>
      <c r="AA37" s="272">
        <f>Z37/W28</f>
        <v>0.13448090371167293</v>
      </c>
      <c r="AB37" s="251"/>
      <c r="AD37" s="255"/>
      <c r="AF37" s="251"/>
    </row>
    <row r="38" spans="12:32" ht="15.75" customHeight="1">
      <c r="L38" s="267" t="s">
        <v>877</v>
      </c>
      <c r="M38" s="282">
        <f t="shared" si="26"/>
        <v>66.5</v>
      </c>
      <c r="N38" s="261">
        <f t="shared" si="27"/>
        <v>28.32</v>
      </c>
      <c r="O38" s="261">
        <f t="shared" si="28"/>
        <v>20.841100000000001</v>
      </c>
      <c r="P38" s="261">
        <f t="shared" si="29"/>
        <v>29.705549999999999</v>
      </c>
      <c r="Q38" s="261">
        <f t="shared" si="30"/>
        <v>0</v>
      </c>
      <c r="R38" s="261">
        <f t="shared" si="31"/>
        <v>78.866650000000007</v>
      </c>
      <c r="S38" s="261">
        <f t="shared" si="32"/>
        <v>11.751400000000004</v>
      </c>
      <c r="T38" s="272">
        <f t="shared" si="33"/>
        <v>0.1750928440257617</v>
      </c>
      <c r="U38"/>
      <c r="V38" s="261">
        <v>0.10187356089999999</v>
      </c>
      <c r="W38" s="261">
        <f t="shared" si="34"/>
        <v>0</v>
      </c>
      <c r="X38" s="261">
        <f t="shared" si="35"/>
        <v>0</v>
      </c>
      <c r="Y38" s="263">
        <f t="shared" si="36"/>
        <v>78.97</v>
      </c>
      <c r="Z38" s="261">
        <f>Y38-W29</f>
        <v>11.769999999999996</v>
      </c>
      <c r="AA38" s="272">
        <f>Z38/W29</f>
        <v>0.17514880952380946</v>
      </c>
      <c r="AB38" s="251"/>
      <c r="AD38" s="255"/>
      <c r="AF38" s="251"/>
    </row>
    <row r="39" spans="12:32">
      <c r="L39"/>
      <c r="M39"/>
      <c r="N39"/>
      <c r="O39"/>
      <c r="P39"/>
      <c r="Q39" s="268"/>
      <c r="R39"/>
      <c r="S39"/>
      <c r="T39"/>
      <c r="U39"/>
      <c r="V39"/>
      <c r="W39"/>
      <c r="X39"/>
      <c r="Y39"/>
      <c r="Z39"/>
      <c r="AA39"/>
      <c r="AB39" s="251"/>
      <c r="AD39" s="255"/>
      <c r="AF39" s="251"/>
    </row>
    <row r="40" spans="12:32">
      <c r="L40" s="284" t="s">
        <v>878</v>
      </c>
      <c r="M40" s="813" t="s">
        <v>857</v>
      </c>
      <c r="N40" s="814"/>
      <c r="O40" s="814"/>
      <c r="P40" s="815"/>
      <c r="Q40" s="296"/>
      <c r="S40"/>
      <c r="T40"/>
      <c r="U40"/>
      <c r="V40"/>
      <c r="W40"/>
      <c r="X40"/>
      <c r="Y40"/>
      <c r="Z40"/>
      <c r="AA40"/>
      <c r="AB40" s="251"/>
      <c r="AD40" s="255"/>
      <c r="AF40" s="251"/>
    </row>
    <row r="41" spans="12:32">
      <c r="M41" s="810" t="s">
        <v>859</v>
      </c>
      <c r="N41" s="816" t="s">
        <v>860</v>
      </c>
      <c r="O41" s="808" t="s">
        <v>861</v>
      </c>
      <c r="P41" s="808" t="s">
        <v>610</v>
      </c>
      <c r="Q41" s="808" t="s">
        <v>862</v>
      </c>
      <c r="R41" s="810" t="s">
        <v>863</v>
      </c>
      <c r="S41"/>
      <c r="T41"/>
      <c r="V41" s="811" t="s">
        <v>864</v>
      </c>
      <c r="W41" s="811" t="s">
        <v>865</v>
      </c>
      <c r="X41"/>
      <c r="Y41"/>
      <c r="Z41" s="251"/>
      <c r="AA41" s="251"/>
      <c r="AB41" s="251"/>
      <c r="AC41" s="255"/>
      <c r="AF41" s="251"/>
    </row>
    <row r="42" spans="12:32">
      <c r="L42"/>
      <c r="M42" s="810"/>
      <c r="N42" s="817"/>
      <c r="O42" s="809"/>
      <c r="P42" s="809"/>
      <c r="Q42" s="809"/>
      <c r="R42" s="810"/>
      <c r="S42"/>
      <c r="T42"/>
      <c r="V42" s="812"/>
      <c r="W42" s="812"/>
      <c r="X42"/>
      <c r="Y42"/>
      <c r="Z42" s="251"/>
      <c r="AA42" s="251"/>
      <c r="AB42" s="251"/>
      <c r="AC42" s="255"/>
      <c r="AF42" s="251"/>
    </row>
    <row r="43" spans="12:32">
      <c r="L43" s="56" t="s">
        <v>482</v>
      </c>
      <c r="M43" s="282">
        <f>'[18]Percentiles_All_Bills July'!$I$9</f>
        <v>0</v>
      </c>
      <c r="N43" s="261">
        <f>VLOOKUP($N$23,$H$5:$J$5,2,0)</f>
        <v>20</v>
      </c>
      <c r="O43" s="261">
        <f>$I$8*M43</f>
        <v>0</v>
      </c>
      <c r="P43" s="261">
        <f>$I$10*M43</f>
        <v>0</v>
      </c>
      <c r="Q43" s="261">
        <f>M43*$I$9</f>
        <v>0</v>
      </c>
      <c r="R43" s="261">
        <f>SUM(N43:Q43)</f>
        <v>20</v>
      </c>
      <c r="S43"/>
      <c r="T43"/>
      <c r="U43"/>
      <c r="V43" s="261">
        <v>2.4979999999999999E-2</v>
      </c>
      <c r="W43" s="263">
        <f>ROUND(SUM(R43,V43:V43),2)</f>
        <v>20.02</v>
      </c>
      <c r="X43"/>
      <c r="Y43"/>
      <c r="Z43" s="251"/>
      <c r="AA43" s="251"/>
      <c r="AB43" s="251"/>
      <c r="AC43" s="255"/>
      <c r="AF43" s="251"/>
    </row>
    <row r="44" spans="12:32">
      <c r="L44" s="56" t="s">
        <v>866</v>
      </c>
      <c r="M44" s="282">
        <f>'[18]Percentiles_All_Bills July'!$J$9</f>
        <v>15</v>
      </c>
      <c r="N44" s="261">
        <f t="shared" ref="N44:N47" si="37">VLOOKUP($N$23,$H$5:$J$5,2,0)</f>
        <v>20</v>
      </c>
      <c r="O44" s="261">
        <f t="shared" ref="O44:O47" si="38">$I$8*M44</f>
        <v>4.2614999999999998</v>
      </c>
      <c r="P44" s="261">
        <f t="shared" ref="P44:P47" si="39">$I$10*M44</f>
        <v>6.6074999999999999</v>
      </c>
      <c r="Q44" s="261">
        <f t="shared" ref="Q44:Q47" si="40">M44*$I$9</f>
        <v>-0.24149999999999999</v>
      </c>
      <c r="R44" s="261">
        <f t="shared" ref="R44:R46" si="41">SUM(N44:Q44)</f>
        <v>30.627500000000001</v>
      </c>
      <c r="S44"/>
      <c r="T44"/>
      <c r="U44"/>
      <c r="V44" s="261">
        <v>3.8253747499999997E-2</v>
      </c>
      <c r="W44" s="263">
        <f>ROUND(SUM(R44,V44:V44),2)</f>
        <v>30.67</v>
      </c>
      <c r="X44"/>
      <c r="Y44"/>
      <c r="Z44" s="251"/>
      <c r="AA44" s="251"/>
      <c r="AB44" s="251"/>
      <c r="AC44" s="255"/>
      <c r="AF44" s="251"/>
    </row>
    <row r="45" spans="12:32">
      <c r="L45" s="56" t="s">
        <v>520</v>
      </c>
      <c r="M45" s="282">
        <f>'[18]Percentiles_All_Bills July'!$K$9</f>
        <v>19</v>
      </c>
      <c r="N45" s="261">
        <f t="shared" si="37"/>
        <v>20</v>
      </c>
      <c r="O45" s="261">
        <f t="shared" si="38"/>
        <v>5.3978999999999999</v>
      </c>
      <c r="P45" s="261">
        <f t="shared" si="39"/>
        <v>8.3695000000000004</v>
      </c>
      <c r="Q45" s="261">
        <f t="shared" si="40"/>
        <v>-0.30590000000000001</v>
      </c>
      <c r="R45" s="261">
        <f t="shared" si="41"/>
        <v>33.461500000000001</v>
      </c>
      <c r="S45"/>
      <c r="T45"/>
      <c r="U45"/>
      <c r="V45" s="261">
        <v>4.1793413499999994E-2</v>
      </c>
      <c r="W45" s="263">
        <f>ROUND(SUM(R45,V45:V45),2)</f>
        <v>33.5</v>
      </c>
      <c r="X45"/>
      <c r="Y45"/>
      <c r="AA45" s="251"/>
      <c r="AB45" s="251"/>
      <c r="AC45" s="255"/>
      <c r="AF45" s="251"/>
    </row>
    <row r="46" spans="12:32">
      <c r="L46" s="56" t="s">
        <v>868</v>
      </c>
      <c r="M46" s="282">
        <f>'[18]Percentiles_All_Bills July'!$L$9</f>
        <v>19</v>
      </c>
      <c r="N46" s="261">
        <f t="shared" si="37"/>
        <v>20</v>
      </c>
      <c r="O46" s="261">
        <f t="shared" si="38"/>
        <v>5.3978999999999999</v>
      </c>
      <c r="P46" s="261">
        <f t="shared" si="39"/>
        <v>8.3695000000000004</v>
      </c>
      <c r="Q46" s="261">
        <f t="shared" si="40"/>
        <v>-0.30590000000000001</v>
      </c>
      <c r="R46" s="261">
        <f t="shared" si="41"/>
        <v>33.461500000000001</v>
      </c>
      <c r="S46"/>
      <c r="T46"/>
      <c r="U46"/>
      <c r="V46" s="261">
        <v>4.1793413499999994E-2</v>
      </c>
      <c r="W46" s="263">
        <f>ROUND(SUM(R46,V46:V46),2)</f>
        <v>33.5</v>
      </c>
      <c r="X46"/>
      <c r="Y46"/>
      <c r="AB46" s="251"/>
      <c r="AE46" s="255"/>
      <c r="AF46" s="251"/>
    </row>
    <row r="47" spans="12:32">
      <c r="L47" s="267" t="s">
        <v>877</v>
      </c>
      <c r="M47" s="282">
        <f>AVERAGE(M43:M46)</f>
        <v>13.25</v>
      </c>
      <c r="N47" s="261">
        <f t="shared" si="37"/>
        <v>20</v>
      </c>
      <c r="O47" s="261">
        <f t="shared" si="38"/>
        <v>3.7643250000000004</v>
      </c>
      <c r="P47" s="261">
        <f t="shared" si="39"/>
        <v>5.8366249999999997</v>
      </c>
      <c r="Q47" s="261">
        <f t="shared" si="40"/>
        <v>-0.21332499999999999</v>
      </c>
      <c r="R47" s="261">
        <f>SUM(N47:Q47)</f>
        <v>29.387624999999996</v>
      </c>
      <c r="S47"/>
      <c r="T47"/>
      <c r="U47"/>
      <c r="V47" s="261">
        <v>3.6705143624999992E-2</v>
      </c>
      <c r="W47" s="263">
        <f>ROUND(SUM(R47,V47:V47),2)</f>
        <v>29.42</v>
      </c>
      <c r="X47"/>
      <c r="Y47"/>
      <c r="AB47" s="251"/>
      <c r="AE47" s="255"/>
      <c r="AF47" s="251"/>
    </row>
    <row r="48" spans="12:32">
      <c r="L48"/>
      <c r="M48"/>
      <c r="N48"/>
      <c r="O48"/>
      <c r="P48"/>
      <c r="Q48" s="264"/>
      <c r="R48"/>
      <c r="S48"/>
      <c r="T48"/>
      <c r="U48"/>
      <c r="V48"/>
      <c r="W48"/>
      <c r="X48"/>
      <c r="Y48"/>
      <c r="Z48"/>
      <c r="AA48"/>
    </row>
    <row r="49" spans="11:32" ht="15" customHeight="1">
      <c r="L49" s="284" t="s">
        <v>878</v>
      </c>
      <c r="M49" s="813" t="s">
        <v>872</v>
      </c>
      <c r="N49" s="814"/>
      <c r="O49" s="814"/>
      <c r="P49" s="815"/>
      <c r="Q49" s="296"/>
      <c r="S49"/>
      <c r="T49"/>
      <c r="U49"/>
      <c r="V49"/>
      <c r="W49"/>
      <c r="X49"/>
      <c r="Y49"/>
      <c r="Z49"/>
      <c r="AA49"/>
      <c r="AB49" s="251"/>
      <c r="AD49" s="255"/>
      <c r="AF49" s="251"/>
    </row>
    <row r="50" spans="11:32">
      <c r="M50" s="810" t="s">
        <v>859</v>
      </c>
      <c r="N50" s="816" t="s">
        <v>860</v>
      </c>
      <c r="O50" s="808" t="s">
        <v>861</v>
      </c>
      <c r="P50" s="808" t="s">
        <v>610</v>
      </c>
      <c r="Q50" s="808" t="s">
        <v>873</v>
      </c>
      <c r="R50" s="810" t="s">
        <v>863</v>
      </c>
      <c r="S50" s="808" t="s">
        <v>874</v>
      </c>
      <c r="T50" s="808" t="s">
        <v>875</v>
      </c>
      <c r="V50" s="811" t="s">
        <v>864</v>
      </c>
      <c r="W50" s="811" t="s">
        <v>870</v>
      </c>
      <c r="X50" s="811" t="s">
        <v>871</v>
      </c>
      <c r="Y50" s="811" t="s">
        <v>865</v>
      </c>
      <c r="Z50" s="808" t="s">
        <v>874</v>
      </c>
      <c r="AA50" s="808" t="s">
        <v>875</v>
      </c>
      <c r="AB50" s="251"/>
      <c r="AD50" s="255"/>
      <c r="AF50" s="251"/>
    </row>
    <row r="51" spans="11:32">
      <c r="L51"/>
      <c r="M51" s="810"/>
      <c r="N51" s="817"/>
      <c r="O51" s="809"/>
      <c r="P51" s="809"/>
      <c r="Q51" s="809"/>
      <c r="R51" s="810"/>
      <c r="S51" s="809"/>
      <c r="T51" s="809"/>
      <c r="V51" s="812"/>
      <c r="W51" s="812"/>
      <c r="X51" s="812"/>
      <c r="Y51" s="812"/>
      <c r="Z51" s="809"/>
      <c r="AA51" s="809"/>
      <c r="AB51" s="251"/>
      <c r="AD51" s="255"/>
      <c r="AF51" s="251"/>
    </row>
    <row r="52" spans="11:32">
      <c r="K52" s="278"/>
      <c r="L52" s="56" t="s">
        <v>482</v>
      </c>
      <c r="M52" s="282">
        <f>M43</f>
        <v>0</v>
      </c>
      <c r="N52" s="261">
        <f>VLOOKUP($N$32,$H$5:$J$5,3,0)</f>
        <v>28.32</v>
      </c>
      <c r="O52" s="261">
        <f>$J$8*M52</f>
        <v>0</v>
      </c>
      <c r="P52" s="261">
        <f>$J$10*M52</f>
        <v>0</v>
      </c>
      <c r="Q52" s="261">
        <f>M52*$J$9</f>
        <v>0</v>
      </c>
      <c r="R52" s="261">
        <f>SUM(N52:Q52)</f>
        <v>28.32</v>
      </c>
      <c r="S52" s="261">
        <f>R52-R43</f>
        <v>8.32</v>
      </c>
      <c r="T52" s="272">
        <f>S52/R43</f>
        <v>0.41600000000000004</v>
      </c>
      <c r="U52"/>
      <c r="V52" s="261">
        <v>3.7469999999999996E-2</v>
      </c>
      <c r="W52" s="261">
        <f>M52*$J$12</f>
        <v>0</v>
      </c>
      <c r="X52" s="261">
        <f>R52*$J$13</f>
        <v>0</v>
      </c>
      <c r="Y52" s="263">
        <f>ROUND(SUM(R52,V52:X52),2)</f>
        <v>28.36</v>
      </c>
      <c r="Z52" s="261">
        <f>Y52-W43</f>
        <v>8.34</v>
      </c>
      <c r="AA52" s="272">
        <f>Z52/W43</f>
        <v>0.41658341658341658</v>
      </c>
      <c r="AB52" s="251"/>
      <c r="AD52" s="255"/>
      <c r="AF52" s="251"/>
    </row>
    <row r="53" spans="11:32">
      <c r="L53" s="56" t="s">
        <v>866</v>
      </c>
      <c r="M53" s="282">
        <f t="shared" ref="M53:M56" si="42">M44</f>
        <v>15</v>
      </c>
      <c r="N53" s="261">
        <f t="shared" ref="N53:N56" si="43">VLOOKUP($N$32,$H$5:$J$5,3,0)</f>
        <v>28.32</v>
      </c>
      <c r="O53" s="261">
        <f t="shared" ref="O53:O56" si="44">$J$8*M53</f>
        <v>4.7010000000000005</v>
      </c>
      <c r="P53" s="261">
        <f t="shared" ref="P53:P56" si="45">$J$10*M53</f>
        <v>6.7004999999999999</v>
      </c>
      <c r="Q53" s="261">
        <f t="shared" ref="Q53:Q56" si="46">M53*$J$9</f>
        <v>0</v>
      </c>
      <c r="R53" s="261">
        <f t="shared" ref="R53:R56" si="47">SUM(N53:Q53)</f>
        <v>39.721499999999999</v>
      </c>
      <c r="S53" s="261">
        <f t="shared" ref="S53:S56" si="48">R53-R44</f>
        <v>9.0939999999999976</v>
      </c>
      <c r="T53" s="272">
        <f t="shared" ref="T53:T56" si="49">S53/R44</f>
        <v>0.2969227001877397</v>
      </c>
      <c r="U53"/>
      <c r="V53" s="261">
        <v>5.1997118999999994E-2</v>
      </c>
      <c r="W53" s="261">
        <f t="shared" ref="W53:W56" si="50">M53*$J$12</f>
        <v>0</v>
      </c>
      <c r="X53" s="261">
        <f t="shared" ref="X53:X56" si="51">R53*$J$13</f>
        <v>0</v>
      </c>
      <c r="Y53" s="263">
        <f t="shared" ref="Y53:Y56" si="52">ROUND(SUM(R53,V53:X53),2)</f>
        <v>39.770000000000003</v>
      </c>
      <c r="Z53" s="261">
        <f>Y53-W44</f>
        <v>9.1000000000000014</v>
      </c>
      <c r="AA53" s="272">
        <f>Z53/W44</f>
        <v>0.29670687968699055</v>
      </c>
      <c r="AB53" s="251"/>
      <c r="AD53" s="255"/>
      <c r="AF53" s="251"/>
    </row>
    <row r="54" spans="11:32">
      <c r="L54" s="56" t="s">
        <v>520</v>
      </c>
      <c r="M54" s="282">
        <f t="shared" si="42"/>
        <v>19</v>
      </c>
      <c r="N54" s="261">
        <f t="shared" si="43"/>
        <v>28.32</v>
      </c>
      <c r="O54" s="261">
        <f t="shared" si="44"/>
        <v>5.9546000000000001</v>
      </c>
      <c r="P54" s="261">
        <f t="shared" si="45"/>
        <v>8.4872999999999994</v>
      </c>
      <c r="Q54" s="261">
        <f t="shared" si="46"/>
        <v>0</v>
      </c>
      <c r="R54" s="261">
        <f t="shared" si="47"/>
        <v>42.761899999999997</v>
      </c>
      <c r="S54" s="261">
        <f t="shared" si="48"/>
        <v>9.3003999999999962</v>
      </c>
      <c r="T54" s="272">
        <f t="shared" si="49"/>
        <v>0.27794330798081363</v>
      </c>
      <c r="U54"/>
      <c r="V54" s="261">
        <v>5.5871017399999993E-2</v>
      </c>
      <c r="W54" s="261">
        <f t="shared" si="50"/>
        <v>0</v>
      </c>
      <c r="X54" s="261">
        <f t="shared" si="51"/>
        <v>0</v>
      </c>
      <c r="Y54" s="263">
        <f t="shared" si="52"/>
        <v>42.82</v>
      </c>
      <c r="Z54" s="261">
        <f>Y54-W45</f>
        <v>9.32</v>
      </c>
      <c r="AA54" s="272">
        <f>Z54/W45</f>
        <v>0.27820895522388062</v>
      </c>
      <c r="AB54" s="251"/>
      <c r="AD54" s="255"/>
      <c r="AF54" s="251"/>
    </row>
    <row r="55" spans="11:32">
      <c r="L55" s="56" t="s">
        <v>868</v>
      </c>
      <c r="M55" s="282">
        <f t="shared" si="42"/>
        <v>19</v>
      </c>
      <c r="N55" s="261">
        <f t="shared" si="43"/>
        <v>28.32</v>
      </c>
      <c r="O55" s="261">
        <f t="shared" si="44"/>
        <v>5.9546000000000001</v>
      </c>
      <c r="P55" s="261">
        <f t="shared" si="45"/>
        <v>8.4872999999999994</v>
      </c>
      <c r="Q55" s="261">
        <f t="shared" si="46"/>
        <v>0</v>
      </c>
      <c r="R55" s="261">
        <f t="shared" si="47"/>
        <v>42.761899999999997</v>
      </c>
      <c r="S55" s="261">
        <f t="shared" si="48"/>
        <v>9.3003999999999962</v>
      </c>
      <c r="T55" s="272">
        <f t="shared" si="49"/>
        <v>0.27794330798081363</v>
      </c>
      <c r="U55"/>
      <c r="V55" s="261">
        <v>5.5871017399999993E-2</v>
      </c>
      <c r="W55" s="261">
        <f t="shared" si="50"/>
        <v>0</v>
      </c>
      <c r="X55" s="261">
        <f t="shared" si="51"/>
        <v>0</v>
      </c>
      <c r="Y55" s="263">
        <f t="shared" si="52"/>
        <v>42.82</v>
      </c>
      <c r="Z55" s="261">
        <f>Y55-W46</f>
        <v>9.32</v>
      </c>
      <c r="AA55" s="272">
        <f>Z55/W46</f>
        <v>0.27820895522388062</v>
      </c>
      <c r="AB55" s="251"/>
      <c r="AD55" s="255"/>
      <c r="AF55" s="251"/>
    </row>
    <row r="56" spans="11:32">
      <c r="L56" s="267" t="s">
        <v>877</v>
      </c>
      <c r="M56" s="282">
        <f t="shared" si="42"/>
        <v>13.25</v>
      </c>
      <c r="N56" s="261">
        <f t="shared" si="43"/>
        <v>28.32</v>
      </c>
      <c r="O56" s="261">
        <f t="shared" si="44"/>
        <v>4.1525499999999997</v>
      </c>
      <c r="P56" s="261">
        <f t="shared" si="45"/>
        <v>5.9187750000000001</v>
      </c>
      <c r="Q56" s="261">
        <f t="shared" si="46"/>
        <v>0</v>
      </c>
      <c r="R56" s="261">
        <f t="shared" si="47"/>
        <v>38.391324999999995</v>
      </c>
      <c r="S56" s="261">
        <f t="shared" si="48"/>
        <v>9.0036999999999985</v>
      </c>
      <c r="T56" s="272">
        <f t="shared" si="49"/>
        <v>0.3063772591354354</v>
      </c>
      <c r="U56"/>
      <c r="V56" s="261">
        <v>5.0302288449999996E-2</v>
      </c>
      <c r="W56" s="261">
        <f t="shared" si="50"/>
        <v>0</v>
      </c>
      <c r="X56" s="261">
        <f t="shared" si="51"/>
        <v>0</v>
      </c>
      <c r="Y56" s="263">
        <f t="shared" si="52"/>
        <v>38.44</v>
      </c>
      <c r="Z56" s="261">
        <f>Y56-W47</f>
        <v>9.019999999999996</v>
      </c>
      <c r="AA56" s="272">
        <f>Z56/W47</f>
        <v>0.3065941536369815</v>
      </c>
      <c r="AB56" s="251"/>
      <c r="AD56" s="255"/>
      <c r="AF56" s="251"/>
    </row>
    <row r="57" spans="11:32"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 s="251"/>
      <c r="AD57" s="255"/>
      <c r="AF57" s="251"/>
    </row>
    <row r="58" spans="11:32"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 s="251"/>
      <c r="AD58" s="255"/>
      <c r="AF58" s="251"/>
    </row>
    <row r="59" spans="11:32"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1:32"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1:32" ht="15" customHeight="1"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 s="251"/>
      <c r="AD61" s="255"/>
      <c r="AF61" s="251"/>
    </row>
    <row r="62" spans="11:32" ht="21.75" customHeight="1"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 s="251"/>
      <c r="AD62" s="255"/>
      <c r="AF62" s="251"/>
    </row>
    <row r="63" spans="11:32"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 s="251"/>
      <c r="AD63" s="255"/>
      <c r="AF63" s="251"/>
    </row>
    <row r="64" spans="11:32"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 s="251"/>
      <c r="AD64" s="255"/>
      <c r="AF64" s="251"/>
    </row>
    <row r="65" spans="12:32"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 s="251"/>
      <c r="AD65" s="255"/>
      <c r="AF65" s="251"/>
    </row>
    <row r="66" spans="12:32"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 s="251"/>
      <c r="AD66" s="255"/>
      <c r="AF66" s="251"/>
    </row>
    <row r="67" spans="12:32"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 s="251"/>
      <c r="AD67" s="255"/>
      <c r="AF67" s="251"/>
    </row>
    <row r="68" spans="12:32"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 s="251"/>
      <c r="AD68" s="255"/>
      <c r="AF68" s="251"/>
    </row>
    <row r="69" spans="12:32"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 s="251"/>
      <c r="AD69" s="255"/>
      <c r="AF69" s="251"/>
    </row>
    <row r="70" spans="12:32"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 s="251"/>
      <c r="AD70" s="255"/>
      <c r="AF70" s="251"/>
    </row>
  </sheetData>
  <mergeCells count="73">
    <mergeCell ref="AA32:AA33"/>
    <mergeCell ref="Y32:Y33"/>
    <mergeCell ref="Z32:Z33"/>
    <mergeCell ref="Z50:Z51"/>
    <mergeCell ref="AA50:AA51"/>
    <mergeCell ref="Y50:Y51"/>
    <mergeCell ref="AA14:AA15"/>
    <mergeCell ref="X14:X15"/>
    <mergeCell ref="Y14:Y15"/>
    <mergeCell ref="Z14:Z15"/>
    <mergeCell ref="V23:V24"/>
    <mergeCell ref="W23:W24"/>
    <mergeCell ref="V4:V5"/>
    <mergeCell ref="W4:W5"/>
    <mergeCell ref="M13:P13"/>
    <mergeCell ref="M14:M15"/>
    <mergeCell ref="N14:N15"/>
    <mergeCell ref="O14:O15"/>
    <mergeCell ref="P14:P15"/>
    <mergeCell ref="R14:R15"/>
    <mergeCell ref="S14:S15"/>
    <mergeCell ref="T14:T15"/>
    <mergeCell ref="V14:V15"/>
    <mergeCell ref="W14:W15"/>
    <mergeCell ref="Q14:Q15"/>
    <mergeCell ref="L1:T1"/>
    <mergeCell ref="M3:P3"/>
    <mergeCell ref="M4:M5"/>
    <mergeCell ref="N4:N5"/>
    <mergeCell ref="O4:O5"/>
    <mergeCell ref="P4:P5"/>
    <mergeCell ref="R4:R5"/>
    <mergeCell ref="Q4:Q5"/>
    <mergeCell ref="M22:P22"/>
    <mergeCell ref="M23:M24"/>
    <mergeCell ref="N23:N24"/>
    <mergeCell ref="O23:O24"/>
    <mergeCell ref="P23:P24"/>
    <mergeCell ref="M41:M42"/>
    <mergeCell ref="N41:N42"/>
    <mergeCell ref="O41:O42"/>
    <mergeCell ref="P41:P42"/>
    <mergeCell ref="N32:N33"/>
    <mergeCell ref="O32:O33"/>
    <mergeCell ref="P32:P33"/>
    <mergeCell ref="R23:R24"/>
    <mergeCell ref="M31:P31"/>
    <mergeCell ref="Q23:Q24"/>
    <mergeCell ref="M32:M33"/>
    <mergeCell ref="M40:P40"/>
    <mergeCell ref="Q32:Q33"/>
    <mergeCell ref="M49:P49"/>
    <mergeCell ref="M50:M51"/>
    <mergeCell ref="N50:N51"/>
    <mergeCell ref="O50:O51"/>
    <mergeCell ref="P50:P51"/>
    <mergeCell ref="Q41:Q42"/>
    <mergeCell ref="Q50:Q51"/>
    <mergeCell ref="R41:R42"/>
    <mergeCell ref="S50:S51"/>
    <mergeCell ref="T50:T51"/>
    <mergeCell ref="R50:R51"/>
    <mergeCell ref="X50:X51"/>
    <mergeCell ref="X32:X33"/>
    <mergeCell ref="R32:R33"/>
    <mergeCell ref="W32:W33"/>
    <mergeCell ref="V41:V42"/>
    <mergeCell ref="W41:W42"/>
    <mergeCell ref="V32:V33"/>
    <mergeCell ref="S32:S33"/>
    <mergeCell ref="T32:T33"/>
    <mergeCell ref="V50:V51"/>
    <mergeCell ref="W50:W51"/>
  </mergeCells>
  <conditionalFormatting sqref="J12">
    <cfRule type="containsBlanks" dxfId="119" priority="1">
      <formula>LEN(TRIM(J12))=0</formula>
    </cfRule>
  </conditionalFormatting>
  <printOptions horizontalCentered="1"/>
  <pageMargins left="0.45" right="0.45" top="1.25" bottom="0.75" header="0.5" footer="0.3"/>
  <pageSetup scale="92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1" max="26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4352E-7A00-45DE-AADC-BC6162234A4D}">
  <sheetPr codeName="Sheet29">
    <tabColor rgb="FF0066FF"/>
    <pageSetUpPr fitToPage="1"/>
  </sheetPr>
  <dimension ref="A1:AG70"/>
  <sheetViews>
    <sheetView zoomScale="90" zoomScaleNormal="90" zoomScaleSheetLayoutView="70" workbookViewId="0">
      <selection activeCell="B6" sqref="B6"/>
    </sheetView>
  </sheetViews>
  <sheetFormatPr defaultColWidth="9.28515625" defaultRowHeight="15"/>
  <cols>
    <col min="1" max="4" width="9.28515625" style="251"/>
    <col min="5" max="5" width="12.5703125" style="251" bestFit="1" customWidth="1"/>
    <col min="6" max="6" width="14.42578125" style="251" bestFit="1" customWidth="1"/>
    <col min="7" max="7" width="19.140625" style="251" bestFit="1" customWidth="1"/>
    <col min="8" max="8" width="21.85546875" style="57" bestFit="1" customWidth="1"/>
    <col min="9" max="10" width="9.7109375" style="57" bestFit="1" customWidth="1"/>
    <col min="11" max="11" width="3.42578125" style="57" customWidth="1"/>
    <col min="12" max="12" width="9.7109375" style="57" bestFit="1" customWidth="1"/>
    <col min="13" max="18" width="10.28515625" style="57" customWidth="1"/>
    <col min="19" max="19" width="8.28515625" style="57" bestFit="1" customWidth="1"/>
    <col min="20" max="20" width="7.5703125" style="57" bestFit="1" customWidth="1"/>
    <col min="21" max="21" width="7.5703125" style="57" customWidth="1"/>
    <col min="22" max="22" width="7" style="57" bestFit="1" customWidth="1"/>
    <col min="23" max="23" width="9.85546875" style="57" bestFit="1" customWidth="1"/>
    <col min="24" max="24" width="10.140625" style="57" bestFit="1" customWidth="1"/>
    <col min="25" max="25" width="9.85546875" style="57" bestFit="1" customWidth="1"/>
    <col min="26" max="26" width="8.140625" style="57" bestFit="1" customWidth="1"/>
    <col min="27" max="28" width="7.5703125" style="57" customWidth="1"/>
    <col min="29" max="31" width="9.28515625" style="251"/>
    <col min="32" max="32" width="9.28515625" style="255"/>
    <col min="33" max="16384" width="9.28515625" style="251"/>
  </cols>
  <sheetData>
    <row r="1" spans="1:33">
      <c r="H1" s="57" t="s">
        <v>854</v>
      </c>
      <c r="I1" s="4" t="s">
        <v>774</v>
      </c>
      <c r="J1" s="56" t="s">
        <v>535</v>
      </c>
      <c r="L1" s="818" t="s">
        <v>893</v>
      </c>
      <c r="M1" s="818"/>
      <c r="N1" s="818"/>
      <c r="O1" s="818"/>
      <c r="P1" s="818"/>
      <c r="Q1" s="818"/>
      <c r="R1" s="818"/>
      <c r="S1" s="818"/>
      <c r="T1" s="818"/>
      <c r="U1" s="253"/>
      <c r="V1" s="254"/>
    </row>
    <row r="2" spans="1:33">
      <c r="M2" s="256" t="s">
        <v>856</v>
      </c>
    </row>
    <row r="3" spans="1:33" ht="15" customHeight="1">
      <c r="J3" s="100"/>
      <c r="M3" s="813" t="s">
        <v>857</v>
      </c>
      <c r="N3" s="814"/>
      <c r="O3" s="814"/>
      <c r="P3" s="815"/>
      <c r="Q3" s="296"/>
      <c r="U3" s="251"/>
      <c r="AA3" s="251"/>
      <c r="AB3" s="251"/>
      <c r="AD3" s="255"/>
      <c r="AF3" s="251"/>
    </row>
    <row r="4" spans="1:33" ht="21.75" customHeight="1">
      <c r="A4" s="251" t="s">
        <v>598</v>
      </c>
      <c r="B4" s="251" t="s">
        <v>599</v>
      </c>
      <c r="C4" s="251" t="s">
        <v>587</v>
      </c>
      <c r="D4" s="279" t="s">
        <v>880</v>
      </c>
      <c r="E4" s="251" t="s">
        <v>600</v>
      </c>
      <c r="F4" s="251" t="s">
        <v>601</v>
      </c>
      <c r="G4" s="251" t="s">
        <v>858</v>
      </c>
      <c r="I4" s="257" t="s">
        <v>828</v>
      </c>
      <c r="J4" s="257" t="s">
        <v>551</v>
      </c>
      <c r="M4" s="810" t="s">
        <v>859</v>
      </c>
      <c r="N4" s="816" t="s">
        <v>860</v>
      </c>
      <c r="O4" s="808" t="s">
        <v>861</v>
      </c>
      <c r="P4" s="808" t="s">
        <v>610</v>
      </c>
      <c r="Q4" s="808" t="s">
        <v>862</v>
      </c>
      <c r="R4" s="810" t="s">
        <v>863</v>
      </c>
      <c r="V4" s="811" t="s">
        <v>864</v>
      </c>
      <c r="W4" s="811" t="s">
        <v>865</v>
      </c>
      <c r="AB4" s="251"/>
      <c r="AE4" s="255"/>
      <c r="AF4" s="251"/>
    </row>
    <row r="5" spans="1:33">
      <c r="A5" s="100">
        <v>41030</v>
      </c>
      <c r="B5" s="100">
        <v>46082</v>
      </c>
      <c r="C5" s="251" t="s">
        <v>535</v>
      </c>
      <c r="D5" s="251" t="s">
        <v>522</v>
      </c>
      <c r="E5" s="100" t="str">
        <f t="shared" ref="E5:E11" si="0">IF(C5="","",A5&amp;$C5)</f>
        <v>41030GGLVS</v>
      </c>
      <c r="F5" s="100" t="str">
        <f>IF(E5="","",B5&amp;$D5)</f>
        <v>46082GILVS</v>
      </c>
      <c r="G5" s="251" t="str">
        <f>IFERROR(IF(VLOOKUP(H5,Lookup!$A$1:$B$200,2,0)="","",VLOOKUP(H5,Lookup!$A$1:$B$200,2,0)),"")</f>
        <v>BASIC_SERVICE_CHARGE</v>
      </c>
      <c r="H5" s="258" t="s">
        <v>607</v>
      </c>
      <c r="I5" s="259">
        <f>VLOOKUP(E5,'UNSG - ALL RATES'!$A$1:$DF$43,MATCH($G5,'UNSG - ALL RATES'!$A$2:$DF$2,0),0)</f>
        <v>225</v>
      </c>
      <c r="J5" s="259">
        <f>VLOOKUP(F5,'UNSG - ALL RATES'!$A$1:$DF$43,MATCH($G5,'UNSG - ALL RATES'!$A$2:$DF$2,0),0)</f>
        <v>285.73</v>
      </c>
      <c r="K5" s="259"/>
      <c r="M5" s="810"/>
      <c r="N5" s="817"/>
      <c r="O5" s="809"/>
      <c r="P5" s="809"/>
      <c r="Q5" s="809"/>
      <c r="R5" s="810"/>
      <c r="U5" s="251"/>
      <c r="V5" s="812"/>
      <c r="W5" s="812"/>
      <c r="AA5" s="251"/>
      <c r="AB5" s="251"/>
      <c r="AD5" s="255"/>
      <c r="AF5" s="251"/>
    </row>
    <row r="6" spans="1:33">
      <c r="A6" s="100">
        <v>41030</v>
      </c>
      <c r="B6" s="100">
        <f>$B$5</f>
        <v>46082</v>
      </c>
      <c r="C6" s="251" t="s">
        <v>535</v>
      </c>
      <c r="D6" s="251" t="s">
        <v>522</v>
      </c>
      <c r="E6" s="100" t="str">
        <f t="shared" si="0"/>
        <v>41030GGLVS</v>
      </c>
      <c r="F6" s="100" t="str">
        <f t="shared" ref="F6:F11" si="1">IF(E6="","",B6&amp;$D6)</f>
        <v>46082GILVS</v>
      </c>
      <c r="G6" s="251" t="str">
        <f>IFERROR(IF(VLOOKUP(H6,Lookup!$A$1:$B$200,2,0)="","",VLOOKUP(H6,Lookup!$A$1:$B$200,2,0)),"")</f>
        <v/>
      </c>
      <c r="H6" s="258"/>
      <c r="I6" s="259"/>
      <c r="J6" s="259"/>
      <c r="K6" s="259"/>
      <c r="L6" s="56" t="s">
        <v>482</v>
      </c>
      <c r="M6" s="260">
        <f>AVERAGE(M25,M43)</f>
        <v>827.75</v>
      </c>
      <c r="N6" s="261">
        <f>VLOOKUP(N4,$H$5:$J$5,2,0)</f>
        <v>225</v>
      </c>
      <c r="O6" s="261">
        <f>$I$8*M6</f>
        <v>174.15860000000001</v>
      </c>
      <c r="P6" s="261">
        <f>$I$10*M6</f>
        <v>364.623875</v>
      </c>
      <c r="Q6" s="261">
        <f>M6*$I$9</f>
        <v>-13.326775</v>
      </c>
      <c r="R6" s="261">
        <f>SUM(N6:Q6)</f>
        <v>750.45569999999998</v>
      </c>
      <c r="U6" s="262"/>
      <c r="V6" s="261">
        <v>0</v>
      </c>
      <c r="W6" s="263">
        <f>ROUND(SUM(R6,V6:V6),2)</f>
        <v>750.46</v>
      </c>
      <c r="Z6" s="262"/>
      <c r="AA6" s="251"/>
      <c r="AB6" s="251"/>
      <c r="AD6" s="255"/>
      <c r="AF6" s="251"/>
    </row>
    <row r="7" spans="1:33">
      <c r="A7" s="100">
        <v>41030</v>
      </c>
      <c r="B7" s="100">
        <f t="shared" ref="B7:B18" si="2">$B$5</f>
        <v>46082</v>
      </c>
      <c r="C7" s="251" t="s">
        <v>535</v>
      </c>
      <c r="D7" s="251" t="s">
        <v>522</v>
      </c>
      <c r="E7" s="100" t="str">
        <f t="shared" si="0"/>
        <v>41030GGLVS</v>
      </c>
      <c r="F7" s="100" t="str">
        <f t="shared" si="1"/>
        <v>46082GILVS</v>
      </c>
      <c r="G7" s="251" t="str">
        <f>IFERROR(IF(VLOOKUP(H7,Lookup!$A$1:$B$200,2,0)="","",VLOOKUP(H7,Lookup!$A$1:$B$200,2,0)),"")</f>
        <v/>
      </c>
      <c r="H7" s="258" t="s">
        <v>512</v>
      </c>
      <c r="I7" s="259"/>
      <c r="J7" s="259"/>
      <c r="K7" s="264"/>
      <c r="L7" s="56" t="s">
        <v>866</v>
      </c>
      <c r="M7" s="260">
        <f t="shared" ref="M7:M10" si="3">AVERAGE(M26,M44)</f>
        <v>3846</v>
      </c>
      <c r="N7" s="261">
        <f>N6</f>
        <v>225</v>
      </c>
      <c r="O7" s="261">
        <f t="shared" ref="O7:O10" si="4">$I$8*M7</f>
        <v>809.19839999999999</v>
      </c>
      <c r="P7" s="261">
        <f t="shared" ref="P7:P10" si="5">$I$10*M7</f>
        <v>1694.163</v>
      </c>
      <c r="Q7" s="261">
        <f t="shared" ref="Q7:Q10" si="6">M7*$I$9</f>
        <v>-61.9206</v>
      </c>
      <c r="R7" s="261">
        <f t="shared" ref="R7:R10" si="7">SUM(N7:Q7)</f>
        <v>2666.4407999999999</v>
      </c>
      <c r="U7" s="262"/>
      <c r="V7" s="261">
        <v>0</v>
      </c>
      <c r="W7" s="263">
        <f>ROUND(SUM(R7,V7:V7),2)</f>
        <v>2666.44</v>
      </c>
      <c r="Z7" s="262"/>
      <c r="AA7" s="251"/>
      <c r="AB7" s="251"/>
      <c r="AD7" s="255"/>
      <c r="AF7" s="251"/>
    </row>
    <row r="8" spans="1:33">
      <c r="A8" s="100">
        <v>41030</v>
      </c>
      <c r="B8" s="100">
        <f t="shared" si="2"/>
        <v>46082</v>
      </c>
      <c r="C8" s="251" t="s">
        <v>535</v>
      </c>
      <c r="D8" s="251" t="s">
        <v>522</v>
      </c>
      <c r="E8" s="100" t="str">
        <f t="shared" si="0"/>
        <v>41030GGLVS</v>
      </c>
      <c r="F8" s="100" t="str">
        <f t="shared" si="1"/>
        <v>46082GILVS</v>
      </c>
      <c r="G8" s="251" t="str">
        <f>IFERROR(IF(VLOOKUP(H8,Lookup!$A$1:$B$200,2,0)="","",VLOOKUP(H8,Lookup!$A$1:$B$200,2,0)),"")</f>
        <v>THERM_DELIVERY_TIER1</v>
      </c>
      <c r="H8" s="57" t="s">
        <v>609</v>
      </c>
      <c r="I8" s="265">
        <f>VLOOKUP(E8,'UNSG - ALL RATES'!$A$1:$DF$43,MATCH($G8,'UNSG - ALL RATES'!$A$2:$DF$2,0),0)</f>
        <v>0.2104</v>
      </c>
      <c r="J8" s="265">
        <f>VLOOKUP(F8,'UNSG - ALL RATES'!$A$1:$DF$43,MATCH($G8,'UNSG - ALL RATES'!$A$2:$DF$2,0),0)</f>
        <v>0.16200000000000001</v>
      </c>
      <c r="K8" s="264"/>
      <c r="L8" s="56" t="s">
        <v>520</v>
      </c>
      <c r="M8" s="260">
        <f t="shared" si="3"/>
        <v>20319.5</v>
      </c>
      <c r="N8" s="261">
        <f t="shared" ref="N8:N10" si="8">N7</f>
        <v>225</v>
      </c>
      <c r="O8" s="261">
        <f t="shared" si="4"/>
        <v>4275.2228000000005</v>
      </c>
      <c r="P8" s="261">
        <f t="shared" si="5"/>
        <v>8950.7397500000006</v>
      </c>
      <c r="Q8" s="261">
        <f t="shared" si="6"/>
        <v>-327.14395000000002</v>
      </c>
      <c r="R8" s="261">
        <f t="shared" si="7"/>
        <v>13123.818600000001</v>
      </c>
      <c r="U8" s="262"/>
      <c r="V8" s="261">
        <v>0</v>
      </c>
      <c r="W8" s="263">
        <f>ROUND(SUM(R8,V8:V8),2)</f>
        <v>13123.82</v>
      </c>
      <c r="Z8" s="262"/>
      <c r="AA8" s="251"/>
      <c r="AB8" s="251"/>
      <c r="AD8" s="255"/>
      <c r="AF8" s="251"/>
    </row>
    <row r="9" spans="1:33">
      <c r="A9" s="100">
        <v>41030</v>
      </c>
      <c r="B9" s="100">
        <f t="shared" si="2"/>
        <v>46082</v>
      </c>
      <c r="C9" s="251" t="s">
        <v>535</v>
      </c>
      <c r="D9" s="251" t="s">
        <v>522</v>
      </c>
      <c r="E9" s="100" t="str">
        <f t="shared" si="0"/>
        <v>41030GGLVS</v>
      </c>
      <c r="F9" s="100" t="str">
        <f t="shared" si="1"/>
        <v>46082GILVS</v>
      </c>
      <c r="G9" s="251" t="str">
        <f>IFERROR(IF(VLOOKUP(H9,Lookup!$A$1:$B$200,2,0)="","",VLOOKUP(H9,Lookup!$A$1:$B$200,2,0)),"")</f>
        <v/>
      </c>
      <c r="H9" s="57" t="s">
        <v>867</v>
      </c>
      <c r="I9" s="264">
        <v>-1.61E-2</v>
      </c>
      <c r="J9" s="674">
        <v>0</v>
      </c>
      <c r="K9" s="264"/>
      <c r="L9" s="56" t="s">
        <v>868</v>
      </c>
      <c r="M9" s="260">
        <f t="shared" si="3"/>
        <v>27459</v>
      </c>
      <c r="N9" s="261">
        <f t="shared" si="8"/>
        <v>225</v>
      </c>
      <c r="O9" s="261">
        <f t="shared" si="4"/>
        <v>5777.3735999999999</v>
      </c>
      <c r="P9" s="261">
        <f t="shared" si="5"/>
        <v>12095.6895</v>
      </c>
      <c r="Q9" s="261">
        <f t="shared" si="6"/>
        <v>-442.0899</v>
      </c>
      <c r="R9" s="261">
        <f t="shared" si="7"/>
        <v>17655.9732</v>
      </c>
      <c r="U9" s="262"/>
      <c r="V9" s="261">
        <v>0</v>
      </c>
      <c r="W9" s="263">
        <f>ROUND(SUM(R9,V9:V9),2)</f>
        <v>17655.97</v>
      </c>
      <c r="Z9" s="262"/>
      <c r="AA9" s="251"/>
      <c r="AB9" s="251"/>
      <c r="AD9" s="255"/>
      <c r="AF9" s="251"/>
    </row>
    <row r="10" spans="1:33">
      <c r="A10" s="100">
        <v>41030</v>
      </c>
      <c r="B10" s="100">
        <f t="shared" si="2"/>
        <v>46082</v>
      </c>
      <c r="C10" s="251" t="s">
        <v>535</v>
      </c>
      <c r="D10" s="251" t="s">
        <v>522</v>
      </c>
      <c r="E10" s="100" t="str">
        <f t="shared" si="0"/>
        <v>41030GGLVS</v>
      </c>
      <c r="F10" s="100" t="str">
        <f t="shared" si="1"/>
        <v>46082GILVS</v>
      </c>
      <c r="G10" s="251" t="str">
        <f>IFERROR(IF(VLOOKUP(H10,Lookup!$A$1:$B$200,2,0)="","",VLOOKUP(H10,Lookup!$A$1:$B$200,2,0)),"")</f>
        <v/>
      </c>
      <c r="H10" s="266" t="s">
        <v>610</v>
      </c>
      <c r="I10" s="264">
        <f>'PGA Calculation'!$B$3</f>
        <v>0.4405</v>
      </c>
      <c r="J10" s="264">
        <f>'PGA Calculation'!$B$13</f>
        <v>0.44669999999999999</v>
      </c>
      <c r="K10" s="264"/>
      <c r="L10" s="267" t="s">
        <v>869</v>
      </c>
      <c r="M10" s="260">
        <f t="shared" si="3"/>
        <v>3789.902472527473</v>
      </c>
      <c r="N10" s="261">
        <f t="shared" si="8"/>
        <v>225</v>
      </c>
      <c r="O10" s="261">
        <f t="shared" si="4"/>
        <v>797.39548021978032</v>
      </c>
      <c r="P10" s="261">
        <f t="shared" si="5"/>
        <v>1669.4520391483518</v>
      </c>
      <c r="Q10" s="261">
        <f t="shared" si="6"/>
        <v>-61.017429807692317</v>
      </c>
      <c r="R10" s="261">
        <f t="shared" si="7"/>
        <v>2630.8300895604398</v>
      </c>
      <c r="U10" s="262"/>
      <c r="V10" s="261">
        <v>0</v>
      </c>
      <c r="W10" s="263">
        <f>ROUND(SUM(R10,V10:V10),2)</f>
        <v>2630.83</v>
      </c>
      <c r="Z10" s="262"/>
      <c r="AA10" s="251"/>
      <c r="AB10" s="251"/>
      <c r="AD10" s="255"/>
      <c r="AF10" s="251"/>
    </row>
    <row r="11" spans="1:33">
      <c r="A11" s="100">
        <v>41030</v>
      </c>
      <c r="B11" s="100">
        <f t="shared" si="2"/>
        <v>46082</v>
      </c>
      <c r="C11" s="251" t="s">
        <v>535</v>
      </c>
      <c r="D11" s="251" t="s">
        <v>522</v>
      </c>
      <c r="E11" s="100" t="str">
        <f t="shared" si="0"/>
        <v>41030GGLVS</v>
      </c>
      <c r="F11" s="100" t="str">
        <f t="shared" si="1"/>
        <v>46082GILVS</v>
      </c>
      <c r="G11" s="251" t="str">
        <f>IFERROR(IF(VLOOKUP(H11,Lookup!$A$1:$B$200,2,0)="","",VLOOKUP(H11,Lookup!$A$1:$B$200,2,0)),"")</f>
        <v/>
      </c>
      <c r="H11" s="258"/>
      <c r="I11" s="264"/>
      <c r="J11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W11" s="268"/>
      <c r="X11" s="268"/>
      <c r="Y11" s="268"/>
      <c r="Z11" s="269"/>
      <c r="AB11" s="262"/>
    </row>
    <row r="12" spans="1:33">
      <c r="A12" s="100"/>
      <c r="B12" s="100"/>
      <c r="E12" s="100"/>
      <c r="F12" s="100"/>
      <c r="H12" s="258" t="s">
        <v>870</v>
      </c>
      <c r="I12" s="264">
        <v>0</v>
      </c>
      <c r="J12" s="669">
        <f>'UNSG Riders- Current'!$C$3</f>
        <v>0</v>
      </c>
      <c r="K12" s="264"/>
      <c r="R12" s="270"/>
    </row>
    <row r="13" spans="1:33" ht="15" customHeight="1">
      <c r="A13" s="100">
        <v>41030</v>
      </c>
      <c r="B13" s="100">
        <f t="shared" si="2"/>
        <v>46082</v>
      </c>
      <c r="C13" s="251" t="str">
        <f>C11</f>
        <v>GGLVS</v>
      </c>
      <c r="D13" s="251" t="s">
        <v>522</v>
      </c>
      <c r="E13" s="100" t="str">
        <f t="shared" ref="E13:E18" si="9">IF(C13="","",A13&amp;$C13)</f>
        <v>41030GGLVS</v>
      </c>
      <c r="F13" s="100" t="str">
        <f>IF(E13="","",B13&amp;$D13)</f>
        <v>46082GILVS</v>
      </c>
      <c r="G13" s="251" t="str">
        <f>IFERROR(IF(VLOOKUP(H13,Lookup!$A$1:$B$200,2,0)="","",VLOOKUP(H13,Lookup!$A$1:$B$200,2,0)),"")</f>
        <v/>
      </c>
      <c r="H13" s="266" t="s">
        <v>871</v>
      </c>
      <c r="I13" s="264">
        <v>0</v>
      </c>
      <c r="J13" s="675">
        <f>'UNSG Riders- Current'!$C$5</f>
        <v>0</v>
      </c>
      <c r="M13" s="813" t="s">
        <v>872</v>
      </c>
      <c r="N13" s="814"/>
      <c r="O13" s="814"/>
      <c r="P13" s="815"/>
      <c r="Q13" s="296"/>
      <c r="U13" s="251"/>
      <c r="W13" s="271"/>
      <c r="AA13" s="251"/>
      <c r="AB13" s="251"/>
      <c r="AD13" s="255"/>
      <c r="AF13" s="251"/>
    </row>
    <row r="14" spans="1:33">
      <c r="A14" s="100">
        <v>41030</v>
      </c>
      <c r="B14" s="100">
        <f t="shared" si="2"/>
        <v>46082</v>
      </c>
      <c r="C14" s="251" t="str">
        <f t="shared" ref="C14:C18" si="10">C13</f>
        <v>GGLVS</v>
      </c>
      <c r="D14" s="251" t="s">
        <v>522</v>
      </c>
      <c r="E14" s="100" t="str">
        <f t="shared" si="9"/>
        <v>41030GGLVS</v>
      </c>
      <c r="F14" s="100" t="str">
        <f t="shared" ref="F14:F18" si="11">IF(E14="","",B14&amp;$D14)</f>
        <v>46082GILVS</v>
      </c>
      <c r="G14" s="251" t="str">
        <f>IFERROR(IF(VLOOKUP(H14,Lookup!$A$1:$B$200,2,0)="","",VLOOKUP(H14,Lookup!$A$1:$B$200,2,0)),"")</f>
        <v/>
      </c>
      <c r="J14"/>
      <c r="M14" s="810" t="s">
        <v>859</v>
      </c>
      <c r="N14" s="816" t="s">
        <v>860</v>
      </c>
      <c r="O14" s="808" t="s">
        <v>861</v>
      </c>
      <c r="P14" s="808" t="s">
        <v>610</v>
      </c>
      <c r="Q14" s="808" t="s">
        <v>873</v>
      </c>
      <c r="R14" s="810" t="s">
        <v>863</v>
      </c>
      <c r="S14" s="808" t="s">
        <v>874</v>
      </c>
      <c r="T14" s="808" t="s">
        <v>875</v>
      </c>
      <c r="V14" s="811" t="s">
        <v>864</v>
      </c>
      <c r="W14" s="811" t="s">
        <v>870</v>
      </c>
      <c r="X14" s="811" t="s">
        <v>871</v>
      </c>
      <c r="Y14" s="811" t="s">
        <v>865</v>
      </c>
      <c r="Z14" s="808" t="s">
        <v>874</v>
      </c>
      <c r="AA14" s="808" t="s">
        <v>875</v>
      </c>
      <c r="AC14" s="57"/>
      <c r="AF14" s="251"/>
      <c r="AG14" s="255"/>
    </row>
    <row r="15" spans="1:33" ht="16.5" customHeight="1">
      <c r="A15" s="100">
        <v>41030</v>
      </c>
      <c r="B15" s="100">
        <f t="shared" si="2"/>
        <v>46082</v>
      </c>
      <c r="C15" s="251" t="str">
        <f t="shared" si="10"/>
        <v>GGLVS</v>
      </c>
      <c r="D15" s="251" t="s">
        <v>522</v>
      </c>
      <c r="E15" s="100" t="str">
        <f t="shared" si="9"/>
        <v>41030GGLVS</v>
      </c>
      <c r="F15" s="100" t="str">
        <f t="shared" si="11"/>
        <v>46082GILVS</v>
      </c>
      <c r="G15" s="251" t="str">
        <f>IFERROR(IF(VLOOKUP(H15,Lookup!$A$1:$B$200,2,0)="","",VLOOKUP(H15,Lookup!$A$1:$B$200,2,0)),"")</f>
        <v/>
      </c>
      <c r="I15" s="264"/>
      <c r="J15"/>
      <c r="M15" s="810"/>
      <c r="N15" s="817"/>
      <c r="O15" s="809"/>
      <c r="P15" s="809"/>
      <c r="Q15" s="809"/>
      <c r="R15" s="810"/>
      <c r="S15" s="809"/>
      <c r="T15" s="809"/>
      <c r="V15" s="812"/>
      <c r="W15" s="812"/>
      <c r="X15" s="812"/>
      <c r="Y15" s="812"/>
      <c r="Z15" s="809"/>
      <c r="AA15" s="809"/>
      <c r="AC15" s="57"/>
      <c r="AF15" s="251"/>
      <c r="AG15" s="255"/>
    </row>
    <row r="16" spans="1:33">
      <c r="A16" s="100">
        <v>41030</v>
      </c>
      <c r="B16" s="100">
        <f t="shared" si="2"/>
        <v>46082</v>
      </c>
      <c r="C16" s="251" t="str">
        <f t="shared" si="10"/>
        <v>GGLVS</v>
      </c>
      <c r="D16" s="251" t="s">
        <v>522</v>
      </c>
      <c r="E16" s="100" t="str">
        <f t="shared" si="9"/>
        <v>41030GGLVS</v>
      </c>
      <c r="F16" s="100" t="str">
        <f t="shared" si="11"/>
        <v>46082GILVS</v>
      </c>
      <c r="H16" s="130"/>
      <c r="I16" s="264"/>
      <c r="J16" s="264"/>
      <c r="K16" s="264"/>
      <c r="L16" s="56" t="s">
        <v>482</v>
      </c>
      <c r="M16" s="260">
        <f>M6</f>
        <v>827.75</v>
      </c>
      <c r="N16" s="261">
        <f>VLOOKUP(N14,$H$5:$J$5,3,0)</f>
        <v>285.73</v>
      </c>
      <c r="O16" s="261">
        <f>$J$8*M16</f>
        <v>134.09550000000002</v>
      </c>
      <c r="P16" s="261">
        <f>$J$10*M16</f>
        <v>369.75592499999999</v>
      </c>
      <c r="Q16" s="261">
        <f>M16*$J$9</f>
        <v>0</v>
      </c>
      <c r="R16" s="261">
        <f>SUM(N16:Q16)</f>
        <v>789.58142500000008</v>
      </c>
      <c r="S16" s="261">
        <f>R16-R6</f>
        <v>39.125725000000102</v>
      </c>
      <c r="T16" s="272">
        <f>S16/R6</f>
        <v>5.2135955526755415E-2</v>
      </c>
      <c r="U16" s="273"/>
      <c r="V16" s="261">
        <v>0</v>
      </c>
      <c r="W16" s="261">
        <f>M16*$J$12</f>
        <v>0</v>
      </c>
      <c r="X16" s="261">
        <f>R16*$J$13</f>
        <v>0</v>
      </c>
      <c r="Y16" s="263">
        <f>ROUND(SUM(R16,V16:X16),2)</f>
        <v>789.58</v>
      </c>
      <c r="Z16" s="261">
        <f>Y16-W6</f>
        <v>39.120000000000005</v>
      </c>
      <c r="AA16" s="272">
        <f>Z16/W6</f>
        <v>5.2128028142739126E-2</v>
      </c>
      <c r="AC16" s="57"/>
      <c r="AF16" s="251"/>
      <c r="AG16" s="255"/>
    </row>
    <row r="17" spans="1:33">
      <c r="A17" s="100">
        <v>41030</v>
      </c>
      <c r="B17" s="100">
        <f t="shared" si="2"/>
        <v>46082</v>
      </c>
      <c r="C17" s="251" t="str">
        <f t="shared" si="10"/>
        <v>GGLVS</v>
      </c>
      <c r="D17" s="251" t="s">
        <v>522</v>
      </c>
      <c r="E17" s="100" t="str">
        <f t="shared" si="9"/>
        <v>41030GGLVS</v>
      </c>
      <c r="F17" s="100" t="str">
        <f t="shared" si="11"/>
        <v>46082GILVS</v>
      </c>
      <c r="I17" s="274"/>
      <c r="J17" s="274"/>
      <c r="K17" s="264"/>
      <c r="L17" s="56" t="s">
        <v>866</v>
      </c>
      <c r="M17" s="260">
        <f t="shared" ref="M17:M20" si="12">M7</f>
        <v>3846</v>
      </c>
      <c r="N17" s="261">
        <f>N16</f>
        <v>285.73</v>
      </c>
      <c r="O17" s="261">
        <f t="shared" ref="O17:O20" si="13">$J$8*M17</f>
        <v>623.05200000000002</v>
      </c>
      <c r="P17" s="261">
        <f t="shared" ref="P17:P20" si="14">$J$10*M17</f>
        <v>1718.0082</v>
      </c>
      <c r="Q17" s="261">
        <f t="shared" ref="Q17:Q20" si="15">M17*$J$9</f>
        <v>0</v>
      </c>
      <c r="R17" s="261">
        <f t="shared" ref="R17:R20" si="16">SUM(N17:Q17)</f>
        <v>2626.7901999999999</v>
      </c>
      <c r="S17" s="261">
        <f>R17-R7</f>
        <v>-39.65059999999994</v>
      </c>
      <c r="T17" s="272">
        <f>S17/R7</f>
        <v>-1.4870234508862878E-2</v>
      </c>
      <c r="U17" s="273"/>
      <c r="V17" s="261">
        <v>0</v>
      </c>
      <c r="W17" s="261">
        <f t="shared" ref="W17:W20" si="17">M17*$J$12</f>
        <v>0</v>
      </c>
      <c r="X17" s="261">
        <f t="shared" ref="X17:X20" si="18">R17*$J$13</f>
        <v>0</v>
      </c>
      <c r="Y17" s="263">
        <f t="shared" ref="Y17:Y20" si="19">ROUND(SUM(R17,V17:X17),2)</f>
        <v>2626.79</v>
      </c>
      <c r="Z17" s="261">
        <f>Y17-W7</f>
        <v>-39.650000000000091</v>
      </c>
      <c r="AA17" s="272">
        <f>Z17/W7</f>
        <v>-1.4870013951185885E-2</v>
      </c>
      <c r="AC17" s="57"/>
      <c r="AF17" s="251"/>
      <c r="AG17" s="255"/>
    </row>
    <row r="18" spans="1:33">
      <c r="A18" s="100">
        <v>41030</v>
      </c>
      <c r="B18" s="100">
        <f t="shared" si="2"/>
        <v>46082</v>
      </c>
      <c r="C18" s="251" t="str">
        <f t="shared" si="10"/>
        <v>GGLVS</v>
      </c>
      <c r="D18" s="251" t="s">
        <v>522</v>
      </c>
      <c r="E18" s="100" t="str">
        <f t="shared" si="9"/>
        <v>41030GGLVS</v>
      </c>
      <c r="F18" s="100" t="str">
        <f t="shared" si="11"/>
        <v>46082GILVS</v>
      </c>
      <c r="G18" s="251" t="str">
        <f>IFERROR(IF(VLOOKUP(H18,Lookup!$A$1:$B$200,2,0)="","",VLOOKUP(H18,Lookup!$A$1:$B$200,2,0)),"")</f>
        <v/>
      </c>
      <c r="H18"/>
      <c r="I18"/>
      <c r="J18"/>
      <c r="K18" s="264"/>
      <c r="L18" s="56" t="s">
        <v>520</v>
      </c>
      <c r="M18" s="260">
        <f t="shared" si="12"/>
        <v>20319.5</v>
      </c>
      <c r="N18" s="261">
        <f t="shared" ref="N18:N20" si="20">N17</f>
        <v>285.73</v>
      </c>
      <c r="O18" s="261">
        <f t="shared" si="13"/>
        <v>3291.759</v>
      </c>
      <c r="P18" s="261">
        <f t="shared" si="14"/>
        <v>9076.7206499999993</v>
      </c>
      <c r="Q18" s="261">
        <f t="shared" si="15"/>
        <v>0</v>
      </c>
      <c r="R18" s="261">
        <f t="shared" si="16"/>
        <v>12654.209649999999</v>
      </c>
      <c r="S18" s="261">
        <f>R18-R8</f>
        <v>-469.60895000000164</v>
      </c>
      <c r="T18" s="272">
        <f>S18/R8</f>
        <v>-3.5782950398293496E-2</v>
      </c>
      <c r="U18" s="273"/>
      <c r="V18" s="261">
        <v>0</v>
      </c>
      <c r="W18" s="261">
        <f t="shared" si="17"/>
        <v>0</v>
      </c>
      <c r="X18" s="261">
        <f t="shared" si="18"/>
        <v>0</v>
      </c>
      <c r="Y18" s="263">
        <f t="shared" si="19"/>
        <v>12654.21</v>
      </c>
      <c r="Z18" s="261">
        <f>Y18-W8</f>
        <v>-469.61000000000058</v>
      </c>
      <c r="AA18" s="272">
        <f>Z18/W8</f>
        <v>-3.5783026588295221E-2</v>
      </c>
      <c r="AC18" s="57"/>
      <c r="AF18" s="251"/>
      <c r="AG18" s="255"/>
    </row>
    <row r="19" spans="1:33">
      <c r="L19" s="56" t="s">
        <v>868</v>
      </c>
      <c r="M19" s="260">
        <f t="shared" si="12"/>
        <v>27459</v>
      </c>
      <c r="N19" s="261">
        <f t="shared" si="20"/>
        <v>285.73</v>
      </c>
      <c r="O19" s="261">
        <f t="shared" si="13"/>
        <v>4448.3580000000002</v>
      </c>
      <c r="P19" s="261">
        <f t="shared" si="14"/>
        <v>12265.935299999999</v>
      </c>
      <c r="Q19" s="261">
        <f t="shared" si="15"/>
        <v>0</v>
      </c>
      <c r="R19" s="261">
        <f t="shared" si="16"/>
        <v>17000.023300000001</v>
      </c>
      <c r="S19" s="261">
        <f>R19-R9</f>
        <v>-655.94989999999962</v>
      </c>
      <c r="T19" s="272">
        <f>S19/R9</f>
        <v>-3.7151727212635301E-2</v>
      </c>
      <c r="U19" s="273"/>
      <c r="V19" s="261">
        <v>0</v>
      </c>
      <c r="W19" s="261">
        <f t="shared" si="17"/>
        <v>0</v>
      </c>
      <c r="X19" s="261">
        <f t="shared" si="18"/>
        <v>0</v>
      </c>
      <c r="Y19" s="263">
        <f t="shared" si="19"/>
        <v>17000.02</v>
      </c>
      <c r="Z19" s="261">
        <f>Y19-W9</f>
        <v>-655.95000000000073</v>
      </c>
      <c r="AA19" s="272">
        <f>Z19/W9</f>
        <v>-3.7151739609888365E-2</v>
      </c>
      <c r="AC19" s="57"/>
      <c r="AF19" s="251"/>
      <c r="AG19" s="255"/>
    </row>
    <row r="20" spans="1:33">
      <c r="I20" s="262"/>
      <c r="L20" s="267" t="s">
        <v>869</v>
      </c>
      <c r="M20" s="260">
        <f t="shared" si="12"/>
        <v>3789.902472527473</v>
      </c>
      <c r="N20" s="261">
        <f t="shared" si="20"/>
        <v>285.73</v>
      </c>
      <c r="O20" s="261">
        <f t="shared" si="13"/>
        <v>613.96420054945065</v>
      </c>
      <c r="P20" s="261">
        <f t="shared" si="14"/>
        <v>1692.9494344780221</v>
      </c>
      <c r="Q20" s="261">
        <f t="shared" si="15"/>
        <v>0</v>
      </c>
      <c r="R20" s="261">
        <f t="shared" si="16"/>
        <v>2592.6436350274726</v>
      </c>
      <c r="S20" s="261">
        <f>R20-R10</f>
        <v>-38.186454532967218</v>
      </c>
      <c r="T20" s="272">
        <f>S20/R10</f>
        <v>-1.4514983192756256E-2</v>
      </c>
      <c r="U20" s="273"/>
      <c r="V20" s="261">
        <v>0</v>
      </c>
      <c r="W20" s="261">
        <f t="shared" si="17"/>
        <v>0</v>
      </c>
      <c r="X20" s="261">
        <f t="shared" si="18"/>
        <v>0</v>
      </c>
      <c r="Y20" s="263">
        <f t="shared" si="19"/>
        <v>2592.64</v>
      </c>
      <c r="Z20" s="261">
        <f>Y20-W10</f>
        <v>-38.190000000000055</v>
      </c>
      <c r="AA20" s="272">
        <f>Z20/W10</f>
        <v>-1.4516331347901633E-2</v>
      </c>
      <c r="AC20" s="57"/>
      <c r="AF20" s="251"/>
      <c r="AG20" s="255"/>
    </row>
    <row r="21" spans="1:33">
      <c r="H21"/>
      <c r="I21" s="262"/>
      <c r="K21" s="275"/>
      <c r="AA21" s="268"/>
      <c r="AB21" s="276"/>
    </row>
    <row r="22" spans="1:33">
      <c r="H22"/>
      <c r="I22" s="262"/>
      <c r="L22" s="284" t="s">
        <v>876</v>
      </c>
      <c r="M22" s="813" t="s">
        <v>857</v>
      </c>
      <c r="N22" s="814"/>
      <c r="O22" s="814"/>
      <c r="P22" s="815"/>
      <c r="Q22" s="296"/>
      <c r="AA22" s="268"/>
    </row>
    <row r="23" spans="1:33">
      <c r="H23"/>
      <c r="K23" s="275"/>
      <c r="M23" s="810" t="s">
        <v>859</v>
      </c>
      <c r="N23" s="816" t="s">
        <v>860</v>
      </c>
      <c r="O23" s="808" t="s">
        <v>861</v>
      </c>
      <c r="P23" s="808" t="s">
        <v>610</v>
      </c>
      <c r="Q23" s="808" t="s">
        <v>862</v>
      </c>
      <c r="R23" s="810" t="s">
        <v>863</v>
      </c>
      <c r="V23" s="811" t="s">
        <v>864</v>
      </c>
      <c r="W23" s="811" t="s">
        <v>865</v>
      </c>
      <c r="AB23" s="251"/>
      <c r="AE23" s="255"/>
      <c r="AF23" s="251"/>
    </row>
    <row r="24" spans="1:33" ht="15" customHeight="1">
      <c r="K24" s="277"/>
      <c r="L24"/>
      <c r="M24" s="810"/>
      <c r="N24" s="817"/>
      <c r="O24" s="809"/>
      <c r="P24" s="809"/>
      <c r="Q24" s="809"/>
      <c r="R24" s="810"/>
      <c r="U24" s="251"/>
      <c r="V24" s="812"/>
      <c r="W24" s="812"/>
      <c r="X24"/>
      <c r="Y24"/>
      <c r="Z24"/>
      <c r="AB24" s="251"/>
      <c r="AE24" s="255"/>
      <c r="AF24" s="251"/>
    </row>
    <row r="25" spans="1:33">
      <c r="K25" s="275"/>
      <c r="L25" s="56" t="s">
        <v>482</v>
      </c>
      <c r="M25" s="282">
        <f>'[18]Percentiles_All_Bills Jan'!$I$5</f>
        <v>1149.5</v>
      </c>
      <c r="N25" s="261">
        <f>VLOOKUP($N$23,$H$5:$J$5,2,0)</f>
        <v>225</v>
      </c>
      <c r="O25" s="261">
        <f>$I$8*M25</f>
        <v>241.85480000000001</v>
      </c>
      <c r="P25" s="261">
        <f>$I$10*M25</f>
        <v>506.35475000000002</v>
      </c>
      <c r="Q25" s="261">
        <f>M25*$I$9</f>
        <v>-18.50695</v>
      </c>
      <c r="R25" s="261">
        <f>SUM(N25:Q25)</f>
        <v>954.70260000000007</v>
      </c>
      <c r="S25"/>
      <c r="T25"/>
      <c r="U25"/>
      <c r="V25" s="261">
        <v>0</v>
      </c>
      <c r="W25" s="263">
        <f>ROUND(SUM(R25,V25:V25),2)</f>
        <v>954.7</v>
      </c>
      <c r="X25"/>
      <c r="Y25"/>
      <c r="Z25"/>
      <c r="AA25" s="251"/>
      <c r="AB25" s="251"/>
      <c r="AC25" s="255"/>
      <c r="AF25" s="251"/>
    </row>
    <row r="26" spans="1:33">
      <c r="K26" s="275"/>
      <c r="L26" s="56" t="s">
        <v>866</v>
      </c>
      <c r="M26" s="282">
        <f>'[18]Percentiles_All_Bills Jan'!$J$5</f>
        <v>5518</v>
      </c>
      <c r="N26" s="261">
        <f t="shared" ref="N26:N29" si="21">VLOOKUP($N$23,$H$5:$J$5,2,0)</f>
        <v>225</v>
      </c>
      <c r="O26" s="261">
        <f t="shared" ref="O26:O29" si="22">$I$8*M26</f>
        <v>1160.9872</v>
      </c>
      <c r="P26" s="261">
        <f t="shared" ref="P26:P29" si="23">$I$10*M26</f>
        <v>2430.6790000000001</v>
      </c>
      <c r="Q26" s="261">
        <f t="shared" ref="Q26:Q29" si="24">M26*$I$9</f>
        <v>-88.839799999999997</v>
      </c>
      <c r="R26" s="261">
        <f t="shared" ref="R26:R29" si="25">SUM(N26:Q26)</f>
        <v>3727.8263999999999</v>
      </c>
      <c r="S26"/>
      <c r="T26"/>
      <c r="U26"/>
      <c r="V26" s="261">
        <v>0</v>
      </c>
      <c r="W26" s="263">
        <f>ROUND(SUM(R26,V26:V26),2)</f>
        <v>3727.83</v>
      </c>
      <c r="X26"/>
      <c r="Y26"/>
      <c r="Z26"/>
      <c r="AA26" s="251"/>
      <c r="AB26" s="251"/>
      <c r="AC26" s="255"/>
      <c r="AF26" s="251"/>
    </row>
    <row r="27" spans="1:33">
      <c r="L27" s="56" t="s">
        <v>520</v>
      </c>
      <c r="M27" s="282">
        <f>'[18]Percentiles_All_Bills Jan'!$K$5</f>
        <v>22970</v>
      </c>
      <c r="N27" s="261">
        <f t="shared" si="21"/>
        <v>225</v>
      </c>
      <c r="O27" s="261">
        <f t="shared" si="22"/>
        <v>4832.8879999999999</v>
      </c>
      <c r="P27" s="261">
        <f t="shared" si="23"/>
        <v>10118.285</v>
      </c>
      <c r="Q27" s="261">
        <f t="shared" si="24"/>
        <v>-369.81700000000001</v>
      </c>
      <c r="R27" s="261">
        <f t="shared" si="25"/>
        <v>14806.356</v>
      </c>
      <c r="S27"/>
      <c r="T27"/>
      <c r="U27"/>
      <c r="V27" s="261">
        <v>0</v>
      </c>
      <c r="W27" s="263">
        <f>ROUND(SUM(R27,V27:V27),2)</f>
        <v>14806.36</v>
      </c>
      <c r="X27"/>
      <c r="Y27"/>
      <c r="Z27"/>
      <c r="AA27" s="251"/>
      <c r="AB27" s="251"/>
      <c r="AC27" s="255"/>
      <c r="AF27" s="251"/>
    </row>
    <row r="28" spans="1:33">
      <c r="L28" s="56" t="s">
        <v>868</v>
      </c>
      <c r="M28" s="282">
        <f>'[18]Percentiles_All_Bills Jan'!$L$5</f>
        <v>36136</v>
      </c>
      <c r="N28" s="261">
        <f t="shared" si="21"/>
        <v>225</v>
      </c>
      <c r="O28" s="261">
        <f t="shared" si="22"/>
        <v>7603.0144</v>
      </c>
      <c r="P28" s="261">
        <f t="shared" si="23"/>
        <v>15917.907999999999</v>
      </c>
      <c r="Q28" s="261">
        <f t="shared" si="24"/>
        <v>-581.78959999999995</v>
      </c>
      <c r="R28" s="261">
        <f t="shared" si="25"/>
        <v>23164.132799999999</v>
      </c>
      <c r="S28"/>
      <c r="T28"/>
      <c r="U28"/>
      <c r="V28" s="261">
        <v>0</v>
      </c>
      <c r="W28" s="263">
        <f>ROUND(SUM(R28,V28:V28),2)</f>
        <v>23164.13</v>
      </c>
      <c r="X28"/>
      <c r="Y28"/>
      <c r="Z28"/>
      <c r="AA28" s="251"/>
      <c r="AB28" s="251"/>
      <c r="AC28" s="255"/>
      <c r="AF28" s="251"/>
    </row>
    <row r="29" spans="1:33">
      <c r="L29" s="267" t="s">
        <v>877</v>
      </c>
      <c r="M29" s="282">
        <f>'[18]Percentiles_All_Bills Jan'!$O$5</f>
        <v>4559.5357142857147</v>
      </c>
      <c r="N29" s="261">
        <f t="shared" si="21"/>
        <v>225</v>
      </c>
      <c r="O29" s="261">
        <f t="shared" si="22"/>
        <v>959.32631428571437</v>
      </c>
      <c r="P29" s="261">
        <f t="shared" si="23"/>
        <v>2008.4754821428573</v>
      </c>
      <c r="Q29" s="261">
        <f t="shared" si="24"/>
        <v>-73.408525000000012</v>
      </c>
      <c r="R29" s="261">
        <f t="shared" si="25"/>
        <v>3119.393271428572</v>
      </c>
      <c r="S29"/>
      <c r="T29"/>
      <c r="U29"/>
      <c r="V29" s="261">
        <v>0</v>
      </c>
      <c r="W29" s="263">
        <f>ROUND(SUM(R29,V29:V29),2)</f>
        <v>3119.39</v>
      </c>
      <c r="X29"/>
      <c r="Y29"/>
      <c r="Z29"/>
      <c r="AA29" s="251"/>
      <c r="AB29" s="251"/>
      <c r="AC29" s="255"/>
      <c r="AF29" s="251"/>
    </row>
    <row r="30" spans="1:33">
      <c r="L30" s="240"/>
      <c r="M30"/>
      <c r="N30"/>
      <c r="O30"/>
      <c r="P30"/>
      <c r="Q30" s="264"/>
      <c r="R30"/>
      <c r="S30"/>
      <c r="T30"/>
      <c r="U30"/>
      <c r="V30"/>
      <c r="W30"/>
      <c r="X30"/>
      <c r="Y30"/>
      <c r="Z30"/>
      <c r="AA30"/>
      <c r="AB30" s="251"/>
      <c r="AD30" s="255"/>
      <c r="AF30" s="251"/>
    </row>
    <row r="31" spans="1:33">
      <c r="L31" s="284" t="s">
        <v>876</v>
      </c>
      <c r="M31" s="813" t="s">
        <v>872</v>
      </c>
      <c r="N31" s="814"/>
      <c r="O31" s="814"/>
      <c r="P31" s="815"/>
      <c r="Q31" s="296"/>
      <c r="S31"/>
      <c r="T31"/>
      <c r="U31"/>
      <c r="V31"/>
      <c r="W31"/>
      <c r="X31"/>
      <c r="Y31"/>
      <c r="Z31"/>
      <c r="AA31"/>
      <c r="AB31" s="251"/>
      <c r="AD31" s="255"/>
      <c r="AF31" s="251"/>
    </row>
    <row r="32" spans="1:33">
      <c r="M32" s="810" t="s">
        <v>859</v>
      </c>
      <c r="N32" s="816" t="s">
        <v>860</v>
      </c>
      <c r="O32" s="808" t="s">
        <v>861</v>
      </c>
      <c r="P32" s="808" t="s">
        <v>610</v>
      </c>
      <c r="Q32" s="808" t="s">
        <v>873</v>
      </c>
      <c r="R32" s="810" t="s">
        <v>863</v>
      </c>
      <c r="S32" s="808" t="s">
        <v>874</v>
      </c>
      <c r="T32" s="808" t="s">
        <v>875</v>
      </c>
      <c r="V32" s="811" t="s">
        <v>864</v>
      </c>
      <c r="W32" s="811" t="s">
        <v>870</v>
      </c>
      <c r="X32" s="811" t="s">
        <v>871</v>
      </c>
      <c r="Y32" s="811" t="s">
        <v>865</v>
      </c>
      <c r="Z32" s="808" t="s">
        <v>874</v>
      </c>
      <c r="AA32" s="808" t="s">
        <v>875</v>
      </c>
      <c r="AB32" s="251"/>
      <c r="AD32" s="255"/>
      <c r="AF32" s="251"/>
    </row>
    <row r="33" spans="12:32">
      <c r="L33"/>
      <c r="M33" s="810"/>
      <c r="N33" s="817"/>
      <c r="O33" s="809"/>
      <c r="P33" s="809"/>
      <c r="Q33" s="809"/>
      <c r="R33" s="810"/>
      <c r="S33" s="809"/>
      <c r="T33" s="809"/>
      <c r="V33" s="812"/>
      <c r="W33" s="812"/>
      <c r="X33" s="812"/>
      <c r="Y33" s="812"/>
      <c r="Z33" s="809"/>
      <c r="AA33" s="809"/>
      <c r="AB33" s="251"/>
      <c r="AD33" s="255"/>
      <c r="AF33" s="251"/>
    </row>
    <row r="34" spans="12:32">
      <c r="L34" s="56" t="s">
        <v>482</v>
      </c>
      <c r="M34" s="282">
        <f>M25</f>
        <v>1149.5</v>
      </c>
      <c r="N34" s="261">
        <f>VLOOKUP($N$32,$H$5:$J$5,3,0)</f>
        <v>285.73</v>
      </c>
      <c r="O34" s="261">
        <f>$J$8*M34</f>
        <v>186.21899999999999</v>
      </c>
      <c r="P34" s="261">
        <f>$J$10*M34</f>
        <v>513.48164999999995</v>
      </c>
      <c r="Q34" s="261">
        <f>M34*$J$9</f>
        <v>0</v>
      </c>
      <c r="R34" s="261">
        <f>SUM(N34:Q34)</f>
        <v>985.43065000000001</v>
      </c>
      <c r="S34" s="261">
        <f>R34-R25</f>
        <v>30.728049999999939</v>
      </c>
      <c r="T34" s="272">
        <f>S34/R25</f>
        <v>3.2185991742349852E-2</v>
      </c>
      <c r="U34"/>
      <c r="V34" s="261">
        <v>0</v>
      </c>
      <c r="W34" s="261">
        <f>M34*$J$12</f>
        <v>0</v>
      </c>
      <c r="X34" s="261">
        <f>R34*$J$13</f>
        <v>0</v>
      </c>
      <c r="Y34" s="263">
        <f>ROUND(SUM(R34,V34:X34),2)</f>
        <v>985.43</v>
      </c>
      <c r="Z34" s="261">
        <f>Y34-W25</f>
        <v>30.729999999999905</v>
      </c>
      <c r="AA34" s="272">
        <f>Z34/W25</f>
        <v>3.2188121923117111E-2</v>
      </c>
    </row>
    <row r="35" spans="12:32">
      <c r="L35" s="56" t="s">
        <v>866</v>
      </c>
      <c r="M35" s="282">
        <f t="shared" ref="M35:M38" si="26">M26</f>
        <v>5518</v>
      </c>
      <c r="N35" s="261">
        <f t="shared" ref="N35:N38" si="27">VLOOKUP($N$32,$H$5:$J$5,3,0)</f>
        <v>285.73</v>
      </c>
      <c r="O35" s="261">
        <f t="shared" ref="O35:O38" si="28">$J$8*M35</f>
        <v>893.91600000000005</v>
      </c>
      <c r="P35" s="261">
        <f t="shared" ref="P35:P38" si="29">$J$10*M35</f>
        <v>2464.8905999999997</v>
      </c>
      <c r="Q35" s="261">
        <f t="shared" ref="Q35:Q38" si="30">M35*$J$9</f>
        <v>0</v>
      </c>
      <c r="R35" s="261">
        <f t="shared" ref="R35:R38" si="31">SUM(N35:Q35)</f>
        <v>3644.5365999999999</v>
      </c>
      <c r="S35" s="261">
        <f t="shared" ref="S35:S38" si="32">R35-R26</f>
        <v>-83.289800000000014</v>
      </c>
      <c r="T35" s="272">
        <f t="shared" ref="T35:T38" si="33">S35/R26</f>
        <v>-2.2342724972386058E-2</v>
      </c>
      <c r="U35"/>
      <c r="V35" s="261">
        <v>0</v>
      </c>
      <c r="W35" s="261">
        <f t="shared" ref="W35:W38" si="34">M35*$J$12</f>
        <v>0</v>
      </c>
      <c r="X35" s="261">
        <f t="shared" ref="X35:X38" si="35">R35*$J$13</f>
        <v>0</v>
      </c>
      <c r="Y35" s="263">
        <f t="shared" ref="Y35:Y38" si="36">ROUND(SUM(R35,V35:X35),2)</f>
        <v>3644.54</v>
      </c>
      <c r="Z35" s="261">
        <f>Y35-W26</f>
        <v>-83.289999999999964</v>
      </c>
      <c r="AA35" s="272">
        <f>Z35/W26</f>
        <v>-2.2342757046324529E-2</v>
      </c>
    </row>
    <row r="36" spans="12:32" ht="15" customHeight="1">
      <c r="L36" s="56" t="s">
        <v>520</v>
      </c>
      <c r="M36" s="282">
        <f t="shared" si="26"/>
        <v>22970</v>
      </c>
      <c r="N36" s="261">
        <f t="shared" si="27"/>
        <v>285.73</v>
      </c>
      <c r="O36" s="261">
        <f t="shared" si="28"/>
        <v>3721.1400000000003</v>
      </c>
      <c r="P36" s="261">
        <f t="shared" si="29"/>
        <v>10260.699000000001</v>
      </c>
      <c r="Q36" s="261">
        <f t="shared" si="30"/>
        <v>0</v>
      </c>
      <c r="R36" s="261">
        <f t="shared" si="31"/>
        <v>14267.569000000001</v>
      </c>
      <c r="S36" s="261">
        <f t="shared" si="32"/>
        <v>-538.78699999999844</v>
      </c>
      <c r="T36" s="272">
        <f t="shared" si="33"/>
        <v>-3.6388899469930243E-2</v>
      </c>
      <c r="U36"/>
      <c r="V36" s="261">
        <v>0</v>
      </c>
      <c r="W36" s="261">
        <f t="shared" si="34"/>
        <v>0</v>
      </c>
      <c r="X36" s="261">
        <f t="shared" si="35"/>
        <v>0</v>
      </c>
      <c r="Y36" s="263">
        <f t="shared" si="36"/>
        <v>14267.57</v>
      </c>
      <c r="Z36" s="261">
        <f>Y36-W27</f>
        <v>-538.79000000000087</v>
      </c>
      <c r="AA36" s="272">
        <f>Z36/W27</f>
        <v>-3.6389092254949955E-2</v>
      </c>
    </row>
    <row r="37" spans="12:32">
      <c r="L37" s="56" t="s">
        <v>868</v>
      </c>
      <c r="M37" s="282">
        <f t="shared" si="26"/>
        <v>36136</v>
      </c>
      <c r="N37" s="261">
        <f t="shared" si="27"/>
        <v>285.73</v>
      </c>
      <c r="O37" s="261">
        <f t="shared" si="28"/>
        <v>5854.0320000000002</v>
      </c>
      <c r="P37" s="261">
        <f t="shared" si="29"/>
        <v>16141.9512</v>
      </c>
      <c r="Q37" s="261">
        <f t="shared" si="30"/>
        <v>0</v>
      </c>
      <c r="R37" s="261">
        <f t="shared" si="31"/>
        <v>22281.713199999998</v>
      </c>
      <c r="S37" s="261">
        <f t="shared" si="32"/>
        <v>-882.41960000000108</v>
      </c>
      <c r="T37" s="272">
        <f t="shared" si="33"/>
        <v>-3.8094221252262944E-2</v>
      </c>
      <c r="U37"/>
      <c r="V37" s="261">
        <v>0</v>
      </c>
      <c r="W37" s="261">
        <f t="shared" si="34"/>
        <v>0</v>
      </c>
      <c r="X37" s="261">
        <f t="shared" si="35"/>
        <v>0</v>
      </c>
      <c r="Y37" s="263">
        <f t="shared" si="36"/>
        <v>22281.71</v>
      </c>
      <c r="Z37" s="261">
        <f>Y37-W28</f>
        <v>-882.42000000000189</v>
      </c>
      <c r="AA37" s="272">
        <f>Z37/W28</f>
        <v>-3.8094243125038667E-2</v>
      </c>
      <c r="AB37" s="251"/>
      <c r="AD37" s="255"/>
      <c r="AF37" s="251"/>
    </row>
    <row r="38" spans="12:32" ht="15.75" customHeight="1">
      <c r="L38" s="267" t="s">
        <v>877</v>
      </c>
      <c r="M38" s="282">
        <f t="shared" si="26"/>
        <v>4559.5357142857147</v>
      </c>
      <c r="N38" s="261">
        <f t="shared" si="27"/>
        <v>285.73</v>
      </c>
      <c r="O38" s="261">
        <f t="shared" si="28"/>
        <v>738.64478571428583</v>
      </c>
      <c r="P38" s="261">
        <f t="shared" si="29"/>
        <v>2036.7446035714286</v>
      </c>
      <c r="Q38" s="261">
        <f t="shared" si="30"/>
        <v>0</v>
      </c>
      <c r="R38" s="261">
        <f t="shared" si="31"/>
        <v>3061.1193892857145</v>
      </c>
      <c r="S38" s="261">
        <f t="shared" si="32"/>
        <v>-58.273882142857474</v>
      </c>
      <c r="T38" s="272">
        <f t="shared" si="33"/>
        <v>-1.8681159146108593E-2</v>
      </c>
      <c r="U38"/>
      <c r="V38" s="261">
        <v>0</v>
      </c>
      <c r="W38" s="261">
        <f t="shared" si="34"/>
        <v>0</v>
      </c>
      <c r="X38" s="261">
        <f t="shared" si="35"/>
        <v>0</v>
      </c>
      <c r="Y38" s="263">
        <f t="shared" si="36"/>
        <v>3061.12</v>
      </c>
      <c r="Z38" s="261">
        <f>Y38-W29</f>
        <v>-58.269999999999982</v>
      </c>
      <c r="AA38" s="272">
        <f>Z38/W29</f>
        <v>-1.8679934217907982E-2</v>
      </c>
      <c r="AB38" s="251"/>
      <c r="AD38" s="255"/>
      <c r="AF38" s="251"/>
    </row>
    <row r="39" spans="12:32">
      <c r="L39"/>
      <c r="M39"/>
      <c r="N39"/>
      <c r="O39"/>
      <c r="P39"/>
      <c r="Q39" s="268"/>
      <c r="R39"/>
      <c r="S39"/>
      <c r="T39"/>
      <c r="U39"/>
      <c r="V39"/>
      <c r="W39"/>
      <c r="X39"/>
      <c r="Y39"/>
      <c r="Z39"/>
      <c r="AA39"/>
      <c r="AB39" s="251"/>
      <c r="AD39" s="255"/>
      <c r="AF39" s="251"/>
    </row>
    <row r="40" spans="12:32">
      <c r="L40" s="284" t="s">
        <v>878</v>
      </c>
      <c r="M40" s="813" t="s">
        <v>857</v>
      </c>
      <c r="N40" s="814"/>
      <c r="O40" s="814"/>
      <c r="P40" s="815"/>
      <c r="Q40" s="296"/>
      <c r="S40"/>
      <c r="T40"/>
      <c r="U40"/>
      <c r="V40"/>
      <c r="W40"/>
      <c r="X40"/>
      <c r="Y40"/>
      <c r="Z40"/>
      <c r="AA40"/>
      <c r="AB40" s="251"/>
      <c r="AD40" s="255"/>
      <c r="AF40" s="251"/>
    </row>
    <row r="41" spans="12:32">
      <c r="M41" s="810" t="s">
        <v>859</v>
      </c>
      <c r="N41" s="816" t="s">
        <v>860</v>
      </c>
      <c r="O41" s="808" t="s">
        <v>861</v>
      </c>
      <c r="P41" s="808" t="s">
        <v>610</v>
      </c>
      <c r="Q41" s="808" t="s">
        <v>862</v>
      </c>
      <c r="R41" s="810" t="s">
        <v>863</v>
      </c>
      <c r="S41"/>
      <c r="T41"/>
      <c r="V41" s="811" t="s">
        <v>864</v>
      </c>
      <c r="W41" s="811" t="s">
        <v>865</v>
      </c>
      <c r="X41"/>
      <c r="Y41"/>
      <c r="Z41" s="251"/>
      <c r="AA41" s="251"/>
      <c r="AB41" s="251"/>
      <c r="AC41" s="255"/>
      <c r="AF41" s="251"/>
    </row>
    <row r="42" spans="12:32">
      <c r="L42"/>
      <c r="M42" s="810"/>
      <c r="N42" s="817"/>
      <c r="O42" s="809"/>
      <c r="P42" s="809"/>
      <c r="Q42" s="809"/>
      <c r="R42" s="810"/>
      <c r="S42"/>
      <c r="T42"/>
      <c r="V42" s="812"/>
      <c r="W42" s="812"/>
      <c r="X42"/>
      <c r="Y42"/>
      <c r="Z42" s="251"/>
      <c r="AA42" s="251"/>
      <c r="AB42" s="251"/>
      <c r="AC42" s="255"/>
      <c r="AF42" s="251"/>
    </row>
    <row r="43" spans="12:32">
      <c r="L43" s="56" t="s">
        <v>482</v>
      </c>
      <c r="M43" s="282">
        <f>'[18]Percentiles_All_Bills July'!$I$5</f>
        <v>506</v>
      </c>
      <c r="N43" s="261">
        <f>VLOOKUP($N$23,$H$5:$J$5,2,0)</f>
        <v>225</v>
      </c>
      <c r="O43" s="261">
        <f>$I$8*M43</f>
        <v>106.4624</v>
      </c>
      <c r="P43" s="261">
        <f>$I$10*M43</f>
        <v>222.893</v>
      </c>
      <c r="Q43" s="261">
        <f>M43*$I$9</f>
        <v>-8.1465999999999994</v>
      </c>
      <c r="R43" s="261">
        <f>SUM(N43:Q43)</f>
        <v>546.2088</v>
      </c>
      <c r="S43"/>
      <c r="T43"/>
      <c r="U43"/>
      <c r="V43" s="261">
        <v>0</v>
      </c>
      <c r="W43" s="263">
        <f>ROUND(SUM(R43,V43:V43),2)</f>
        <v>546.21</v>
      </c>
      <c r="X43"/>
      <c r="Y43"/>
      <c r="Z43" s="251"/>
      <c r="AA43" s="251"/>
      <c r="AB43" s="251"/>
      <c r="AC43" s="255"/>
      <c r="AF43" s="251"/>
    </row>
    <row r="44" spans="12:32">
      <c r="L44" s="56" t="s">
        <v>866</v>
      </c>
      <c r="M44" s="282">
        <f>'[18]Percentiles_All_Bills July'!$J$5</f>
        <v>2174</v>
      </c>
      <c r="N44" s="261">
        <f t="shared" ref="N44:N47" si="37">VLOOKUP($N$23,$H$5:$J$5,2,0)</f>
        <v>225</v>
      </c>
      <c r="O44" s="261">
        <f t="shared" ref="O44:O47" si="38">$I$8*M44</f>
        <v>457.40960000000001</v>
      </c>
      <c r="P44" s="261">
        <f t="shared" ref="P44:P47" si="39">$I$10*M44</f>
        <v>957.64700000000005</v>
      </c>
      <c r="Q44" s="261">
        <f t="shared" ref="Q44:Q47" si="40">M44*$I$9</f>
        <v>-35.001399999999997</v>
      </c>
      <c r="R44" s="261">
        <f t="shared" ref="R44:R47" si="41">SUM(N44:Q44)</f>
        <v>1605.0551999999998</v>
      </c>
      <c r="S44"/>
      <c r="T44"/>
      <c r="U44"/>
      <c r="V44" s="261">
        <v>0</v>
      </c>
      <c r="W44" s="263">
        <f>ROUND(SUM(R44,V44:V44),2)</f>
        <v>1605.06</v>
      </c>
      <c r="X44"/>
      <c r="Y44"/>
      <c r="Z44" s="251"/>
      <c r="AA44" s="251"/>
      <c r="AB44" s="251"/>
      <c r="AC44" s="255"/>
      <c r="AF44" s="251"/>
    </row>
    <row r="45" spans="12:32">
      <c r="L45" s="56" t="s">
        <v>520</v>
      </c>
      <c r="M45" s="282">
        <f>'[18]Percentiles_All_Bills July'!$K$5</f>
        <v>17669</v>
      </c>
      <c r="N45" s="261">
        <f t="shared" si="37"/>
        <v>225</v>
      </c>
      <c r="O45" s="261">
        <f t="shared" si="38"/>
        <v>3717.5576000000001</v>
      </c>
      <c r="P45" s="261">
        <f t="shared" si="39"/>
        <v>7783.1944999999996</v>
      </c>
      <c r="Q45" s="261">
        <f t="shared" si="40"/>
        <v>-284.47089999999997</v>
      </c>
      <c r="R45" s="261">
        <f t="shared" si="41"/>
        <v>11441.281199999999</v>
      </c>
      <c r="S45"/>
      <c r="T45"/>
      <c r="U45"/>
      <c r="V45" s="261">
        <v>0</v>
      </c>
      <c r="W45" s="263">
        <f>ROUND(SUM(R45,V45:V45),2)</f>
        <v>11441.28</v>
      </c>
      <c r="X45"/>
      <c r="Y45"/>
      <c r="AA45" s="251"/>
      <c r="AB45" s="251"/>
      <c r="AC45" s="255"/>
      <c r="AF45" s="251"/>
    </row>
    <row r="46" spans="12:32">
      <c r="L46" s="56" t="s">
        <v>868</v>
      </c>
      <c r="M46" s="282">
        <f>'[18]Percentiles_All_Bills July'!$L$5</f>
        <v>18782</v>
      </c>
      <c r="N46" s="261">
        <f t="shared" si="37"/>
        <v>225</v>
      </c>
      <c r="O46" s="261">
        <f t="shared" si="38"/>
        <v>3951.7328000000002</v>
      </c>
      <c r="P46" s="261">
        <f t="shared" si="39"/>
        <v>8273.4709999999995</v>
      </c>
      <c r="Q46" s="261">
        <f t="shared" si="40"/>
        <v>-302.39019999999999</v>
      </c>
      <c r="R46" s="261">
        <f t="shared" si="41"/>
        <v>12147.813599999999</v>
      </c>
      <c r="S46"/>
      <c r="T46"/>
      <c r="U46"/>
      <c r="V46" s="261">
        <v>0</v>
      </c>
      <c r="W46" s="263">
        <f>ROUND(SUM(R46,V46:V46),2)</f>
        <v>12147.81</v>
      </c>
      <c r="X46"/>
      <c r="Y46"/>
      <c r="AB46" s="251"/>
      <c r="AE46" s="255"/>
      <c r="AF46" s="251"/>
    </row>
    <row r="47" spans="12:32">
      <c r="L47" s="267" t="s">
        <v>877</v>
      </c>
      <c r="M47" s="282">
        <f>'[18]Percentiles_All_Bills July'!$O$5</f>
        <v>3020.2692307692309</v>
      </c>
      <c r="N47" s="261">
        <f t="shared" si="37"/>
        <v>225</v>
      </c>
      <c r="O47" s="261">
        <f t="shared" si="38"/>
        <v>635.46464615384616</v>
      </c>
      <c r="P47" s="261">
        <f t="shared" si="39"/>
        <v>1330.4285961538462</v>
      </c>
      <c r="Q47" s="261">
        <f t="shared" si="40"/>
        <v>-48.626334615384614</v>
      </c>
      <c r="R47" s="261">
        <f t="shared" si="41"/>
        <v>2142.2669076923075</v>
      </c>
      <c r="S47"/>
      <c r="T47"/>
      <c r="U47"/>
      <c r="V47" s="261">
        <v>0</v>
      </c>
      <c r="W47" s="263">
        <f>ROUND(SUM(R47,V47:V47),2)</f>
        <v>2142.27</v>
      </c>
      <c r="X47"/>
      <c r="Y47"/>
      <c r="AB47" s="251"/>
      <c r="AE47" s="255"/>
      <c r="AF47" s="251"/>
    </row>
    <row r="48" spans="12:32">
      <c r="L48"/>
      <c r="M48"/>
      <c r="N48"/>
      <c r="O48"/>
      <c r="P48"/>
      <c r="Q48" s="264"/>
      <c r="R48"/>
      <c r="S48"/>
      <c r="T48"/>
      <c r="U48"/>
      <c r="V48"/>
      <c r="W48"/>
      <c r="X48"/>
      <c r="Y48"/>
      <c r="Z48"/>
      <c r="AA48"/>
    </row>
    <row r="49" spans="11:32" ht="15" customHeight="1">
      <c r="L49" s="284" t="s">
        <v>878</v>
      </c>
      <c r="M49" s="813" t="s">
        <v>872</v>
      </c>
      <c r="N49" s="814"/>
      <c r="O49" s="814"/>
      <c r="P49" s="815"/>
      <c r="Q49" s="296"/>
      <c r="S49"/>
      <c r="T49"/>
      <c r="U49"/>
      <c r="V49"/>
      <c r="W49"/>
      <c r="X49"/>
      <c r="Y49"/>
      <c r="Z49"/>
      <c r="AA49"/>
      <c r="AB49" s="251"/>
      <c r="AD49" s="255"/>
      <c r="AF49" s="251"/>
    </row>
    <row r="50" spans="11:32">
      <c r="M50" s="810" t="s">
        <v>859</v>
      </c>
      <c r="N50" s="816" t="s">
        <v>860</v>
      </c>
      <c r="O50" s="808" t="s">
        <v>861</v>
      </c>
      <c r="P50" s="808" t="s">
        <v>610</v>
      </c>
      <c r="Q50" s="808" t="s">
        <v>873</v>
      </c>
      <c r="R50" s="810" t="s">
        <v>863</v>
      </c>
      <c r="S50" s="808" t="s">
        <v>874</v>
      </c>
      <c r="T50" s="808" t="s">
        <v>875</v>
      </c>
      <c r="V50" s="811" t="s">
        <v>864</v>
      </c>
      <c r="W50" s="811" t="s">
        <v>870</v>
      </c>
      <c r="X50" s="811" t="s">
        <v>871</v>
      </c>
      <c r="Y50" s="811" t="s">
        <v>865</v>
      </c>
      <c r="Z50" s="808" t="s">
        <v>874</v>
      </c>
      <c r="AA50" s="808" t="s">
        <v>875</v>
      </c>
      <c r="AB50" s="251"/>
      <c r="AD50" s="255"/>
      <c r="AF50" s="251"/>
    </row>
    <row r="51" spans="11:32">
      <c r="L51"/>
      <c r="M51" s="810"/>
      <c r="N51" s="817"/>
      <c r="O51" s="809"/>
      <c r="P51" s="809"/>
      <c r="Q51" s="809"/>
      <c r="R51" s="810"/>
      <c r="S51" s="809"/>
      <c r="T51" s="809"/>
      <c r="V51" s="812"/>
      <c r="W51" s="812"/>
      <c r="X51" s="812"/>
      <c r="Y51" s="812"/>
      <c r="Z51" s="809"/>
      <c r="AA51" s="809"/>
      <c r="AB51" s="251"/>
      <c r="AD51" s="255"/>
      <c r="AF51" s="251"/>
    </row>
    <row r="52" spans="11:32">
      <c r="K52" s="278"/>
      <c r="L52" s="56" t="s">
        <v>482</v>
      </c>
      <c r="M52" s="282">
        <f>M43</f>
        <v>506</v>
      </c>
      <c r="N52" s="261">
        <f>VLOOKUP($N$32,$H$5:$J$5,3,0)</f>
        <v>285.73</v>
      </c>
      <c r="O52" s="261">
        <f>$J$8*M52</f>
        <v>81.972000000000008</v>
      </c>
      <c r="P52" s="261">
        <f>$J$10*M52</f>
        <v>226.03019999999998</v>
      </c>
      <c r="Q52" s="261">
        <f>M52*$J$9</f>
        <v>0</v>
      </c>
      <c r="R52" s="261">
        <f>SUM(N52:Q52)</f>
        <v>593.73219999999992</v>
      </c>
      <c r="S52" s="261">
        <f>R52-R43</f>
        <v>47.523399999999924</v>
      </c>
      <c r="T52" s="272">
        <f>S52/R43</f>
        <v>8.7005921545020737E-2</v>
      </c>
      <c r="U52"/>
      <c r="V52" s="261">
        <v>0</v>
      </c>
      <c r="W52" s="261">
        <f>M52*$J$12</f>
        <v>0</v>
      </c>
      <c r="X52" s="261">
        <f>R52*$J$13</f>
        <v>0</v>
      </c>
      <c r="Y52" s="263">
        <f>ROUND(SUM(R52,V52:X52),2)</f>
        <v>593.73</v>
      </c>
      <c r="Z52" s="261">
        <f>Y52-W43</f>
        <v>47.519999999999982</v>
      </c>
      <c r="AA52" s="272">
        <f>Z52/W43</f>
        <v>8.6999505684626749E-2</v>
      </c>
      <c r="AB52" s="251"/>
      <c r="AD52" s="255"/>
      <c r="AF52" s="251"/>
    </row>
    <row r="53" spans="11:32">
      <c r="L53" s="56" t="s">
        <v>866</v>
      </c>
      <c r="M53" s="282">
        <f t="shared" ref="M53:M56" si="42">M44</f>
        <v>2174</v>
      </c>
      <c r="N53" s="261">
        <f t="shared" ref="N53:N56" si="43">VLOOKUP($N$32,$H$5:$J$5,3,0)</f>
        <v>285.73</v>
      </c>
      <c r="O53" s="261">
        <f t="shared" ref="O53:O56" si="44">$J$8*M53</f>
        <v>352.18799999999999</v>
      </c>
      <c r="P53" s="261">
        <f t="shared" ref="P53:P56" si="45">$J$10*M53</f>
        <v>971.12579999999991</v>
      </c>
      <c r="Q53" s="261">
        <f t="shared" ref="Q53:Q56" si="46">M53*$J$9</f>
        <v>0</v>
      </c>
      <c r="R53" s="261">
        <f t="shared" ref="R53:R56" si="47">SUM(N53:Q53)</f>
        <v>1609.0437999999999</v>
      </c>
      <c r="S53" s="261">
        <f t="shared" ref="S53:S56" si="48">R53-R44</f>
        <v>3.9886000000001332</v>
      </c>
      <c r="T53" s="272">
        <f t="shared" ref="T53:T56" si="49">S53/R44</f>
        <v>2.4850235680368708E-3</v>
      </c>
      <c r="U53"/>
      <c r="V53" s="261">
        <v>0</v>
      </c>
      <c r="W53" s="261">
        <f t="shared" ref="W53:W56" si="50">M53*$J$12</f>
        <v>0</v>
      </c>
      <c r="X53" s="261">
        <f t="shared" ref="X53:X56" si="51">R53*$J$13</f>
        <v>0</v>
      </c>
      <c r="Y53" s="263">
        <f t="shared" ref="Y53:Y56" si="52">ROUND(SUM(R53,V53:X53),2)</f>
        <v>1609.04</v>
      </c>
      <c r="Z53" s="261">
        <f>Y53-W44</f>
        <v>3.9800000000000182</v>
      </c>
      <c r="AA53" s="272">
        <f>Z53/W44</f>
        <v>2.479658081317844E-3</v>
      </c>
      <c r="AB53" s="251"/>
      <c r="AD53" s="255"/>
      <c r="AF53" s="251"/>
    </row>
    <row r="54" spans="11:32">
      <c r="L54" s="56" t="s">
        <v>520</v>
      </c>
      <c r="M54" s="282">
        <f t="shared" si="42"/>
        <v>17669</v>
      </c>
      <c r="N54" s="261">
        <f t="shared" si="43"/>
        <v>285.73</v>
      </c>
      <c r="O54" s="261">
        <f t="shared" si="44"/>
        <v>2862.3780000000002</v>
      </c>
      <c r="P54" s="261">
        <f t="shared" si="45"/>
        <v>7892.7422999999999</v>
      </c>
      <c r="Q54" s="261">
        <f t="shared" si="46"/>
        <v>0</v>
      </c>
      <c r="R54" s="261">
        <f t="shared" si="47"/>
        <v>11040.8503</v>
      </c>
      <c r="S54" s="261">
        <f t="shared" si="48"/>
        <v>-400.43089999999938</v>
      </c>
      <c r="T54" s="272">
        <f t="shared" si="49"/>
        <v>-3.4998781430177539E-2</v>
      </c>
      <c r="U54"/>
      <c r="V54" s="261">
        <v>0</v>
      </c>
      <c r="W54" s="261">
        <f t="shared" si="50"/>
        <v>0</v>
      </c>
      <c r="X54" s="261">
        <f t="shared" si="51"/>
        <v>0</v>
      </c>
      <c r="Y54" s="263">
        <f t="shared" si="52"/>
        <v>11040.85</v>
      </c>
      <c r="Z54" s="261">
        <f>Y54-W45</f>
        <v>-400.43000000000029</v>
      </c>
      <c r="AA54" s="272">
        <f>Z54/W45</f>
        <v>-3.4998706438440476E-2</v>
      </c>
      <c r="AB54" s="251"/>
      <c r="AD54" s="255"/>
      <c r="AF54" s="251"/>
    </row>
    <row r="55" spans="11:32">
      <c r="L55" s="56" t="s">
        <v>868</v>
      </c>
      <c r="M55" s="282">
        <f t="shared" si="42"/>
        <v>18782</v>
      </c>
      <c r="N55" s="261">
        <f t="shared" si="43"/>
        <v>285.73</v>
      </c>
      <c r="O55" s="261">
        <f t="shared" si="44"/>
        <v>3042.6840000000002</v>
      </c>
      <c r="P55" s="261">
        <f t="shared" si="45"/>
        <v>8389.9193999999989</v>
      </c>
      <c r="Q55" s="261">
        <f t="shared" si="46"/>
        <v>0</v>
      </c>
      <c r="R55" s="261">
        <f t="shared" si="47"/>
        <v>11718.3334</v>
      </c>
      <c r="S55" s="261">
        <f t="shared" si="48"/>
        <v>-429.48019999999997</v>
      </c>
      <c r="T55" s="272">
        <f t="shared" si="49"/>
        <v>-3.5354526677952976E-2</v>
      </c>
      <c r="U55"/>
      <c r="V55" s="261">
        <v>0</v>
      </c>
      <c r="W55" s="261">
        <f t="shared" si="50"/>
        <v>0</v>
      </c>
      <c r="X55" s="261">
        <f t="shared" si="51"/>
        <v>0</v>
      </c>
      <c r="Y55" s="263">
        <f t="shared" si="52"/>
        <v>11718.33</v>
      </c>
      <c r="Z55" s="261">
        <f>Y55-W46</f>
        <v>-429.47999999999956</v>
      </c>
      <c r="AA55" s="272">
        <f>Z55/W46</f>
        <v>-3.5354520691383846E-2</v>
      </c>
      <c r="AB55" s="251"/>
      <c r="AD55" s="255"/>
      <c r="AF55" s="251"/>
    </row>
    <row r="56" spans="11:32">
      <c r="L56" s="267" t="s">
        <v>877</v>
      </c>
      <c r="M56" s="282">
        <f t="shared" si="42"/>
        <v>3020.2692307692309</v>
      </c>
      <c r="N56" s="261">
        <f t="shared" si="43"/>
        <v>285.73</v>
      </c>
      <c r="O56" s="261">
        <f t="shared" si="44"/>
        <v>489.28361538461542</v>
      </c>
      <c r="P56" s="261">
        <f t="shared" si="45"/>
        <v>1349.1542653846154</v>
      </c>
      <c r="Q56" s="261">
        <f t="shared" si="46"/>
        <v>0</v>
      </c>
      <c r="R56" s="261">
        <f t="shared" si="47"/>
        <v>2124.1678807692306</v>
      </c>
      <c r="S56" s="261">
        <f t="shared" si="48"/>
        <v>-18.099026923076963</v>
      </c>
      <c r="T56" s="272">
        <f t="shared" si="49"/>
        <v>-8.4485396558609E-3</v>
      </c>
      <c r="U56"/>
      <c r="V56" s="261">
        <v>0</v>
      </c>
      <c r="W56" s="261">
        <f t="shared" si="50"/>
        <v>0</v>
      </c>
      <c r="X56" s="261">
        <f t="shared" si="51"/>
        <v>0</v>
      </c>
      <c r="Y56" s="263">
        <f t="shared" si="52"/>
        <v>2124.17</v>
      </c>
      <c r="Z56" s="261">
        <f>Y56-W47</f>
        <v>-18.099999999999909</v>
      </c>
      <c r="AA56" s="272">
        <f>Z56/W47</f>
        <v>-8.4489816876490396E-3</v>
      </c>
      <c r="AB56" s="251"/>
      <c r="AD56" s="255"/>
      <c r="AF56" s="251"/>
    </row>
    <row r="57" spans="11:32"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 s="251"/>
      <c r="AD57" s="255"/>
      <c r="AF57" s="251"/>
    </row>
    <row r="58" spans="11:32"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 s="251"/>
      <c r="AD58" s="255"/>
      <c r="AF58" s="251"/>
    </row>
    <row r="59" spans="11:32"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1:32"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1:32" ht="15" customHeight="1"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 s="251"/>
      <c r="AD61" s="255"/>
      <c r="AF61" s="251"/>
    </row>
    <row r="62" spans="11:32" ht="21.75" customHeight="1"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 s="251"/>
      <c r="AD62" s="255"/>
      <c r="AF62" s="251"/>
    </row>
    <row r="63" spans="11:32"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 s="251"/>
      <c r="AD63" s="255"/>
      <c r="AF63" s="251"/>
    </row>
    <row r="64" spans="11:32"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 s="251"/>
      <c r="AD64" s="255"/>
      <c r="AF64" s="251"/>
    </row>
    <row r="65" spans="12:32"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 s="251"/>
      <c r="AD65" s="255"/>
      <c r="AF65" s="251"/>
    </row>
    <row r="66" spans="12:32"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 s="251"/>
      <c r="AD66" s="255"/>
      <c r="AF66" s="251"/>
    </row>
    <row r="67" spans="12:32"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 s="251"/>
      <c r="AD67" s="255"/>
      <c r="AF67" s="251"/>
    </row>
    <row r="68" spans="12:32"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 s="251"/>
      <c r="AD68" s="255"/>
      <c r="AF68" s="251"/>
    </row>
    <row r="69" spans="12:32"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 s="251"/>
      <c r="AD69" s="255"/>
      <c r="AF69" s="251"/>
    </row>
    <row r="70" spans="12:32"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 s="251"/>
      <c r="AD70" s="255"/>
      <c r="AF70" s="251"/>
    </row>
  </sheetData>
  <mergeCells count="73">
    <mergeCell ref="AA32:AA33"/>
    <mergeCell ref="Y32:Y33"/>
    <mergeCell ref="Z32:Z33"/>
    <mergeCell ref="Z50:Z51"/>
    <mergeCell ref="AA50:AA51"/>
    <mergeCell ref="AA14:AA15"/>
    <mergeCell ref="X14:X15"/>
    <mergeCell ref="Y14:Y15"/>
    <mergeCell ref="Z14:Z15"/>
    <mergeCell ref="V23:V24"/>
    <mergeCell ref="W23:W24"/>
    <mergeCell ref="V4:V5"/>
    <mergeCell ref="W4:W5"/>
    <mergeCell ref="M13:P13"/>
    <mergeCell ref="M14:M15"/>
    <mergeCell ref="N14:N15"/>
    <mergeCell ref="O14:O15"/>
    <mergeCell ref="P14:P15"/>
    <mergeCell ref="R14:R15"/>
    <mergeCell ref="S14:S15"/>
    <mergeCell ref="T14:T15"/>
    <mergeCell ref="V14:V15"/>
    <mergeCell ref="W14:W15"/>
    <mergeCell ref="Q14:Q15"/>
    <mergeCell ref="Q23:Q24"/>
    <mergeCell ref="L1:T1"/>
    <mergeCell ref="M3:P3"/>
    <mergeCell ref="M4:M5"/>
    <mergeCell ref="N4:N5"/>
    <mergeCell ref="O4:O5"/>
    <mergeCell ref="P4:P5"/>
    <mergeCell ref="R4:R5"/>
    <mergeCell ref="Q4:Q5"/>
    <mergeCell ref="M31:P31"/>
    <mergeCell ref="M22:P22"/>
    <mergeCell ref="M23:M24"/>
    <mergeCell ref="N23:N24"/>
    <mergeCell ref="O23:O24"/>
    <mergeCell ref="P23:P24"/>
    <mergeCell ref="W41:W42"/>
    <mergeCell ref="V32:V33"/>
    <mergeCell ref="W32:W33"/>
    <mergeCell ref="X32:X33"/>
    <mergeCell ref="R23:R24"/>
    <mergeCell ref="M32:M33"/>
    <mergeCell ref="M49:P49"/>
    <mergeCell ref="M50:M51"/>
    <mergeCell ref="N50:N51"/>
    <mergeCell ref="O50:O51"/>
    <mergeCell ref="P50:P51"/>
    <mergeCell ref="M40:P40"/>
    <mergeCell ref="M41:M42"/>
    <mergeCell ref="N41:N42"/>
    <mergeCell ref="O41:O42"/>
    <mergeCell ref="P41:P42"/>
    <mergeCell ref="N32:N33"/>
    <mergeCell ref="O32:O33"/>
    <mergeCell ref="P32:P33"/>
    <mergeCell ref="W50:W51"/>
    <mergeCell ref="X50:X51"/>
    <mergeCell ref="Y50:Y51"/>
    <mergeCell ref="S50:S51"/>
    <mergeCell ref="T50:T51"/>
    <mergeCell ref="Q32:Q33"/>
    <mergeCell ref="Q41:Q42"/>
    <mergeCell ref="Q50:Q51"/>
    <mergeCell ref="R50:R51"/>
    <mergeCell ref="V50:V51"/>
    <mergeCell ref="R41:R42"/>
    <mergeCell ref="V41:V42"/>
    <mergeCell ref="R32:R33"/>
    <mergeCell ref="S32:S33"/>
    <mergeCell ref="T32:T33"/>
  </mergeCells>
  <conditionalFormatting sqref="J12">
    <cfRule type="containsBlanks" dxfId="118" priority="1">
      <formula>LEN(TRIM(J12))=0</formula>
    </cfRule>
  </conditionalFormatting>
  <printOptions horizontalCentered="1"/>
  <pageMargins left="0.45" right="0.45" top="1.25" bottom="0.75" header="0.5" footer="0.3"/>
  <pageSetup scale="88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1" max="26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AFD1B-62E9-4401-AA37-7D9C2CD1A4F6}">
  <sheetPr codeName="Sheet30">
    <tabColor rgb="FF0066FF"/>
    <pageSetUpPr fitToPage="1"/>
  </sheetPr>
  <dimension ref="A1:AF70"/>
  <sheetViews>
    <sheetView zoomScale="90" zoomScaleNormal="90" zoomScaleSheetLayoutView="70" workbookViewId="0">
      <selection activeCell="G39" sqref="G39"/>
    </sheetView>
  </sheetViews>
  <sheetFormatPr defaultColWidth="9.28515625" defaultRowHeight="15"/>
  <cols>
    <col min="1" max="3" width="9.28515625" style="251" customWidth="1"/>
    <col min="4" max="4" width="12.5703125" style="251" customWidth="1"/>
    <col min="5" max="5" width="14.42578125" style="251" customWidth="1"/>
    <col min="6" max="6" width="20.28515625" style="251" customWidth="1"/>
    <col min="7" max="7" width="22.42578125" style="57" customWidth="1"/>
    <col min="8" max="9" width="9.7109375" style="57" bestFit="1" customWidth="1"/>
    <col min="10" max="10" width="3.42578125" style="57" customWidth="1"/>
    <col min="11" max="11" width="12.28515625" style="57" bestFit="1" customWidth="1"/>
    <col min="12" max="17" width="10.28515625" style="57" customWidth="1"/>
    <col min="18" max="19" width="8.7109375" style="57" bestFit="1" customWidth="1"/>
    <col min="20" max="20" width="7.42578125" style="57" customWidth="1"/>
    <col min="21" max="21" width="5.42578125" style="57" bestFit="1" customWidth="1"/>
    <col min="22" max="22" width="10.140625" style="57" bestFit="1" customWidth="1"/>
    <col min="23" max="23" width="5.42578125" style="57" bestFit="1" customWidth="1"/>
    <col min="24" max="24" width="10.140625" style="57" bestFit="1" customWidth="1"/>
    <col min="25" max="25" width="8.7109375" style="57" bestFit="1" customWidth="1"/>
    <col min="26" max="27" width="7.5703125" style="57" customWidth="1"/>
    <col min="28" max="30" width="9.28515625" style="251"/>
    <col min="31" max="31" width="9.28515625" style="255"/>
    <col min="32" max="16384" width="9.28515625" style="251"/>
  </cols>
  <sheetData>
    <row r="1" spans="1:32">
      <c r="G1" s="57" t="s">
        <v>854</v>
      </c>
      <c r="H1" s="4" t="s">
        <v>796</v>
      </c>
      <c r="I1" s="56" t="s">
        <v>522</v>
      </c>
      <c r="K1" s="818" t="s">
        <v>894</v>
      </c>
      <c r="L1" s="818"/>
      <c r="M1" s="818"/>
      <c r="N1" s="818"/>
      <c r="O1" s="818"/>
      <c r="P1" s="818"/>
      <c r="Q1" s="818"/>
      <c r="R1" s="818"/>
      <c r="S1" s="818"/>
      <c r="T1" s="253"/>
      <c r="U1" s="254"/>
    </row>
    <row r="2" spans="1:32">
      <c r="L2" s="256" t="s">
        <v>856</v>
      </c>
    </row>
    <row r="3" spans="1:32" ht="15" customHeight="1">
      <c r="I3" s="100"/>
      <c r="L3" s="813" t="s">
        <v>857</v>
      </c>
      <c r="M3" s="814"/>
      <c r="N3" s="814"/>
      <c r="O3" s="815"/>
      <c r="P3" s="296"/>
      <c r="T3" s="251"/>
      <c r="Z3" s="251"/>
      <c r="AA3" s="251"/>
      <c r="AC3" s="255"/>
      <c r="AE3" s="251"/>
    </row>
    <row r="4" spans="1:32" ht="21.75" customHeight="1">
      <c r="A4" s="251" t="s">
        <v>598</v>
      </c>
      <c r="B4" s="251" t="s">
        <v>599</v>
      </c>
      <c r="C4" s="251" t="s">
        <v>587</v>
      </c>
      <c r="D4" s="251" t="s">
        <v>600</v>
      </c>
      <c r="E4" s="251" t="s">
        <v>601</v>
      </c>
      <c r="F4" s="251" t="s">
        <v>858</v>
      </c>
      <c r="H4" s="257" t="s">
        <v>828</v>
      </c>
      <c r="I4" s="257" t="s">
        <v>551</v>
      </c>
      <c r="L4" s="810" t="s">
        <v>859</v>
      </c>
      <c r="M4" s="816" t="s">
        <v>860</v>
      </c>
      <c r="N4" s="808" t="s">
        <v>861</v>
      </c>
      <c r="O4" s="808" t="s">
        <v>610</v>
      </c>
      <c r="P4" s="808" t="s">
        <v>862</v>
      </c>
      <c r="Q4" s="810" t="s">
        <v>863</v>
      </c>
      <c r="U4" s="811" t="s">
        <v>864</v>
      </c>
      <c r="V4" s="811" t="s">
        <v>865</v>
      </c>
      <c r="AA4" s="251"/>
      <c r="AD4" s="255"/>
      <c r="AE4" s="251"/>
    </row>
    <row r="5" spans="1:32">
      <c r="A5" s="100">
        <v>41030</v>
      </c>
      <c r="B5" s="100">
        <f>'Rate Changes'!J1</f>
        <v>46082</v>
      </c>
      <c r="C5" s="251" t="str">
        <f>I1</f>
        <v>GILVS</v>
      </c>
      <c r="D5" s="100" t="str">
        <f t="shared" ref="D5:E11" si="0">IF(C5="","",A5&amp;$C5)</f>
        <v>41030GILVS</v>
      </c>
      <c r="E5" s="100" t="str">
        <f t="shared" si="0"/>
        <v>46082GILVS</v>
      </c>
      <c r="F5" s="251" t="str">
        <f>IFERROR(IF(VLOOKUP(G5,Lookup!$A$1:$B$200,2,0)="","",VLOOKUP(G5,Lookup!$A$1:$B$200,2,0)),"")</f>
        <v>BASIC_SERVICE_CHARGE</v>
      </c>
      <c r="G5" s="258" t="s">
        <v>607</v>
      </c>
      <c r="H5" s="259">
        <f>VLOOKUP(D5,'UNSG - ALL RATES'!$A$1:$DF$43,MATCH($F5,'UNSG - ALL RATES'!$A$2:$DF$2,0),0)</f>
        <v>225</v>
      </c>
      <c r="I5" s="259">
        <f>VLOOKUP(E5,'UNSG - ALL RATES'!$A$1:$DF$43,MATCH($F5,'UNSG - ALL RATES'!$A$2:$DF$2,0),0)</f>
        <v>285.73</v>
      </c>
      <c r="J5" s="259"/>
      <c r="L5" s="810"/>
      <c r="M5" s="817"/>
      <c r="N5" s="809"/>
      <c r="O5" s="809"/>
      <c r="P5" s="809"/>
      <c r="Q5" s="810"/>
      <c r="T5" s="251"/>
      <c r="U5" s="812"/>
      <c r="V5" s="812"/>
      <c r="Z5" s="251"/>
      <c r="AA5" s="251"/>
      <c r="AC5" s="255"/>
      <c r="AE5" s="251"/>
    </row>
    <row r="6" spans="1:32">
      <c r="A6" s="100">
        <v>41030</v>
      </c>
      <c r="B6" s="100">
        <f>$B$5</f>
        <v>46082</v>
      </c>
      <c r="C6" s="251" t="str">
        <f>C5</f>
        <v>GILVS</v>
      </c>
      <c r="D6" s="100" t="str">
        <f t="shared" si="0"/>
        <v>41030GILVS</v>
      </c>
      <c r="E6" s="100" t="str">
        <f t="shared" si="0"/>
        <v>46082GILVS</v>
      </c>
      <c r="F6" s="251" t="str">
        <f>IFERROR(IF(VLOOKUP(G6,Lookup!$A$1:$B$200,2,0)="","",VLOOKUP(G6,Lookup!$A$1:$B$200,2,0)),"")</f>
        <v/>
      </c>
      <c r="G6" s="258"/>
      <c r="H6" s="259"/>
      <c r="I6" s="259"/>
      <c r="J6" s="259"/>
      <c r="K6" s="56" t="s">
        <v>482</v>
      </c>
      <c r="L6" s="260">
        <f>AVERAGE(L25,L43)</f>
        <v>13008.5</v>
      </c>
      <c r="M6" s="261">
        <f>VLOOKUP(M4,$G$5:$I$5,2,0)</f>
        <v>225</v>
      </c>
      <c r="N6" s="261">
        <f>$H$8*L6</f>
        <v>1623.4607999999998</v>
      </c>
      <c r="O6" s="261">
        <f>$H$10*L6</f>
        <v>5730.2442499999997</v>
      </c>
      <c r="P6" s="261">
        <f>L6*$H$9</f>
        <v>-209.43684999999999</v>
      </c>
      <c r="Q6" s="261">
        <f>SUM(M6:P6)</f>
        <v>7369.2681999999995</v>
      </c>
      <c r="T6" s="262"/>
      <c r="U6" s="261">
        <v>0</v>
      </c>
      <c r="V6" s="263">
        <f>ROUND(SUM(Q6,U6:U6),2)</f>
        <v>7369.27</v>
      </c>
      <c r="Y6" s="262"/>
      <c r="Z6" s="251"/>
      <c r="AA6" s="251"/>
      <c r="AC6" s="255"/>
      <c r="AE6" s="251"/>
    </row>
    <row r="7" spans="1:32">
      <c r="A7" s="100">
        <v>41030</v>
      </c>
      <c r="B7" s="100">
        <f t="shared" ref="B7:B18" si="1">$B$5</f>
        <v>46082</v>
      </c>
      <c r="C7" s="251" t="str">
        <f t="shared" ref="C7:C18" si="2">C6</f>
        <v>GILVS</v>
      </c>
      <c r="D7" s="100" t="str">
        <f t="shared" si="0"/>
        <v>41030GILVS</v>
      </c>
      <c r="E7" s="100" t="str">
        <f t="shared" si="0"/>
        <v>46082GILVS</v>
      </c>
      <c r="F7" s="251" t="str">
        <f>IFERROR(IF(VLOOKUP(G7,Lookup!$A$1:$B$200,2,0)="","",VLOOKUP(G7,Lookup!$A$1:$B$200,2,0)),"")</f>
        <v/>
      </c>
      <c r="G7" s="258" t="s">
        <v>512</v>
      </c>
      <c r="H7" s="259"/>
      <c r="I7" s="259"/>
      <c r="J7" s="264"/>
      <c r="K7" s="56" t="s">
        <v>866</v>
      </c>
      <c r="L7" s="260">
        <f t="shared" ref="L7:L10" si="3">AVERAGE(L26,L44)</f>
        <v>39477</v>
      </c>
      <c r="M7" s="261">
        <f>M6</f>
        <v>225</v>
      </c>
      <c r="N7" s="261">
        <f t="shared" ref="N7:N10" si="4">$H$8*L7</f>
        <v>4926.7295999999997</v>
      </c>
      <c r="O7" s="261">
        <f t="shared" ref="O7:O10" si="5">$H$10*L7</f>
        <v>17389.6185</v>
      </c>
      <c r="P7" s="261">
        <f t="shared" ref="P7:P10" si="6">L7*$H$9</f>
        <v>-635.5797</v>
      </c>
      <c r="Q7" s="261">
        <f t="shared" ref="Q7:Q10" si="7">SUM(M7:P7)</f>
        <v>21905.768400000001</v>
      </c>
      <c r="T7" s="262"/>
      <c r="U7" s="261">
        <v>0</v>
      </c>
      <c r="V7" s="263">
        <f>ROUND(SUM(Q7,U7:U7),2)</f>
        <v>21905.77</v>
      </c>
      <c r="Y7" s="262"/>
      <c r="Z7" s="251"/>
      <c r="AA7" s="251"/>
      <c r="AC7" s="255"/>
      <c r="AE7" s="251"/>
    </row>
    <row r="8" spans="1:32">
      <c r="A8" s="100">
        <v>41030</v>
      </c>
      <c r="B8" s="100">
        <f t="shared" si="1"/>
        <v>46082</v>
      </c>
      <c r="C8" s="251" t="str">
        <f t="shared" si="2"/>
        <v>GILVS</v>
      </c>
      <c r="D8" s="100" t="str">
        <f t="shared" si="0"/>
        <v>41030GILVS</v>
      </c>
      <c r="E8" s="100" t="str">
        <f t="shared" si="0"/>
        <v>46082GILVS</v>
      </c>
      <c r="F8" s="251" t="str">
        <f>IFERROR(IF(VLOOKUP(G8,Lookup!$A$1:$B$200,2,0)="","",VLOOKUP(G8,Lookup!$A$1:$B$200,2,0)),"")</f>
        <v>THERM_DELIVERY_TIER1</v>
      </c>
      <c r="G8" s="57" t="s">
        <v>609</v>
      </c>
      <c r="H8" s="265">
        <f>VLOOKUP(D8,'UNSG - ALL RATES'!$A$1:$DF$43,MATCH($F8,'UNSG - ALL RATES'!$A$2:$DF$2,0),0)</f>
        <v>0.12479999999999999</v>
      </c>
      <c r="I8" s="265">
        <f>VLOOKUP(E8,'UNSG - ALL RATES'!$A$1:$DF$43,MATCH($F8,'UNSG - ALL RATES'!$A$2:$DF$2,0),0)</f>
        <v>0.16200000000000001</v>
      </c>
      <c r="J8" s="264"/>
      <c r="K8" s="56" t="s">
        <v>520</v>
      </c>
      <c r="L8" s="260">
        <f t="shared" si="3"/>
        <v>58988.5</v>
      </c>
      <c r="M8" s="261">
        <f t="shared" ref="M8:M10" si="8">M7</f>
        <v>225</v>
      </c>
      <c r="N8" s="261">
        <f t="shared" si="4"/>
        <v>7361.7647999999999</v>
      </c>
      <c r="O8" s="261">
        <f t="shared" si="5"/>
        <v>25984.434249999998</v>
      </c>
      <c r="P8" s="261">
        <f t="shared" si="6"/>
        <v>-949.71484999999996</v>
      </c>
      <c r="Q8" s="261">
        <f t="shared" si="7"/>
        <v>32621.484199999995</v>
      </c>
      <c r="T8" s="262"/>
      <c r="U8" s="261">
        <v>0</v>
      </c>
      <c r="V8" s="263">
        <f>ROUND(SUM(Q8,U8:U8),2)</f>
        <v>32621.48</v>
      </c>
      <c r="Y8" s="262"/>
      <c r="Z8" s="251"/>
      <c r="AA8" s="251"/>
      <c r="AC8" s="255"/>
      <c r="AE8" s="251"/>
    </row>
    <row r="9" spans="1:32">
      <c r="A9" s="100">
        <v>41030</v>
      </c>
      <c r="B9" s="100">
        <f t="shared" si="1"/>
        <v>46082</v>
      </c>
      <c r="C9" s="251" t="str">
        <f t="shared" si="2"/>
        <v>GILVS</v>
      </c>
      <c r="D9" s="100" t="str">
        <f t="shared" si="0"/>
        <v>41030GILVS</v>
      </c>
      <c r="E9" s="100" t="str">
        <f t="shared" si="0"/>
        <v>46082GILVS</v>
      </c>
      <c r="F9" s="251" t="str">
        <f>IFERROR(IF(VLOOKUP(G9,Lookup!$A$1:$B$200,2,0)="","",VLOOKUP(G9,Lookup!$A$1:$B$200,2,0)),"")</f>
        <v/>
      </c>
      <c r="G9" s="57" t="s">
        <v>867</v>
      </c>
      <c r="H9" s="264">
        <v>-1.61E-2</v>
      </c>
      <c r="I9" s="674">
        <v>0</v>
      </c>
      <c r="J9" s="264"/>
      <c r="K9" s="56" t="s">
        <v>868</v>
      </c>
      <c r="L9" s="260">
        <f t="shared" si="3"/>
        <v>58988.5</v>
      </c>
      <c r="M9" s="261">
        <f t="shared" si="8"/>
        <v>225</v>
      </c>
      <c r="N9" s="261">
        <f t="shared" si="4"/>
        <v>7361.7647999999999</v>
      </c>
      <c r="O9" s="261">
        <f t="shared" si="5"/>
        <v>25984.434249999998</v>
      </c>
      <c r="P9" s="261">
        <f t="shared" si="6"/>
        <v>-949.71484999999996</v>
      </c>
      <c r="Q9" s="261">
        <f t="shared" si="7"/>
        <v>32621.484199999995</v>
      </c>
      <c r="T9" s="262"/>
      <c r="U9" s="261">
        <v>0</v>
      </c>
      <c r="V9" s="263">
        <f>ROUND(SUM(Q9,U9:U9),2)</f>
        <v>32621.48</v>
      </c>
      <c r="Y9" s="262"/>
      <c r="Z9" s="251"/>
      <c r="AA9" s="251"/>
      <c r="AC9" s="255"/>
      <c r="AE9" s="251"/>
    </row>
    <row r="10" spans="1:32">
      <c r="A10" s="100">
        <v>41030</v>
      </c>
      <c r="B10" s="100">
        <f t="shared" si="1"/>
        <v>46082</v>
      </c>
      <c r="C10" s="251" t="str">
        <f t="shared" si="2"/>
        <v>GILVS</v>
      </c>
      <c r="D10" s="100" t="str">
        <f t="shared" si="0"/>
        <v>41030GILVS</v>
      </c>
      <c r="E10" s="100" t="str">
        <f t="shared" si="0"/>
        <v>46082GILVS</v>
      </c>
      <c r="F10" s="251" t="str">
        <f>IFERROR(IF(VLOOKUP(G10,Lookup!$A$1:$B$200,2,0)="","",VLOOKUP(G10,Lookup!$A$1:$B$200,2,0)),"")</f>
        <v/>
      </c>
      <c r="G10" s="266" t="s">
        <v>610</v>
      </c>
      <c r="H10" s="264">
        <f>'PGA Calculation'!$B$3</f>
        <v>0.4405</v>
      </c>
      <c r="I10" s="264">
        <f>'PGA Calculation'!$B$13</f>
        <v>0.44669999999999999</v>
      </c>
      <c r="J10" s="264"/>
      <c r="K10" s="267" t="s">
        <v>869</v>
      </c>
      <c r="L10" s="260">
        <f t="shared" si="3"/>
        <v>20813.357142857145</v>
      </c>
      <c r="M10" s="261">
        <f t="shared" si="8"/>
        <v>225</v>
      </c>
      <c r="N10" s="261">
        <f t="shared" si="4"/>
        <v>2597.5069714285714</v>
      </c>
      <c r="O10" s="261">
        <f t="shared" si="5"/>
        <v>9168.283821428573</v>
      </c>
      <c r="P10" s="261">
        <f t="shared" si="6"/>
        <v>-335.09505000000001</v>
      </c>
      <c r="Q10" s="261">
        <f t="shared" si="7"/>
        <v>11655.695742857144</v>
      </c>
      <c r="T10" s="262"/>
      <c r="U10" s="261">
        <v>0</v>
      </c>
      <c r="V10" s="263">
        <f>ROUND(SUM(Q10,U10:U10),2)</f>
        <v>11655.7</v>
      </c>
      <c r="Y10" s="262"/>
      <c r="Z10" s="251"/>
      <c r="AA10" s="251"/>
      <c r="AC10" s="255"/>
      <c r="AE10" s="251"/>
    </row>
    <row r="11" spans="1:32">
      <c r="A11" s="100">
        <v>41030</v>
      </c>
      <c r="B11" s="100">
        <f t="shared" si="1"/>
        <v>46082</v>
      </c>
      <c r="C11" s="251" t="str">
        <f t="shared" si="2"/>
        <v>GILVS</v>
      </c>
      <c r="D11" s="100" t="str">
        <f t="shared" si="0"/>
        <v>41030GILVS</v>
      </c>
      <c r="E11" s="100" t="str">
        <f t="shared" si="0"/>
        <v>46082GILVS</v>
      </c>
      <c r="F11" s="251" t="str">
        <f>IFERROR(IF(VLOOKUP(G11,Lookup!$A$1:$B$200,2,0)="","",VLOOKUP(G11,Lookup!$A$1:$B$200,2,0)),"")</f>
        <v/>
      </c>
      <c r="G11" s="258"/>
      <c r="H11" s="264"/>
      <c r="I11"/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V11" s="268"/>
      <c r="W11" s="268"/>
      <c r="X11" s="268"/>
      <c r="Y11" s="269"/>
      <c r="AA11" s="262"/>
    </row>
    <row r="12" spans="1:32">
      <c r="A12" s="100"/>
      <c r="B12" s="100"/>
      <c r="D12" s="100"/>
      <c r="E12" s="100"/>
      <c r="G12" s="258" t="s">
        <v>870</v>
      </c>
      <c r="H12" s="264">
        <v>0</v>
      </c>
      <c r="I12" s="669">
        <f>'UNSG Riders- Current'!$C$3</f>
        <v>0</v>
      </c>
      <c r="J12" s="264"/>
      <c r="Q12" s="270"/>
    </row>
    <row r="13" spans="1:32" ht="15" customHeight="1">
      <c r="A13" s="100">
        <v>41030</v>
      </c>
      <c r="B13" s="100">
        <f t="shared" si="1"/>
        <v>46082</v>
      </c>
      <c r="C13" s="251" t="str">
        <f>C11</f>
        <v>GILVS</v>
      </c>
      <c r="D13" s="100" t="str">
        <f t="shared" ref="D13:E18" si="9">IF(C13="","",A13&amp;$C13)</f>
        <v>41030GILVS</v>
      </c>
      <c r="E13" s="100" t="str">
        <f t="shared" si="9"/>
        <v>46082GILVS</v>
      </c>
      <c r="F13" s="251" t="str">
        <f>IFERROR(IF(VLOOKUP(G13,Lookup!$A$1:$B$200,2,0)="","",VLOOKUP(G13,Lookup!$A$1:$B$200,2,0)),"")</f>
        <v/>
      </c>
      <c r="G13" s="266" t="s">
        <v>871</v>
      </c>
      <c r="H13" s="264">
        <v>0</v>
      </c>
      <c r="I13" s="675">
        <f>'UNSG Riders- Current'!$C$5</f>
        <v>0</v>
      </c>
      <c r="L13" s="813" t="s">
        <v>872</v>
      </c>
      <c r="M13" s="814"/>
      <c r="N13" s="814"/>
      <c r="O13" s="815"/>
      <c r="P13" s="296"/>
      <c r="T13" s="251"/>
      <c r="V13" s="271"/>
      <c r="Z13" s="251"/>
      <c r="AA13" s="251"/>
      <c r="AC13" s="255"/>
      <c r="AE13" s="251"/>
    </row>
    <row r="14" spans="1:32" ht="22.5" customHeight="1">
      <c r="A14" s="100">
        <v>41030</v>
      </c>
      <c r="B14" s="100">
        <f t="shared" si="1"/>
        <v>46082</v>
      </c>
      <c r="C14" s="251" t="str">
        <f t="shared" si="2"/>
        <v>GILVS</v>
      </c>
      <c r="D14" s="100" t="str">
        <f t="shared" si="9"/>
        <v>41030GILVS</v>
      </c>
      <c r="E14" s="100" t="str">
        <f t="shared" si="9"/>
        <v>46082GILVS</v>
      </c>
      <c r="F14" s="251" t="str">
        <f>IFERROR(IF(VLOOKUP(G14,Lookup!$A$1:$B$200,2,0)="","",VLOOKUP(G14,Lookup!$A$1:$B$200,2,0)),"")</f>
        <v/>
      </c>
      <c r="I14"/>
      <c r="L14" s="810" t="s">
        <v>859</v>
      </c>
      <c r="M14" s="816" t="s">
        <v>860</v>
      </c>
      <c r="N14" s="808" t="s">
        <v>861</v>
      </c>
      <c r="O14" s="808" t="s">
        <v>610</v>
      </c>
      <c r="P14" s="808" t="s">
        <v>873</v>
      </c>
      <c r="Q14" s="810" t="s">
        <v>863</v>
      </c>
      <c r="R14" s="808" t="s">
        <v>874</v>
      </c>
      <c r="S14" s="808" t="s">
        <v>875</v>
      </c>
      <c r="U14" s="811" t="s">
        <v>864</v>
      </c>
      <c r="V14" s="811" t="s">
        <v>870</v>
      </c>
      <c r="W14" s="811" t="s">
        <v>871</v>
      </c>
      <c r="X14" s="811" t="s">
        <v>865</v>
      </c>
      <c r="Y14" s="808" t="s">
        <v>874</v>
      </c>
      <c r="Z14" s="808" t="s">
        <v>875</v>
      </c>
      <c r="AB14" s="57"/>
      <c r="AE14" s="251"/>
      <c r="AF14" s="255"/>
    </row>
    <row r="15" spans="1:32" ht="16.5" customHeight="1">
      <c r="A15" s="100">
        <v>41030</v>
      </c>
      <c r="B15" s="100">
        <f t="shared" si="1"/>
        <v>46082</v>
      </c>
      <c r="C15" s="251" t="str">
        <f t="shared" si="2"/>
        <v>GILVS</v>
      </c>
      <c r="D15" s="100" t="str">
        <f t="shared" si="9"/>
        <v>41030GILVS</v>
      </c>
      <c r="E15" s="100" t="str">
        <f t="shared" si="9"/>
        <v>46082GILVS</v>
      </c>
      <c r="F15" s="251" t="str">
        <f>IFERROR(IF(VLOOKUP(G15,Lookup!$A$1:$B$200,2,0)="","",VLOOKUP(G15,Lookup!$A$1:$B$200,2,0)),"")</f>
        <v/>
      </c>
      <c r="H15" s="264"/>
      <c r="I15"/>
      <c r="L15" s="810"/>
      <c r="M15" s="817"/>
      <c r="N15" s="809"/>
      <c r="O15" s="809"/>
      <c r="P15" s="809"/>
      <c r="Q15" s="810"/>
      <c r="R15" s="809"/>
      <c r="S15" s="809"/>
      <c r="U15" s="812"/>
      <c r="V15" s="812"/>
      <c r="W15" s="812"/>
      <c r="X15" s="812"/>
      <c r="Y15" s="809"/>
      <c r="Z15" s="809"/>
      <c r="AB15" s="57"/>
      <c r="AE15" s="251"/>
      <c r="AF15" s="255"/>
    </row>
    <row r="16" spans="1:32">
      <c r="A16" s="100">
        <v>41030</v>
      </c>
      <c r="B16" s="100">
        <f t="shared" si="1"/>
        <v>46082</v>
      </c>
      <c r="C16" s="251" t="str">
        <f t="shared" si="2"/>
        <v>GILVS</v>
      </c>
      <c r="D16" s="100" t="str">
        <f t="shared" si="9"/>
        <v>41030GILVS</v>
      </c>
      <c r="E16" s="100" t="str">
        <f t="shared" si="9"/>
        <v>46082GILVS</v>
      </c>
      <c r="G16" s="130"/>
      <c r="H16" s="264"/>
      <c r="I16" s="264"/>
      <c r="J16" s="264"/>
      <c r="K16" s="56" t="s">
        <v>482</v>
      </c>
      <c r="L16" s="260">
        <f>L6</f>
        <v>13008.5</v>
      </c>
      <c r="M16" s="261">
        <f>VLOOKUP(M14,$G$5:$I$5,3,0)</f>
        <v>285.73</v>
      </c>
      <c r="N16" s="261">
        <f>$I$8*L16</f>
        <v>2107.377</v>
      </c>
      <c r="O16" s="261">
        <f>$I$10*L16</f>
        <v>5810.8969499999994</v>
      </c>
      <c r="P16" s="261">
        <f>L16*$I$9</f>
        <v>0</v>
      </c>
      <c r="Q16" s="261">
        <f>SUM(M16:P16)</f>
        <v>8204.0039499999984</v>
      </c>
      <c r="R16" s="261">
        <f>Q16-Q6</f>
        <v>834.73574999999892</v>
      </c>
      <c r="S16" s="272">
        <f>R16/Q6</f>
        <v>0.1132725431271451</v>
      </c>
      <c r="T16" s="273"/>
      <c r="U16" s="261">
        <v>0</v>
      </c>
      <c r="V16" s="261">
        <f>L16*$I$12</f>
        <v>0</v>
      </c>
      <c r="W16" s="261">
        <f>Q16*$J$13</f>
        <v>0</v>
      </c>
      <c r="X16" s="263">
        <f>ROUND(SUM(Q16,U16:W16),2)</f>
        <v>8204</v>
      </c>
      <c r="Y16" s="261">
        <f>X16-V6</f>
        <v>834.72999999999956</v>
      </c>
      <c r="Z16" s="272">
        <f>Y16/V6</f>
        <v>0.11327173519222386</v>
      </c>
      <c r="AB16" s="57"/>
      <c r="AE16" s="251"/>
      <c r="AF16" s="255"/>
    </row>
    <row r="17" spans="1:32">
      <c r="A17" s="100">
        <v>41030</v>
      </c>
      <c r="B17" s="100">
        <f t="shared" si="1"/>
        <v>46082</v>
      </c>
      <c r="C17" s="251" t="str">
        <f t="shared" si="2"/>
        <v>GILVS</v>
      </c>
      <c r="D17" s="100" t="str">
        <f t="shared" si="9"/>
        <v>41030GILVS</v>
      </c>
      <c r="E17" s="100" t="str">
        <f t="shared" si="9"/>
        <v>46082GILVS</v>
      </c>
      <c r="H17" s="274"/>
      <c r="I17" s="274"/>
      <c r="J17" s="264"/>
      <c r="K17" s="56" t="s">
        <v>866</v>
      </c>
      <c r="L17" s="260">
        <f t="shared" ref="L17:L20" si="10">L7</f>
        <v>39477</v>
      </c>
      <c r="M17" s="261">
        <f>M16</f>
        <v>285.73</v>
      </c>
      <c r="N17" s="261">
        <f t="shared" ref="N17:N20" si="11">$I$8*L17</f>
        <v>6395.2740000000003</v>
      </c>
      <c r="O17" s="261">
        <f t="shared" ref="O17:O20" si="12">$I$10*L17</f>
        <v>17634.375899999999</v>
      </c>
      <c r="P17" s="261">
        <f t="shared" ref="P17:P20" si="13">L17*$I$9</f>
        <v>0</v>
      </c>
      <c r="Q17" s="261">
        <f t="shared" ref="Q17:Q20" si="14">SUM(M17:P17)</f>
        <v>24315.3799</v>
      </c>
      <c r="R17" s="261">
        <f>Q17-Q7</f>
        <v>2409.6114999999991</v>
      </c>
      <c r="S17" s="272">
        <f>R17/Q7</f>
        <v>0.10999894895264203</v>
      </c>
      <c r="T17" s="273"/>
      <c r="U17" s="261">
        <v>0</v>
      </c>
      <c r="V17" s="261">
        <f t="shared" ref="V17:V20" si="15">L17*$I$12</f>
        <v>0</v>
      </c>
      <c r="W17" s="261">
        <f t="shared" ref="W17:W20" si="16">Q17*$J$13</f>
        <v>0</v>
      </c>
      <c r="X17" s="263">
        <f t="shared" ref="X17:X20" si="17">ROUND(SUM(Q17,U17:W17),2)</f>
        <v>24315.38</v>
      </c>
      <c r="Y17" s="261">
        <f>X17-V7</f>
        <v>2409.6100000000006</v>
      </c>
      <c r="Z17" s="272">
        <f>Y17/V7</f>
        <v>0.10999887244319649</v>
      </c>
      <c r="AB17" s="57"/>
      <c r="AE17" s="251"/>
      <c r="AF17" s="255"/>
    </row>
    <row r="18" spans="1:32">
      <c r="A18" s="100">
        <v>41030</v>
      </c>
      <c r="B18" s="100">
        <f t="shared" si="1"/>
        <v>46082</v>
      </c>
      <c r="C18" s="251" t="str">
        <f t="shared" si="2"/>
        <v>GILVS</v>
      </c>
      <c r="D18" s="100" t="str">
        <f t="shared" si="9"/>
        <v>41030GILVS</v>
      </c>
      <c r="E18" s="100" t="str">
        <f t="shared" si="9"/>
        <v>46082GILVS</v>
      </c>
      <c r="F18" s="251" t="str">
        <f>IFERROR(IF(VLOOKUP(G18,Lookup!$A$1:$B$200,2,0)="","",VLOOKUP(G18,Lookup!$A$1:$B$200,2,0)),"")</f>
        <v/>
      </c>
      <c r="G18"/>
      <c r="H18"/>
      <c r="I18"/>
      <c r="J18" s="264"/>
      <c r="K18" s="56" t="s">
        <v>520</v>
      </c>
      <c r="L18" s="260">
        <f t="shared" si="10"/>
        <v>58988.5</v>
      </c>
      <c r="M18" s="261">
        <f t="shared" ref="M18:M20" si="18">M17</f>
        <v>285.73</v>
      </c>
      <c r="N18" s="261">
        <f t="shared" si="11"/>
        <v>9556.1370000000006</v>
      </c>
      <c r="O18" s="261">
        <f t="shared" si="12"/>
        <v>26350.162949999998</v>
      </c>
      <c r="P18" s="261">
        <f t="shared" si="13"/>
        <v>0</v>
      </c>
      <c r="Q18" s="261">
        <f t="shared" si="14"/>
        <v>36192.029949999996</v>
      </c>
      <c r="R18" s="261">
        <f>Q18-Q8</f>
        <v>3570.5457500000011</v>
      </c>
      <c r="S18" s="272">
        <f>R18/Q8</f>
        <v>0.10945381050442829</v>
      </c>
      <c r="T18" s="273"/>
      <c r="U18" s="261">
        <v>0</v>
      </c>
      <c r="V18" s="261">
        <f t="shared" si="15"/>
        <v>0</v>
      </c>
      <c r="W18" s="261">
        <f t="shared" si="16"/>
        <v>0</v>
      </c>
      <c r="X18" s="263">
        <f t="shared" si="17"/>
        <v>36192.03</v>
      </c>
      <c r="Y18" s="261">
        <f>X18-V8</f>
        <v>3570.5499999999993</v>
      </c>
      <c r="Z18" s="272">
        <f>Y18/V8</f>
        <v>0.10945395487880989</v>
      </c>
      <c r="AB18" s="57"/>
      <c r="AE18" s="251"/>
      <c r="AF18" s="255"/>
    </row>
    <row r="19" spans="1:32">
      <c r="K19" s="56" t="s">
        <v>868</v>
      </c>
      <c r="L19" s="260">
        <f t="shared" si="10"/>
        <v>58988.5</v>
      </c>
      <c r="M19" s="261">
        <f t="shared" si="18"/>
        <v>285.73</v>
      </c>
      <c r="N19" s="261">
        <f t="shared" si="11"/>
        <v>9556.1370000000006</v>
      </c>
      <c r="O19" s="261">
        <f t="shared" si="12"/>
        <v>26350.162949999998</v>
      </c>
      <c r="P19" s="261">
        <f t="shared" si="13"/>
        <v>0</v>
      </c>
      <c r="Q19" s="261">
        <f t="shared" si="14"/>
        <v>36192.029949999996</v>
      </c>
      <c r="R19" s="261">
        <f>Q19-Q9</f>
        <v>3570.5457500000011</v>
      </c>
      <c r="S19" s="272">
        <f>R19/Q9</f>
        <v>0.10945381050442829</v>
      </c>
      <c r="T19" s="273"/>
      <c r="U19" s="261">
        <v>0</v>
      </c>
      <c r="V19" s="261">
        <f t="shared" si="15"/>
        <v>0</v>
      </c>
      <c r="W19" s="261">
        <f t="shared" si="16"/>
        <v>0</v>
      </c>
      <c r="X19" s="263">
        <f t="shared" si="17"/>
        <v>36192.03</v>
      </c>
      <c r="Y19" s="261">
        <f>X19-V9</f>
        <v>3570.5499999999993</v>
      </c>
      <c r="Z19" s="272">
        <f>Y19/V9</f>
        <v>0.10945395487880989</v>
      </c>
      <c r="AB19" s="57"/>
      <c r="AE19" s="251"/>
      <c r="AF19" s="255"/>
    </row>
    <row r="20" spans="1:32">
      <c r="H20" s="262"/>
      <c r="K20" s="267" t="s">
        <v>869</v>
      </c>
      <c r="L20" s="260">
        <f t="shared" si="10"/>
        <v>20813.357142857145</v>
      </c>
      <c r="M20" s="261">
        <f t="shared" si="18"/>
        <v>285.73</v>
      </c>
      <c r="N20" s="261">
        <f t="shared" si="11"/>
        <v>3371.7638571428574</v>
      </c>
      <c r="O20" s="261">
        <f t="shared" si="12"/>
        <v>9297.3266357142857</v>
      </c>
      <c r="P20" s="261">
        <f t="shared" si="13"/>
        <v>0</v>
      </c>
      <c r="Q20" s="261">
        <f t="shared" si="14"/>
        <v>12954.820492857143</v>
      </c>
      <c r="R20" s="261">
        <f>Q20-Q10</f>
        <v>1299.124749999999</v>
      </c>
      <c r="S20" s="272">
        <f>R20/Q10</f>
        <v>0.11145836153076748</v>
      </c>
      <c r="T20" s="273"/>
      <c r="U20" s="261">
        <v>0</v>
      </c>
      <c r="V20" s="261">
        <f t="shared" si="15"/>
        <v>0</v>
      </c>
      <c r="W20" s="261">
        <f t="shared" si="16"/>
        <v>0</v>
      </c>
      <c r="X20" s="263">
        <f t="shared" si="17"/>
        <v>12954.82</v>
      </c>
      <c r="Y20" s="261">
        <f>X20-V10</f>
        <v>1299.119999999999</v>
      </c>
      <c r="Z20" s="272">
        <f>Y20/V10</f>
        <v>0.11145791329564067</v>
      </c>
      <c r="AB20" s="57"/>
      <c r="AE20" s="251"/>
      <c r="AF20" s="255"/>
    </row>
    <row r="21" spans="1:32">
      <c r="G21"/>
      <c r="H21" s="262"/>
      <c r="J21" s="275"/>
      <c r="Z21" s="268"/>
      <c r="AA21" s="276"/>
    </row>
    <row r="22" spans="1:32" ht="14.45" customHeight="1">
      <c r="G22"/>
      <c r="H22" s="262"/>
      <c r="K22" s="284" t="s">
        <v>876</v>
      </c>
      <c r="L22" s="813" t="s">
        <v>857</v>
      </c>
      <c r="M22" s="814"/>
      <c r="N22" s="814"/>
      <c r="O22" s="815"/>
      <c r="P22" s="296"/>
      <c r="Z22" s="268"/>
    </row>
    <row r="23" spans="1:32" ht="14.45" customHeight="1">
      <c r="G23"/>
      <c r="J23" s="275"/>
      <c r="L23" s="810" t="s">
        <v>859</v>
      </c>
      <c r="M23" s="816" t="s">
        <v>860</v>
      </c>
      <c r="N23" s="808" t="s">
        <v>861</v>
      </c>
      <c r="O23" s="808" t="s">
        <v>610</v>
      </c>
      <c r="P23" s="808" t="s">
        <v>862</v>
      </c>
      <c r="Q23" s="810" t="s">
        <v>863</v>
      </c>
      <c r="U23" s="811" t="s">
        <v>864</v>
      </c>
      <c r="V23" s="811" t="s">
        <v>865</v>
      </c>
      <c r="AA23" s="251"/>
      <c r="AD23" s="255"/>
      <c r="AE23" s="251"/>
    </row>
    <row r="24" spans="1:32" ht="15" customHeight="1">
      <c r="J24" s="277"/>
      <c r="K24"/>
      <c r="L24" s="810"/>
      <c r="M24" s="817"/>
      <c r="N24" s="809"/>
      <c r="O24" s="809"/>
      <c r="P24" s="809"/>
      <c r="Q24" s="810"/>
      <c r="T24" s="251"/>
      <c r="U24" s="812"/>
      <c r="V24" s="812"/>
      <c r="W24"/>
      <c r="X24"/>
      <c r="Y24"/>
      <c r="AA24" s="251"/>
      <c r="AD24" s="255"/>
      <c r="AE24" s="251"/>
    </row>
    <row r="25" spans="1:32">
      <c r="J25" s="275"/>
      <c r="K25" s="56" t="s">
        <v>482</v>
      </c>
      <c r="L25" s="282">
        <f>'[18]Percentiles_All_Bills Jan'!$I$8</f>
        <v>14669</v>
      </c>
      <c r="M25" s="261">
        <f>VLOOKUP(M23,$G$5:$I$5,2,0)</f>
        <v>225</v>
      </c>
      <c r="N25" s="261">
        <f>$H$8*L25</f>
        <v>1830.6912</v>
      </c>
      <c r="O25" s="261">
        <f>$H$10*L25</f>
        <v>6461.6944999999996</v>
      </c>
      <c r="P25" s="261">
        <f>L25*$H$9</f>
        <v>-236.17089999999999</v>
      </c>
      <c r="Q25" s="261">
        <f>SUM(M25:P25)</f>
        <v>8281.2147999999997</v>
      </c>
      <c r="R25"/>
      <c r="S25"/>
      <c r="T25"/>
      <c r="U25" s="261">
        <v>0</v>
      </c>
      <c r="V25" s="263">
        <f>ROUND(SUM(Q25,U25:U25),2)</f>
        <v>8281.2099999999991</v>
      </c>
      <c r="W25"/>
      <c r="X25"/>
      <c r="Y25"/>
      <c r="Z25" s="251"/>
      <c r="AA25" s="251"/>
      <c r="AB25" s="255"/>
      <c r="AE25" s="251"/>
    </row>
    <row r="26" spans="1:32">
      <c r="J26" s="275"/>
      <c r="K26" s="56" t="s">
        <v>866</v>
      </c>
      <c r="L26" s="282">
        <f>'[18]Percentiles_All_Bills Jan'!$J$8</f>
        <v>48307</v>
      </c>
      <c r="M26" s="261">
        <f>VLOOKUP($M$23,$G$5:$I$5,2,0)</f>
        <v>225</v>
      </c>
      <c r="N26" s="261">
        <f t="shared" ref="N26:N28" si="19">$H$8*L26</f>
        <v>6028.7136</v>
      </c>
      <c r="O26" s="261">
        <f t="shared" ref="O26:O28" si="20">$H$10*L26</f>
        <v>21279.233499999998</v>
      </c>
      <c r="P26" s="261">
        <f t="shared" ref="P26:P29" si="21">L26*$H$9</f>
        <v>-777.74270000000001</v>
      </c>
      <c r="Q26" s="261">
        <f t="shared" ref="Q26:Q29" si="22">SUM(M26:P26)</f>
        <v>26755.204399999999</v>
      </c>
      <c r="R26"/>
      <c r="S26"/>
      <c r="T26"/>
      <c r="U26" s="261">
        <v>0</v>
      </c>
      <c r="V26" s="263">
        <f>ROUND(SUM(Q26,U26:U26),2)</f>
        <v>26755.200000000001</v>
      </c>
      <c r="W26"/>
      <c r="X26"/>
      <c r="Y26"/>
      <c r="Z26" s="251"/>
      <c r="AA26" s="251"/>
      <c r="AB26" s="255"/>
      <c r="AE26" s="251"/>
    </row>
    <row r="27" spans="1:32">
      <c r="K27" s="56" t="s">
        <v>520</v>
      </c>
      <c r="L27" s="282">
        <f>'[18]Percentiles_All_Bills Jan'!$K$8</f>
        <v>75837</v>
      </c>
      <c r="M27" s="261">
        <f t="shared" ref="M27:M28" si="23">VLOOKUP($M$23,$G$5:$I$5,2,0)</f>
        <v>225</v>
      </c>
      <c r="N27" s="261">
        <f t="shared" si="19"/>
        <v>9464.4575999999997</v>
      </c>
      <c r="O27" s="261">
        <f t="shared" si="20"/>
        <v>33406.198499999999</v>
      </c>
      <c r="P27" s="261">
        <f t="shared" si="21"/>
        <v>-1220.9757</v>
      </c>
      <c r="Q27" s="261">
        <f t="shared" si="22"/>
        <v>41874.680399999997</v>
      </c>
      <c r="R27"/>
      <c r="S27"/>
      <c r="T27"/>
      <c r="U27" s="261">
        <v>0</v>
      </c>
      <c r="V27" s="263">
        <f>ROUND(SUM(Q27,U27:U27),2)</f>
        <v>41874.68</v>
      </c>
      <c r="W27"/>
      <c r="X27"/>
      <c r="Y27"/>
      <c r="Z27" s="251"/>
      <c r="AA27" s="251"/>
      <c r="AB27" s="255"/>
      <c r="AE27" s="251"/>
    </row>
    <row r="28" spans="1:32" ht="14.45" customHeight="1">
      <c r="K28" s="56" t="s">
        <v>868</v>
      </c>
      <c r="L28" s="282">
        <f>'[18]Percentiles_All_Bills Jan'!$L$8</f>
        <v>75837</v>
      </c>
      <c r="M28" s="261">
        <f t="shared" si="23"/>
        <v>225</v>
      </c>
      <c r="N28" s="261">
        <f t="shared" si="19"/>
        <v>9464.4575999999997</v>
      </c>
      <c r="O28" s="261">
        <f t="shared" si="20"/>
        <v>33406.198499999999</v>
      </c>
      <c r="P28" s="261">
        <f t="shared" si="21"/>
        <v>-1220.9757</v>
      </c>
      <c r="Q28" s="261">
        <f t="shared" si="22"/>
        <v>41874.680399999997</v>
      </c>
      <c r="R28"/>
      <c r="S28"/>
      <c r="T28"/>
      <c r="U28" s="261">
        <v>0</v>
      </c>
      <c r="V28" s="263">
        <f>ROUND(SUM(Q28,U28:U28),2)</f>
        <v>41874.68</v>
      </c>
      <c r="W28"/>
      <c r="X28"/>
      <c r="Y28"/>
      <c r="Z28" s="251"/>
      <c r="AA28" s="251"/>
      <c r="AB28" s="255"/>
      <c r="AE28" s="251"/>
    </row>
    <row r="29" spans="1:32" ht="14.45" customHeight="1">
      <c r="K29" s="267" t="s">
        <v>877</v>
      </c>
      <c r="L29" s="282">
        <f>'[18]Percentiles_All_Bills Jan'!$O$8</f>
        <v>24958.285714285714</v>
      </c>
      <c r="M29" s="261">
        <f>VLOOKUP(M23,$G$5:$I$5,2,0)</f>
        <v>225</v>
      </c>
      <c r="N29" s="261">
        <f>$H$8*L29</f>
        <v>3114.7940571428571</v>
      </c>
      <c r="O29" s="261">
        <f>$H$10*L29</f>
        <v>10994.124857142857</v>
      </c>
      <c r="P29" s="261">
        <f t="shared" si="21"/>
        <v>-401.82839999999999</v>
      </c>
      <c r="Q29" s="261">
        <f t="shared" si="22"/>
        <v>13932.090514285714</v>
      </c>
      <c r="R29"/>
      <c r="S29"/>
      <c r="T29"/>
      <c r="U29" s="261">
        <v>0</v>
      </c>
      <c r="V29" s="263">
        <f>ROUND(SUM(Q29,U29:U29),2)</f>
        <v>13932.09</v>
      </c>
      <c r="W29"/>
      <c r="X29"/>
      <c r="Y29"/>
      <c r="Z29" s="251"/>
      <c r="AA29" s="251"/>
      <c r="AB29" s="255"/>
      <c r="AE29" s="251"/>
    </row>
    <row r="30" spans="1:32">
      <c r="K30" s="240"/>
      <c r="L30"/>
      <c r="M30"/>
      <c r="N30"/>
      <c r="O30"/>
      <c r="P30" s="264"/>
      <c r="Q30"/>
      <c r="R30"/>
      <c r="S30"/>
      <c r="T30"/>
      <c r="U30"/>
      <c r="V30"/>
      <c r="W30"/>
      <c r="X30"/>
      <c r="Y30"/>
      <c r="Z30"/>
      <c r="AA30" s="251"/>
      <c r="AC30" s="255"/>
      <c r="AE30" s="251"/>
    </row>
    <row r="31" spans="1:32">
      <c r="K31" s="284" t="s">
        <v>876</v>
      </c>
      <c r="L31" s="813" t="s">
        <v>872</v>
      </c>
      <c r="M31" s="814"/>
      <c r="N31" s="814"/>
      <c r="O31" s="815"/>
      <c r="P31" s="296"/>
      <c r="R31"/>
      <c r="S31"/>
      <c r="T31"/>
      <c r="U31"/>
      <c r="V31"/>
      <c r="W31"/>
      <c r="X31"/>
      <c r="Y31"/>
      <c r="Z31"/>
      <c r="AA31" s="251"/>
      <c r="AC31" s="255"/>
      <c r="AE31" s="251"/>
    </row>
    <row r="32" spans="1:32">
      <c r="L32" s="810" t="s">
        <v>859</v>
      </c>
      <c r="M32" s="816" t="s">
        <v>860</v>
      </c>
      <c r="N32" s="808" t="s">
        <v>861</v>
      </c>
      <c r="O32" s="808" t="s">
        <v>610</v>
      </c>
      <c r="P32" s="808" t="s">
        <v>873</v>
      </c>
      <c r="Q32" s="810" t="s">
        <v>863</v>
      </c>
      <c r="R32" s="808" t="s">
        <v>874</v>
      </c>
      <c r="S32" s="808" t="s">
        <v>875</v>
      </c>
      <c r="U32" s="811" t="s">
        <v>864</v>
      </c>
      <c r="V32" s="811" t="s">
        <v>870</v>
      </c>
      <c r="W32" s="811" t="s">
        <v>871</v>
      </c>
      <c r="X32" s="811" t="s">
        <v>865</v>
      </c>
      <c r="Y32" s="808" t="s">
        <v>874</v>
      </c>
      <c r="Z32" s="808" t="s">
        <v>875</v>
      </c>
      <c r="AA32" s="251"/>
      <c r="AC32" s="255"/>
      <c r="AE32" s="251"/>
    </row>
    <row r="33" spans="11:31">
      <c r="K33"/>
      <c r="L33" s="810"/>
      <c r="M33" s="817"/>
      <c r="N33" s="809"/>
      <c r="O33" s="809"/>
      <c r="P33" s="809"/>
      <c r="Q33" s="810"/>
      <c r="R33" s="809"/>
      <c r="S33" s="809"/>
      <c r="U33" s="812"/>
      <c r="V33" s="812"/>
      <c r="W33" s="812"/>
      <c r="X33" s="812"/>
      <c r="Y33" s="809"/>
      <c r="Z33" s="809"/>
      <c r="AA33" s="251"/>
      <c r="AC33" s="255"/>
      <c r="AE33" s="251"/>
    </row>
    <row r="34" spans="11:31">
      <c r="K34" s="56" t="s">
        <v>482</v>
      </c>
      <c r="L34" s="282">
        <f>L25</f>
        <v>14669</v>
      </c>
      <c r="M34" s="261">
        <f>VLOOKUP($M$32,$G$5:$I$5,3,0)</f>
        <v>285.73</v>
      </c>
      <c r="N34" s="261">
        <f>$I$8*L34</f>
        <v>2376.3780000000002</v>
      </c>
      <c r="O34" s="261">
        <f>$I$10*L34</f>
        <v>6552.6422999999995</v>
      </c>
      <c r="P34" s="261">
        <f>L34*$I$9</f>
        <v>0</v>
      </c>
      <c r="Q34" s="261">
        <f>SUM(M34:P34)</f>
        <v>9214.7502999999997</v>
      </c>
      <c r="R34" s="261">
        <f>Q34-Q25</f>
        <v>933.53549999999996</v>
      </c>
      <c r="S34" s="272">
        <f>R34/Q25</f>
        <v>0.11272929425764926</v>
      </c>
      <c r="T34"/>
      <c r="U34" s="261">
        <v>0</v>
      </c>
      <c r="V34" s="261">
        <f>L34*$I$12</f>
        <v>0</v>
      </c>
      <c r="W34" s="261">
        <f>Q34*$J$13</f>
        <v>0</v>
      </c>
      <c r="X34" s="263">
        <f>ROUND(SUM(Q34,U34:W34),2)</f>
        <v>9214.75</v>
      </c>
      <c r="Y34" s="261">
        <f>X34-V25</f>
        <v>933.54000000000087</v>
      </c>
      <c r="Z34" s="272">
        <f>Y34/V25</f>
        <v>0.11272990299726743</v>
      </c>
    </row>
    <row r="35" spans="11:31">
      <c r="K35" s="56" t="s">
        <v>866</v>
      </c>
      <c r="L35" s="282">
        <f t="shared" ref="L35:L38" si="24">L26</f>
        <v>48307</v>
      </c>
      <c r="M35" s="261">
        <f t="shared" ref="M35:M38" si="25">VLOOKUP($M$32,$G$5:$I$5,3,0)</f>
        <v>285.73</v>
      </c>
      <c r="N35" s="261">
        <f t="shared" ref="N35:N38" si="26">$I$8*L35</f>
        <v>7825.7340000000004</v>
      </c>
      <c r="O35" s="261">
        <f t="shared" ref="O35:O38" si="27">$I$10*L35</f>
        <v>21578.7369</v>
      </c>
      <c r="P35" s="261">
        <f t="shared" ref="P35:P38" si="28">L35*$I$9</f>
        <v>0</v>
      </c>
      <c r="Q35" s="261">
        <f t="shared" ref="Q35:Q38" si="29">SUM(M35:P35)</f>
        <v>29690.2009</v>
      </c>
      <c r="R35" s="261">
        <f t="shared" ref="R35:R38" si="30">Q35-Q26</f>
        <v>2934.9965000000011</v>
      </c>
      <c r="S35" s="272">
        <f t="shared" ref="S35:S38" si="31">R35/Q26</f>
        <v>0.10969815278256671</v>
      </c>
      <c r="T35"/>
      <c r="U35" s="261">
        <v>0</v>
      </c>
      <c r="V35" s="261">
        <f t="shared" ref="V35:V38" si="32">L35*$I$12</f>
        <v>0</v>
      </c>
      <c r="W35" s="261">
        <f t="shared" ref="W35:W38" si="33">Q35*$J$13</f>
        <v>0</v>
      </c>
      <c r="X35" s="263">
        <f>ROUND(SUM(Q35,U35:W35),2)</f>
        <v>29690.2</v>
      </c>
      <c r="Y35" s="261">
        <f>X35-V26</f>
        <v>2935</v>
      </c>
      <c r="Z35" s="272">
        <f>Y35/V26</f>
        <v>0.10969830163855998</v>
      </c>
    </row>
    <row r="36" spans="11:31" ht="15" customHeight="1">
      <c r="K36" s="56" t="s">
        <v>520</v>
      </c>
      <c r="L36" s="282">
        <f t="shared" si="24"/>
        <v>75837</v>
      </c>
      <c r="M36" s="261">
        <f t="shared" si="25"/>
        <v>285.73</v>
      </c>
      <c r="N36" s="261">
        <f t="shared" si="26"/>
        <v>12285.594000000001</v>
      </c>
      <c r="O36" s="261">
        <f t="shared" si="27"/>
        <v>33876.387900000002</v>
      </c>
      <c r="P36" s="261">
        <f t="shared" si="28"/>
        <v>0</v>
      </c>
      <c r="Q36" s="261">
        <f t="shared" si="29"/>
        <v>46447.711900000002</v>
      </c>
      <c r="R36" s="261">
        <f t="shared" si="30"/>
        <v>4573.0315000000046</v>
      </c>
      <c r="S36" s="272">
        <f t="shared" si="31"/>
        <v>0.10920755588620576</v>
      </c>
      <c r="T36"/>
      <c r="U36" s="261">
        <v>0</v>
      </c>
      <c r="V36" s="261">
        <f t="shared" si="32"/>
        <v>0</v>
      </c>
      <c r="W36" s="261">
        <f t="shared" si="33"/>
        <v>0</v>
      </c>
      <c r="X36" s="263">
        <f t="shared" ref="X36:X38" si="34">ROUND(SUM(Q36,U36:W36),2)</f>
        <v>46447.71</v>
      </c>
      <c r="Y36" s="261">
        <f>X36-V27</f>
        <v>4573.0299999999988</v>
      </c>
      <c r="Z36" s="272">
        <f>Y36/V27</f>
        <v>0.10920752110822098</v>
      </c>
    </row>
    <row r="37" spans="11:31">
      <c r="K37" s="56" t="s">
        <v>868</v>
      </c>
      <c r="L37" s="282">
        <f t="shared" si="24"/>
        <v>75837</v>
      </c>
      <c r="M37" s="261">
        <f t="shared" si="25"/>
        <v>285.73</v>
      </c>
      <c r="N37" s="261">
        <f t="shared" si="26"/>
        <v>12285.594000000001</v>
      </c>
      <c r="O37" s="261">
        <f t="shared" si="27"/>
        <v>33876.387900000002</v>
      </c>
      <c r="P37" s="261">
        <f t="shared" si="28"/>
        <v>0</v>
      </c>
      <c r="Q37" s="261">
        <f t="shared" si="29"/>
        <v>46447.711900000002</v>
      </c>
      <c r="R37" s="261">
        <f t="shared" si="30"/>
        <v>4573.0315000000046</v>
      </c>
      <c r="S37" s="272">
        <f t="shared" si="31"/>
        <v>0.10920755588620576</v>
      </c>
      <c r="T37"/>
      <c r="U37" s="261">
        <v>0</v>
      </c>
      <c r="V37" s="261">
        <f t="shared" si="32"/>
        <v>0</v>
      </c>
      <c r="W37" s="261">
        <f t="shared" si="33"/>
        <v>0</v>
      </c>
      <c r="X37" s="263">
        <f t="shared" si="34"/>
        <v>46447.71</v>
      </c>
      <c r="Y37" s="261">
        <f>X37-V28</f>
        <v>4573.0299999999988</v>
      </c>
      <c r="Z37" s="272">
        <f>Y37/V28</f>
        <v>0.10920752110822098</v>
      </c>
      <c r="AA37" s="251"/>
      <c r="AC37" s="255"/>
      <c r="AE37" s="251"/>
    </row>
    <row r="38" spans="11:31" ht="15.75" customHeight="1">
      <c r="K38" s="267" t="s">
        <v>877</v>
      </c>
      <c r="L38" s="282">
        <f t="shared" si="24"/>
        <v>24958.285714285714</v>
      </c>
      <c r="M38" s="261">
        <f t="shared" si="25"/>
        <v>285.73</v>
      </c>
      <c r="N38" s="261">
        <f t="shared" si="26"/>
        <v>4043.2422857142856</v>
      </c>
      <c r="O38" s="261">
        <f t="shared" si="27"/>
        <v>11148.866228571427</v>
      </c>
      <c r="P38" s="261">
        <f t="shared" si="28"/>
        <v>0</v>
      </c>
      <c r="Q38" s="261">
        <f t="shared" si="29"/>
        <v>15477.838514285713</v>
      </c>
      <c r="R38" s="261">
        <f t="shared" si="30"/>
        <v>1545.7479999999996</v>
      </c>
      <c r="S38" s="272">
        <f t="shared" si="31"/>
        <v>0.11094874802995412</v>
      </c>
      <c r="T38"/>
      <c r="U38" s="261">
        <v>0</v>
      </c>
      <c r="V38" s="261">
        <f t="shared" si="32"/>
        <v>0</v>
      </c>
      <c r="W38" s="261">
        <f t="shared" si="33"/>
        <v>0</v>
      </c>
      <c r="X38" s="263">
        <f t="shared" si="34"/>
        <v>15477.84</v>
      </c>
      <c r="Y38" s="261">
        <f>X38-V29</f>
        <v>1545.75</v>
      </c>
      <c r="Z38" s="272">
        <f>Y38/V29</f>
        <v>0.11094889567896848</v>
      </c>
      <c r="AA38" s="251"/>
      <c r="AC38" s="255"/>
      <c r="AE38" s="251"/>
    </row>
    <row r="39" spans="11:31">
      <c r="K39"/>
      <c r="L39"/>
      <c r="M39"/>
      <c r="N39"/>
      <c r="O39"/>
      <c r="P39" s="268"/>
      <c r="Q39"/>
      <c r="R39"/>
      <c r="S39"/>
      <c r="T39"/>
      <c r="U39"/>
      <c r="V39"/>
      <c r="W39"/>
      <c r="X39"/>
      <c r="Y39"/>
      <c r="Z39"/>
      <c r="AA39" s="251"/>
      <c r="AC39" s="255"/>
      <c r="AE39" s="251"/>
    </row>
    <row r="40" spans="11:31">
      <c r="K40" s="284" t="s">
        <v>878</v>
      </c>
      <c r="L40" s="813" t="s">
        <v>857</v>
      </c>
      <c r="M40" s="814"/>
      <c r="N40" s="814"/>
      <c r="O40" s="815"/>
      <c r="P40" s="296"/>
      <c r="R40"/>
      <c r="S40"/>
      <c r="T40"/>
      <c r="U40"/>
      <c r="V40"/>
      <c r="W40"/>
      <c r="X40"/>
      <c r="Y40"/>
      <c r="Z40"/>
      <c r="AA40" s="251"/>
      <c r="AC40" s="255"/>
      <c r="AE40" s="251"/>
    </row>
    <row r="41" spans="11:31">
      <c r="L41" s="810" t="s">
        <v>859</v>
      </c>
      <c r="M41" s="816" t="s">
        <v>860</v>
      </c>
      <c r="N41" s="808" t="s">
        <v>861</v>
      </c>
      <c r="O41" s="808" t="s">
        <v>610</v>
      </c>
      <c r="P41" s="808" t="s">
        <v>862</v>
      </c>
      <c r="Q41" s="810" t="s">
        <v>863</v>
      </c>
      <c r="R41"/>
      <c r="S41"/>
      <c r="U41" s="811" t="s">
        <v>864</v>
      </c>
      <c r="V41" s="811" t="s">
        <v>865</v>
      </c>
      <c r="W41"/>
      <c r="X41"/>
      <c r="Y41" s="251"/>
      <c r="Z41" s="251"/>
      <c r="AA41" s="251"/>
      <c r="AB41" s="255"/>
      <c r="AE41" s="251"/>
    </row>
    <row r="42" spans="11:31">
      <c r="K42"/>
      <c r="L42" s="810"/>
      <c r="M42" s="817"/>
      <c r="N42" s="809"/>
      <c r="O42" s="809"/>
      <c r="P42" s="809"/>
      <c r="Q42" s="810"/>
      <c r="R42"/>
      <c r="S42"/>
      <c r="U42" s="812"/>
      <c r="V42" s="812"/>
      <c r="W42"/>
      <c r="X42"/>
      <c r="Y42" s="251"/>
      <c r="Z42" s="251"/>
      <c r="AA42" s="251"/>
      <c r="AB42" s="255"/>
      <c r="AE42" s="251"/>
    </row>
    <row r="43" spans="11:31">
      <c r="K43" s="56" t="s">
        <v>482</v>
      </c>
      <c r="L43" s="282">
        <f>'[18]Percentiles_All_Bills July'!$I$8</f>
        <v>11348</v>
      </c>
      <c r="M43" s="261">
        <f>VLOOKUP($M$32,$G$5:$I$5,2,0)</f>
        <v>225</v>
      </c>
      <c r="N43" s="261">
        <f>$H$8*L43</f>
        <v>1416.2303999999999</v>
      </c>
      <c r="O43" s="261">
        <f>$H$10*L43</f>
        <v>4998.7939999999999</v>
      </c>
      <c r="P43" s="261">
        <f>L43*$H$9</f>
        <v>-182.7028</v>
      </c>
      <c r="Q43" s="261">
        <f>SUM(M43:P43)</f>
        <v>6457.3216000000002</v>
      </c>
      <c r="R43"/>
      <c r="S43"/>
      <c r="T43"/>
      <c r="U43" s="261">
        <v>0</v>
      </c>
      <c r="V43" s="263">
        <f>ROUND(SUM(Q43,U43:U43),2)</f>
        <v>6457.32</v>
      </c>
      <c r="W43"/>
      <c r="X43"/>
      <c r="Y43" s="251"/>
      <c r="Z43" s="251"/>
      <c r="AA43" s="251"/>
      <c r="AB43" s="255"/>
      <c r="AE43" s="251"/>
    </row>
    <row r="44" spans="11:31">
      <c r="K44" s="56" t="s">
        <v>866</v>
      </c>
      <c r="L44" s="282">
        <f>'[18]Percentiles_All_Bills July'!$J$8</f>
        <v>30647</v>
      </c>
      <c r="M44" s="261">
        <f t="shared" ref="M44:M46" si="35">VLOOKUP($M$32,$G$5:$I$5,2,0)</f>
        <v>225</v>
      </c>
      <c r="N44" s="261">
        <f t="shared" ref="N44:N46" si="36">$H$8*L44</f>
        <v>3824.7455999999997</v>
      </c>
      <c r="O44" s="261">
        <f t="shared" ref="O44:O46" si="37">$H$10*L44</f>
        <v>13500.003500000001</v>
      </c>
      <c r="P44" s="261">
        <f t="shared" ref="P44:P47" si="38">L44*$H$9</f>
        <v>-493.41669999999999</v>
      </c>
      <c r="Q44" s="261">
        <f t="shared" ref="Q44:Q47" si="39">SUM(M44:P44)</f>
        <v>17056.332399999999</v>
      </c>
      <c r="R44"/>
      <c r="S44"/>
      <c r="T44"/>
      <c r="U44" s="261">
        <v>0</v>
      </c>
      <c r="V44" s="263">
        <f>ROUND(SUM(Q44,U44:U44),2)</f>
        <v>17056.330000000002</v>
      </c>
      <c r="W44"/>
      <c r="X44"/>
      <c r="Y44" s="251"/>
      <c r="Z44" s="251"/>
      <c r="AA44" s="251"/>
      <c r="AB44" s="255"/>
      <c r="AE44" s="251"/>
    </row>
    <row r="45" spans="11:31">
      <c r="K45" s="56" t="s">
        <v>520</v>
      </c>
      <c r="L45" s="282">
        <f>'[18]Percentiles_All_Bills July'!$K$8</f>
        <v>42140</v>
      </c>
      <c r="M45" s="261">
        <f t="shared" si="35"/>
        <v>225</v>
      </c>
      <c r="N45" s="261">
        <f t="shared" si="36"/>
        <v>5259.0720000000001</v>
      </c>
      <c r="O45" s="261">
        <f t="shared" si="37"/>
        <v>18562.670000000002</v>
      </c>
      <c r="P45" s="261">
        <f t="shared" si="38"/>
        <v>-678.45399999999995</v>
      </c>
      <c r="Q45" s="261">
        <f t="shared" si="39"/>
        <v>23368.288</v>
      </c>
      <c r="R45"/>
      <c r="S45"/>
      <c r="T45"/>
      <c r="U45" s="261">
        <v>0</v>
      </c>
      <c r="V45" s="263">
        <f>ROUND(SUM(Q45,U45:U45),2)</f>
        <v>23368.29</v>
      </c>
      <c r="W45"/>
      <c r="X45"/>
      <c r="Z45" s="251"/>
      <c r="AA45" s="251"/>
      <c r="AB45" s="255"/>
      <c r="AE45" s="251"/>
    </row>
    <row r="46" spans="11:31">
      <c r="K46" s="56" t="s">
        <v>868</v>
      </c>
      <c r="L46" s="282">
        <f>'[18]Percentiles_All_Bills July'!$L$8</f>
        <v>42140</v>
      </c>
      <c r="M46" s="261">
        <f t="shared" si="35"/>
        <v>225</v>
      </c>
      <c r="N46" s="261">
        <f t="shared" si="36"/>
        <v>5259.0720000000001</v>
      </c>
      <c r="O46" s="261">
        <f t="shared" si="37"/>
        <v>18562.670000000002</v>
      </c>
      <c r="P46" s="261">
        <f t="shared" si="38"/>
        <v>-678.45399999999995</v>
      </c>
      <c r="Q46" s="261">
        <f t="shared" si="39"/>
        <v>23368.288</v>
      </c>
      <c r="R46"/>
      <c r="S46"/>
      <c r="T46"/>
      <c r="U46" s="261">
        <v>0</v>
      </c>
      <c r="V46" s="263">
        <f>ROUND(SUM(Q46,U46:U46),2)</f>
        <v>23368.29</v>
      </c>
      <c r="W46"/>
      <c r="X46"/>
      <c r="AA46" s="251"/>
      <c r="AD46" s="255"/>
      <c r="AE46" s="251"/>
    </row>
    <row r="47" spans="11:31">
      <c r="K47" s="267" t="s">
        <v>877</v>
      </c>
      <c r="L47" s="282">
        <f>'[18]Percentiles_All_Bills July'!$O$8</f>
        <v>16668.428571428572</v>
      </c>
      <c r="M47" s="261">
        <f>VLOOKUP(M41,$G$5:$I$5,2,0)</f>
        <v>225</v>
      </c>
      <c r="N47" s="261">
        <f>$H$8*L47</f>
        <v>2080.2198857142857</v>
      </c>
      <c r="O47" s="261">
        <f>$H$10*L47</f>
        <v>7342.4427857142864</v>
      </c>
      <c r="P47" s="261">
        <f t="shared" si="38"/>
        <v>-268.36169999999998</v>
      </c>
      <c r="Q47" s="261">
        <f t="shared" si="39"/>
        <v>9379.3009714285727</v>
      </c>
      <c r="R47"/>
      <c r="S47"/>
      <c r="T47"/>
      <c r="U47" s="261">
        <v>0</v>
      </c>
      <c r="V47" s="263">
        <f>ROUND(SUM(Q47,U47:U47),2)</f>
        <v>9379.2999999999993</v>
      </c>
      <c r="W47"/>
      <c r="X47"/>
      <c r="AA47" s="251"/>
      <c r="AD47" s="255"/>
      <c r="AE47" s="251"/>
    </row>
    <row r="48" spans="11:31">
      <c r="K48"/>
      <c r="L48"/>
      <c r="M48"/>
      <c r="N48"/>
      <c r="O48"/>
      <c r="P48" s="264"/>
      <c r="Q48"/>
      <c r="R48"/>
      <c r="S48"/>
      <c r="T48"/>
      <c r="U48"/>
      <c r="V48"/>
      <c r="W48"/>
      <c r="X48"/>
      <c r="Y48"/>
      <c r="Z48"/>
    </row>
    <row r="49" spans="10:31" ht="15" customHeight="1">
      <c r="K49" s="284" t="s">
        <v>878</v>
      </c>
      <c r="L49" s="813" t="s">
        <v>872</v>
      </c>
      <c r="M49" s="814"/>
      <c r="N49" s="814"/>
      <c r="O49" s="815"/>
      <c r="P49" s="296"/>
      <c r="R49"/>
      <c r="S49"/>
      <c r="T49"/>
      <c r="U49"/>
      <c r="V49"/>
      <c r="W49"/>
      <c r="X49"/>
      <c r="Y49"/>
      <c r="Z49"/>
      <c r="AA49" s="251"/>
      <c r="AC49" s="255"/>
      <c r="AE49" s="251"/>
    </row>
    <row r="50" spans="10:31">
      <c r="L50" s="810" t="s">
        <v>859</v>
      </c>
      <c r="M50" s="816" t="s">
        <v>860</v>
      </c>
      <c r="N50" s="808" t="s">
        <v>861</v>
      </c>
      <c r="O50" s="808" t="s">
        <v>610</v>
      </c>
      <c r="P50" s="808" t="s">
        <v>873</v>
      </c>
      <c r="Q50" s="810" t="s">
        <v>863</v>
      </c>
      <c r="R50" s="808" t="s">
        <v>874</v>
      </c>
      <c r="S50" s="808" t="s">
        <v>875</v>
      </c>
      <c r="U50" s="811" t="s">
        <v>864</v>
      </c>
      <c r="V50" s="811" t="s">
        <v>870</v>
      </c>
      <c r="W50" s="811" t="s">
        <v>871</v>
      </c>
      <c r="X50" s="811" t="s">
        <v>865</v>
      </c>
      <c r="Y50" s="808" t="s">
        <v>874</v>
      </c>
      <c r="Z50" s="808" t="s">
        <v>875</v>
      </c>
      <c r="AA50" s="251"/>
      <c r="AC50" s="255"/>
      <c r="AE50" s="251"/>
    </row>
    <row r="51" spans="10:31">
      <c r="K51"/>
      <c r="L51" s="810"/>
      <c r="M51" s="817"/>
      <c r="N51" s="809"/>
      <c r="O51" s="809"/>
      <c r="P51" s="809"/>
      <c r="Q51" s="810"/>
      <c r="R51" s="809"/>
      <c r="S51" s="809"/>
      <c r="U51" s="812"/>
      <c r="V51" s="812"/>
      <c r="W51" s="812"/>
      <c r="X51" s="812"/>
      <c r="Y51" s="809"/>
      <c r="Z51" s="809"/>
      <c r="AA51" s="251"/>
      <c r="AC51" s="255"/>
      <c r="AE51" s="251"/>
    </row>
    <row r="52" spans="10:31">
      <c r="J52" s="278"/>
      <c r="K52" s="56" t="s">
        <v>482</v>
      </c>
      <c r="L52" s="282">
        <f>L43</f>
        <v>11348</v>
      </c>
      <c r="M52" s="261">
        <f>VLOOKUP($M$32,$G$5:$I$5,3,0)</f>
        <v>285.73</v>
      </c>
      <c r="N52" s="261">
        <f>$I$8*L52</f>
        <v>1838.376</v>
      </c>
      <c r="O52" s="261">
        <f>$H$10*L52</f>
        <v>4998.7939999999999</v>
      </c>
      <c r="P52" s="261">
        <f>L52*$I$9</f>
        <v>0</v>
      </c>
      <c r="Q52" s="261">
        <f>SUM(M52:P52)</f>
        <v>7122.9</v>
      </c>
      <c r="R52" s="261">
        <f>Q52-Q43</f>
        <v>665.57839999999942</v>
      </c>
      <c r="S52" s="272">
        <f>R52/Q43</f>
        <v>0.10307344766597956</v>
      </c>
      <c r="T52"/>
      <c r="U52" s="261">
        <v>0</v>
      </c>
      <c r="V52" s="261">
        <f>L52*$I$12</f>
        <v>0</v>
      </c>
      <c r="W52" s="261">
        <f>Q52*$J$13</f>
        <v>0</v>
      </c>
      <c r="X52" s="263">
        <f>ROUND(SUM(Q52,U52:W52),2)</f>
        <v>7122.9</v>
      </c>
      <c r="Y52" s="261">
        <f>X52-V43</f>
        <v>665.57999999999993</v>
      </c>
      <c r="Z52" s="272">
        <f>Y52/V43</f>
        <v>0.10307372098641542</v>
      </c>
      <c r="AA52" s="251"/>
      <c r="AC52" s="255"/>
      <c r="AE52" s="251"/>
    </row>
    <row r="53" spans="10:31">
      <c r="K53" s="56" t="s">
        <v>866</v>
      </c>
      <c r="L53" s="282">
        <f t="shared" ref="L53:L56" si="40">L44</f>
        <v>30647</v>
      </c>
      <c r="M53" s="261">
        <f t="shared" ref="M53:M56" si="41">VLOOKUP($M$32,$G$5:$I$5,3,0)</f>
        <v>285.73</v>
      </c>
      <c r="N53" s="261">
        <f t="shared" ref="N53:N56" si="42">$I$8*L53</f>
        <v>4964.8140000000003</v>
      </c>
      <c r="O53" s="261">
        <f t="shared" ref="O53:O55" si="43">$H$10*L53</f>
        <v>13500.003500000001</v>
      </c>
      <c r="P53" s="261">
        <f t="shared" ref="P53:P56" si="44">L53*$I$9</f>
        <v>0</v>
      </c>
      <c r="Q53" s="261">
        <f t="shared" ref="Q53:Q56" si="45">SUM(M53:P53)</f>
        <v>18750.547500000001</v>
      </c>
      <c r="R53" s="261">
        <f t="shared" ref="R53:R56" si="46">Q53-Q44</f>
        <v>1694.2151000000013</v>
      </c>
      <c r="S53" s="272">
        <f t="shared" ref="S53:S56" si="47">R53/Q44</f>
        <v>9.9330562999581401E-2</v>
      </c>
      <c r="T53"/>
      <c r="U53" s="261">
        <v>0</v>
      </c>
      <c r="V53" s="261">
        <f t="shared" ref="V53:V56" si="48">L53*$I$12</f>
        <v>0</v>
      </c>
      <c r="W53" s="261">
        <f t="shared" ref="W53:W56" si="49">Q53*$J$13</f>
        <v>0</v>
      </c>
      <c r="X53" s="263">
        <f>ROUND(SUM(Q53,U53:W53),2)</f>
        <v>18750.55</v>
      </c>
      <c r="Y53" s="261">
        <f>X53-V44</f>
        <v>1694.2199999999975</v>
      </c>
      <c r="Z53" s="272">
        <f>Y53/V44</f>
        <v>9.9330864259779064E-2</v>
      </c>
      <c r="AA53" s="251"/>
      <c r="AC53" s="255"/>
      <c r="AE53" s="251"/>
    </row>
    <row r="54" spans="10:31">
      <c r="K54" s="56" t="s">
        <v>520</v>
      </c>
      <c r="L54" s="282">
        <f t="shared" si="40"/>
        <v>42140</v>
      </c>
      <c r="M54" s="261">
        <f t="shared" si="41"/>
        <v>285.73</v>
      </c>
      <c r="N54" s="261">
        <f t="shared" si="42"/>
        <v>6826.68</v>
      </c>
      <c r="O54" s="261">
        <f t="shared" si="43"/>
        <v>18562.670000000002</v>
      </c>
      <c r="P54" s="261">
        <f t="shared" si="44"/>
        <v>0</v>
      </c>
      <c r="Q54" s="261">
        <f t="shared" si="45"/>
        <v>25675.08</v>
      </c>
      <c r="R54" s="261">
        <f t="shared" si="46"/>
        <v>2306.7920000000013</v>
      </c>
      <c r="S54" s="272">
        <f t="shared" si="47"/>
        <v>9.87146341229619E-2</v>
      </c>
      <c r="T54"/>
      <c r="U54" s="261">
        <v>0</v>
      </c>
      <c r="V54" s="261">
        <f t="shared" si="48"/>
        <v>0</v>
      </c>
      <c r="W54" s="261">
        <f t="shared" si="49"/>
        <v>0</v>
      </c>
      <c r="X54" s="263">
        <f t="shared" ref="X54:X56" si="50">ROUND(SUM(Q54,U54:W54),2)</f>
        <v>25675.08</v>
      </c>
      <c r="Y54" s="261">
        <f>X54-V45</f>
        <v>2306.7900000000009</v>
      </c>
      <c r="Z54" s="272">
        <f>Y54/V45</f>
        <v>9.8714540088299177E-2</v>
      </c>
      <c r="AA54" s="251"/>
      <c r="AC54" s="255"/>
      <c r="AE54" s="251"/>
    </row>
    <row r="55" spans="10:31">
      <c r="K55" s="56" t="s">
        <v>868</v>
      </c>
      <c r="L55" s="282">
        <f t="shared" si="40"/>
        <v>42140</v>
      </c>
      <c r="M55" s="261">
        <f t="shared" si="41"/>
        <v>285.73</v>
      </c>
      <c r="N55" s="261">
        <f t="shared" si="42"/>
        <v>6826.68</v>
      </c>
      <c r="O55" s="261">
        <f t="shared" si="43"/>
        <v>18562.670000000002</v>
      </c>
      <c r="P55" s="261">
        <f t="shared" si="44"/>
        <v>0</v>
      </c>
      <c r="Q55" s="261">
        <f t="shared" si="45"/>
        <v>25675.08</v>
      </c>
      <c r="R55" s="261">
        <f t="shared" si="46"/>
        <v>2306.7920000000013</v>
      </c>
      <c r="S55" s="272">
        <f t="shared" si="47"/>
        <v>9.87146341229619E-2</v>
      </c>
      <c r="T55"/>
      <c r="U55" s="261">
        <v>0</v>
      </c>
      <c r="V55" s="261">
        <f t="shared" si="48"/>
        <v>0</v>
      </c>
      <c r="W55" s="261">
        <f t="shared" si="49"/>
        <v>0</v>
      </c>
      <c r="X55" s="263">
        <f t="shared" si="50"/>
        <v>25675.08</v>
      </c>
      <c r="Y55" s="261">
        <f>X55-V46</f>
        <v>2306.7900000000009</v>
      </c>
      <c r="Z55" s="272">
        <f>Y55/V46</f>
        <v>9.8714540088299177E-2</v>
      </c>
      <c r="AA55" s="251"/>
      <c r="AC55" s="255"/>
      <c r="AE55" s="251"/>
    </row>
    <row r="56" spans="10:31">
      <c r="K56" s="267" t="s">
        <v>877</v>
      </c>
      <c r="L56" s="282">
        <f t="shared" si="40"/>
        <v>16668.428571428572</v>
      </c>
      <c r="M56" s="261">
        <f t="shared" si="41"/>
        <v>285.73</v>
      </c>
      <c r="N56" s="261">
        <f t="shared" si="42"/>
        <v>2700.2854285714288</v>
      </c>
      <c r="O56" s="261">
        <f>$H$10*L56</f>
        <v>7342.4427857142864</v>
      </c>
      <c r="P56" s="261">
        <f t="shared" si="44"/>
        <v>0</v>
      </c>
      <c r="Q56" s="261">
        <f t="shared" si="45"/>
        <v>10328.458214285714</v>
      </c>
      <c r="R56" s="261">
        <f t="shared" si="46"/>
        <v>949.15724285714168</v>
      </c>
      <c r="S56" s="272">
        <f t="shared" si="47"/>
        <v>0.10119701305550219</v>
      </c>
      <c r="T56"/>
      <c r="U56" s="261">
        <v>0</v>
      </c>
      <c r="V56" s="261">
        <f t="shared" si="48"/>
        <v>0</v>
      </c>
      <c r="W56" s="261">
        <f t="shared" si="49"/>
        <v>0</v>
      </c>
      <c r="X56" s="263">
        <f t="shared" si="50"/>
        <v>10328.459999999999</v>
      </c>
      <c r="Y56" s="261">
        <f>X56-V47</f>
        <v>949.15999999999985</v>
      </c>
      <c r="Z56" s="272">
        <f>Y56/V47</f>
        <v>0.10119731749704135</v>
      </c>
      <c r="AA56" s="251"/>
      <c r="AC56" s="255"/>
      <c r="AE56" s="251"/>
    </row>
    <row r="57" spans="10:31"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 s="251"/>
      <c r="AC57" s="255"/>
      <c r="AE57" s="251"/>
    </row>
    <row r="58" spans="10:31"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 s="251"/>
      <c r="AC58" s="255"/>
      <c r="AE58" s="251"/>
    </row>
    <row r="59" spans="10:31"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0:31"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0:31" ht="15" customHeight="1"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 s="251"/>
      <c r="AC61" s="255"/>
      <c r="AE61" s="251"/>
    </row>
    <row r="62" spans="10:31" ht="21.75" customHeight="1"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 s="251"/>
      <c r="AC62" s="255"/>
      <c r="AE62" s="251"/>
    </row>
    <row r="63" spans="10:31"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 s="251"/>
      <c r="AC63" s="255"/>
      <c r="AE63" s="251"/>
    </row>
    <row r="64" spans="10:31"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 s="251"/>
      <c r="AC64" s="255"/>
      <c r="AE64" s="251"/>
    </row>
    <row r="65" spans="11:31"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 s="251"/>
      <c r="AC65" s="255"/>
      <c r="AE65" s="251"/>
    </row>
    <row r="66" spans="11:31"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 s="251"/>
      <c r="AC66" s="255"/>
      <c r="AE66" s="251"/>
    </row>
    <row r="67" spans="11:31"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 s="251"/>
      <c r="AC67" s="255"/>
      <c r="AE67" s="251"/>
    </row>
    <row r="68" spans="11:31"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 s="251"/>
      <c r="AC68" s="255"/>
      <c r="AE68" s="251"/>
    </row>
    <row r="69" spans="11:31"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 s="251"/>
      <c r="AC69" s="255"/>
      <c r="AE69" s="251"/>
    </row>
    <row r="70" spans="11:31"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 s="251"/>
      <c r="AC70" s="255"/>
      <c r="AE70" s="251"/>
    </row>
  </sheetData>
  <mergeCells count="73">
    <mergeCell ref="Q23:Q24"/>
    <mergeCell ref="U23:U24"/>
    <mergeCell ref="V23:V24"/>
    <mergeCell ref="R32:R33"/>
    <mergeCell ref="S32:S33"/>
    <mergeCell ref="L22:O22"/>
    <mergeCell ref="L23:L24"/>
    <mergeCell ref="M23:M24"/>
    <mergeCell ref="N23:N24"/>
    <mergeCell ref="O23:O24"/>
    <mergeCell ref="Z14:Z15"/>
    <mergeCell ref="U4:U5"/>
    <mergeCell ref="V4:V5"/>
    <mergeCell ref="L13:O13"/>
    <mergeCell ref="L14:L15"/>
    <mergeCell ref="M14:M15"/>
    <mergeCell ref="N14:N15"/>
    <mergeCell ref="O14:O15"/>
    <mergeCell ref="Q14:Q15"/>
    <mergeCell ref="R14:R15"/>
    <mergeCell ref="S14:S15"/>
    <mergeCell ref="U14:U15"/>
    <mergeCell ref="V14:V15"/>
    <mergeCell ref="W14:W15"/>
    <mergeCell ref="X14:X15"/>
    <mergeCell ref="Y14:Y15"/>
    <mergeCell ref="K1:S1"/>
    <mergeCell ref="L3:O3"/>
    <mergeCell ref="L4:L5"/>
    <mergeCell ref="M4:M5"/>
    <mergeCell ref="N4:N5"/>
    <mergeCell ref="O4:O5"/>
    <mergeCell ref="Q4:Q5"/>
    <mergeCell ref="P4:P5"/>
    <mergeCell ref="L31:O31"/>
    <mergeCell ref="L32:L33"/>
    <mergeCell ref="M32:M33"/>
    <mergeCell ref="N32:N33"/>
    <mergeCell ref="O32:O33"/>
    <mergeCell ref="Y32:Y33"/>
    <mergeCell ref="Z32:Z33"/>
    <mergeCell ref="L40:O40"/>
    <mergeCell ref="L41:L42"/>
    <mergeCell ref="M41:M42"/>
    <mergeCell ref="N41:N42"/>
    <mergeCell ref="O41:O42"/>
    <mergeCell ref="Q41:Q42"/>
    <mergeCell ref="U41:U42"/>
    <mergeCell ref="V41:V42"/>
    <mergeCell ref="Q32:Q33"/>
    <mergeCell ref="U32:U33"/>
    <mergeCell ref="V32:V33"/>
    <mergeCell ref="W32:W33"/>
    <mergeCell ref="X32:X33"/>
    <mergeCell ref="L49:O49"/>
    <mergeCell ref="L50:L51"/>
    <mergeCell ref="M50:M51"/>
    <mergeCell ref="N50:N51"/>
    <mergeCell ref="O50:O51"/>
    <mergeCell ref="Y50:Y51"/>
    <mergeCell ref="Z50:Z51"/>
    <mergeCell ref="Q50:Q51"/>
    <mergeCell ref="U50:U51"/>
    <mergeCell ref="V50:V51"/>
    <mergeCell ref="W50:W51"/>
    <mergeCell ref="X50:X51"/>
    <mergeCell ref="R50:R51"/>
    <mergeCell ref="S50:S51"/>
    <mergeCell ref="P14:P15"/>
    <mergeCell ref="P23:P24"/>
    <mergeCell ref="P32:P33"/>
    <mergeCell ref="P41:P42"/>
    <mergeCell ref="P50:P51"/>
  </mergeCells>
  <conditionalFormatting sqref="I12">
    <cfRule type="containsBlanks" dxfId="117" priority="1">
      <formula>LEN(TRIM(I12))=0</formula>
    </cfRule>
  </conditionalFormatting>
  <printOptions horizontalCentered="1"/>
  <pageMargins left="0.45" right="0.45" top="1.25" bottom="0.75" header="0.5" footer="0.3"/>
  <pageSetup scale="88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0" max="25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B82A9-44C1-470A-AD44-61ADDE58A97F}">
  <sheetPr codeName="Sheet31">
    <tabColor rgb="FF0066FF"/>
    <pageSetUpPr fitToPage="1"/>
  </sheetPr>
  <dimension ref="A1:AG70"/>
  <sheetViews>
    <sheetView zoomScale="90" zoomScaleNormal="90" zoomScaleSheetLayoutView="70" workbookViewId="0">
      <selection activeCell="B6" sqref="B6"/>
    </sheetView>
  </sheetViews>
  <sheetFormatPr defaultColWidth="9.28515625" defaultRowHeight="15"/>
  <cols>
    <col min="1" max="2" width="9.28515625" style="251" customWidth="1"/>
    <col min="3" max="3" width="6.140625" style="251" customWidth="1"/>
    <col min="4" max="4" width="9.28515625" style="251" customWidth="1"/>
    <col min="5" max="5" width="11.42578125" style="251" customWidth="1"/>
    <col min="6" max="6" width="12.7109375" style="251" customWidth="1"/>
    <col min="7" max="7" width="20.28515625" style="251" customWidth="1"/>
    <col min="8" max="8" width="22.42578125" style="57" customWidth="1"/>
    <col min="9" max="10" width="9.7109375" style="57" bestFit="1" customWidth="1"/>
    <col min="11" max="11" width="3.42578125" style="57" customWidth="1"/>
    <col min="12" max="12" width="9.7109375" style="57" bestFit="1" customWidth="1"/>
    <col min="13" max="18" width="10.28515625" style="57" customWidth="1"/>
    <col min="19" max="20" width="9.140625" style="57" customWidth="1"/>
    <col min="21" max="21" width="7.5703125" style="57" customWidth="1"/>
    <col min="22" max="22" width="7" style="57" bestFit="1" customWidth="1"/>
    <col min="23" max="23" width="9.85546875" style="57" bestFit="1" customWidth="1"/>
    <col min="24" max="24" width="5.42578125" style="57" bestFit="1" customWidth="1"/>
    <col min="25" max="25" width="10.140625" style="57" bestFit="1" customWidth="1"/>
    <col min="26" max="26" width="8.7109375" style="57" bestFit="1" customWidth="1"/>
    <col min="27" max="28" width="7.5703125" style="57" customWidth="1"/>
    <col min="29" max="31" width="9.28515625" style="251"/>
    <col min="32" max="32" width="9.28515625" style="255"/>
    <col min="33" max="16384" width="9.28515625" style="251"/>
  </cols>
  <sheetData>
    <row r="1" spans="1:33">
      <c r="H1" s="57" t="s">
        <v>854</v>
      </c>
      <c r="I1" s="4" t="s">
        <v>806</v>
      </c>
      <c r="J1" s="56" t="s">
        <v>538</v>
      </c>
      <c r="L1" s="818" t="s">
        <v>895</v>
      </c>
      <c r="M1" s="818"/>
      <c r="N1" s="818"/>
      <c r="O1" s="818"/>
      <c r="P1" s="818"/>
      <c r="Q1" s="818"/>
      <c r="R1" s="818"/>
      <c r="S1" s="818"/>
      <c r="T1" s="818"/>
      <c r="U1" s="253"/>
      <c r="V1" s="254"/>
    </row>
    <row r="2" spans="1:33">
      <c r="M2" s="256" t="s">
        <v>856</v>
      </c>
    </row>
    <row r="3" spans="1:33" ht="15" customHeight="1">
      <c r="J3" s="100"/>
      <c r="M3" s="813" t="s">
        <v>857</v>
      </c>
      <c r="N3" s="814"/>
      <c r="O3" s="814"/>
      <c r="P3" s="815"/>
      <c r="Q3" s="296"/>
      <c r="U3" s="251"/>
      <c r="AA3" s="251"/>
      <c r="AB3" s="251"/>
      <c r="AD3" s="255"/>
      <c r="AF3" s="251"/>
    </row>
    <row r="4" spans="1:33" ht="21.75" customHeight="1">
      <c r="A4" s="251" t="s">
        <v>598</v>
      </c>
      <c r="B4" s="251" t="s">
        <v>599</v>
      </c>
      <c r="C4" s="251" t="s">
        <v>587</v>
      </c>
      <c r="D4" s="279" t="s">
        <v>880</v>
      </c>
      <c r="E4" s="251" t="s">
        <v>600</v>
      </c>
      <c r="F4" s="251" t="s">
        <v>601</v>
      </c>
      <c r="G4" s="251" t="s">
        <v>858</v>
      </c>
      <c r="I4" s="257" t="s">
        <v>828</v>
      </c>
      <c r="J4" s="257" t="s">
        <v>551</v>
      </c>
      <c r="M4" s="810" t="s">
        <v>859</v>
      </c>
      <c r="N4" s="816" t="s">
        <v>860</v>
      </c>
      <c r="O4" s="808" t="s">
        <v>861</v>
      </c>
      <c r="P4" s="808" t="s">
        <v>610</v>
      </c>
      <c r="Q4" s="808" t="s">
        <v>862</v>
      </c>
      <c r="R4" s="810" t="s">
        <v>863</v>
      </c>
      <c r="V4" s="811" t="s">
        <v>864</v>
      </c>
      <c r="W4" s="811" t="s">
        <v>865</v>
      </c>
      <c r="AB4" s="251"/>
      <c r="AE4" s="255"/>
      <c r="AF4" s="251"/>
    </row>
    <row r="5" spans="1:33">
      <c r="A5" s="100">
        <v>41030</v>
      </c>
      <c r="B5" s="100">
        <v>46082</v>
      </c>
      <c r="C5" s="251" t="str">
        <f>J1</f>
        <v>GPLVS</v>
      </c>
      <c r="D5" s="57" t="s">
        <v>522</v>
      </c>
      <c r="E5" s="100" t="str">
        <f>IF(C5="","",A5&amp;$C5)</f>
        <v>41030GPLVS</v>
      </c>
      <c r="F5" s="100" t="str">
        <f>IF(D5="","",B5&amp;$D5)</f>
        <v>46082GILVS</v>
      </c>
      <c r="G5" s="251" t="str">
        <f>IFERROR(IF(VLOOKUP(H5,Lookup!$A$1:$B$200,2,0)="","",VLOOKUP(H5,Lookup!$A$1:$B$200,2,0)),"")</f>
        <v>BASIC_SERVICE_CHARGE</v>
      </c>
      <c r="H5" s="258" t="s">
        <v>607</v>
      </c>
      <c r="I5" s="259">
        <f>VLOOKUP(E5,'UNSG - ALL RATES'!$A$1:$DF$43,MATCH($G5,'UNSG - ALL RATES'!$A$2:$DF$2,0),0)</f>
        <v>225</v>
      </c>
      <c r="J5" s="259">
        <f>VLOOKUP(F5,'UNSG - ALL RATES'!$A$1:$DF$43,MATCH($G5,'UNSG - ALL RATES'!$A$2:$DF$2,0),0)</f>
        <v>285.73</v>
      </c>
      <c r="K5" s="259"/>
      <c r="M5" s="810"/>
      <c r="N5" s="817"/>
      <c r="O5" s="809"/>
      <c r="P5" s="809"/>
      <c r="Q5" s="809"/>
      <c r="R5" s="810"/>
      <c r="U5" s="251"/>
      <c r="V5" s="812"/>
      <c r="W5" s="812"/>
      <c r="AA5" s="251"/>
      <c r="AB5" s="251"/>
      <c r="AD5" s="255"/>
      <c r="AF5" s="251"/>
    </row>
    <row r="6" spans="1:33">
      <c r="A6" s="100">
        <v>41030</v>
      </c>
      <c r="B6" s="100">
        <f>$B$5</f>
        <v>46082</v>
      </c>
      <c r="C6" s="251" t="str">
        <f>C5</f>
        <v>GPLVS</v>
      </c>
      <c r="D6" s="57" t="s">
        <v>522</v>
      </c>
      <c r="E6" s="100" t="str">
        <f t="shared" ref="E6:E11" si="0">IF(C6="","",A6&amp;$C6)</f>
        <v>41030GPLVS</v>
      </c>
      <c r="F6" s="100" t="str">
        <f t="shared" ref="F6:F11" si="1">IF(D6="","",B6&amp;$D6)</f>
        <v>46082GILVS</v>
      </c>
      <c r="H6" s="258"/>
      <c r="I6" s="259"/>
      <c r="J6" s="259"/>
      <c r="K6" s="259"/>
      <c r="L6" s="56" t="s">
        <v>482</v>
      </c>
      <c r="M6" s="260">
        <f>AVERAGE(M25,M43)</f>
        <v>13049.5</v>
      </c>
      <c r="N6" s="261">
        <f>VLOOKUP(N4,$H$5:$J$5,2,0)</f>
        <v>225</v>
      </c>
      <c r="O6" s="261">
        <f>$I$8*M6</f>
        <v>1992.6586500000001</v>
      </c>
      <c r="P6" s="261">
        <f>$I$10*M6</f>
        <v>5748.3047500000002</v>
      </c>
      <c r="Q6" s="261">
        <f>M6*$I$9</f>
        <v>-210.09694999999999</v>
      </c>
      <c r="R6" s="261">
        <f>SUM(N6:Q6)</f>
        <v>7755.8664500000004</v>
      </c>
      <c r="U6" s="262"/>
      <c r="V6" s="261">
        <v>0</v>
      </c>
      <c r="W6" s="263">
        <f>ROUND(SUM(R6,V6:V6),2)</f>
        <v>7755.87</v>
      </c>
      <c r="Z6" s="262"/>
      <c r="AA6" s="251"/>
      <c r="AB6" s="251"/>
      <c r="AD6" s="255"/>
      <c r="AF6" s="251"/>
    </row>
    <row r="7" spans="1:33">
      <c r="A7" s="100">
        <v>41030</v>
      </c>
      <c r="B7" s="100">
        <f t="shared" ref="B7:B18" si="2">$B$5</f>
        <v>46082</v>
      </c>
      <c r="C7" s="251" t="str">
        <f t="shared" ref="C7:C18" si="3">C6</f>
        <v>GPLVS</v>
      </c>
      <c r="D7" s="57" t="s">
        <v>522</v>
      </c>
      <c r="E7" s="100" t="str">
        <f t="shared" si="0"/>
        <v>41030GPLVS</v>
      </c>
      <c r="F7" s="100" t="str">
        <f t="shared" si="1"/>
        <v>46082GILVS</v>
      </c>
      <c r="H7" s="258" t="s">
        <v>512</v>
      </c>
      <c r="I7" s="259"/>
      <c r="J7" s="259"/>
      <c r="K7" s="264"/>
      <c r="L7" s="56" t="s">
        <v>866</v>
      </c>
      <c r="M7" s="260">
        <f t="shared" ref="M7:M10" si="4">AVERAGE(M26,M44)</f>
        <v>26934.5</v>
      </c>
      <c r="N7" s="261">
        <f>N6</f>
        <v>225</v>
      </c>
      <c r="O7" s="261">
        <f t="shared" ref="O7:O10" si="5">$I$8*M7</f>
        <v>4112.89815</v>
      </c>
      <c r="P7" s="261">
        <f t="shared" ref="P7:P10" si="6">$I$10*M7</f>
        <v>11864.64725</v>
      </c>
      <c r="Q7" s="261">
        <f t="shared" ref="Q7:Q10" si="7">M7*$I$9</f>
        <v>-433.64544999999998</v>
      </c>
      <c r="R7" s="261">
        <f t="shared" ref="R7:R10" si="8">SUM(N7:Q7)</f>
        <v>15768.899949999999</v>
      </c>
      <c r="U7" s="262"/>
      <c r="V7" s="261">
        <v>0</v>
      </c>
      <c r="W7" s="263">
        <f>ROUND(SUM(R7,V7:V7),2)</f>
        <v>15768.9</v>
      </c>
      <c r="Z7" s="262"/>
      <c r="AA7" s="251"/>
      <c r="AB7" s="251"/>
      <c r="AD7" s="255"/>
      <c r="AF7" s="251"/>
    </row>
    <row r="8" spans="1:33">
      <c r="A8" s="100">
        <v>41030</v>
      </c>
      <c r="B8" s="100">
        <f t="shared" si="2"/>
        <v>46082</v>
      </c>
      <c r="C8" s="251" t="str">
        <f t="shared" si="3"/>
        <v>GPLVS</v>
      </c>
      <c r="D8" s="57" t="s">
        <v>522</v>
      </c>
      <c r="E8" s="100" t="str">
        <f t="shared" si="0"/>
        <v>41030GPLVS</v>
      </c>
      <c r="F8" s="100" t="str">
        <f t="shared" si="1"/>
        <v>46082GILVS</v>
      </c>
      <c r="G8" s="251" t="str">
        <f>IFERROR(IF(VLOOKUP(H8,Lookup!$A$1:$B$200,2,0)="","",VLOOKUP(H8,Lookup!$A$1:$B$200,2,0)),"")</f>
        <v>THERM_DELIVERY_TIER1</v>
      </c>
      <c r="H8" s="57" t="s">
        <v>609</v>
      </c>
      <c r="I8" s="265">
        <f>VLOOKUP(E8,'UNSG - ALL RATES'!$A$1:$DF$43,MATCH($G8,'UNSG - ALL RATES'!$A$2:$DF$2,0),0)</f>
        <v>0.1527</v>
      </c>
      <c r="J8" s="265">
        <f>VLOOKUP(F8,'UNSG - ALL RATES'!$A$1:$DF$43,MATCH($G8,'UNSG - ALL RATES'!$A$2:$DF$2,0),0)</f>
        <v>0.16200000000000001</v>
      </c>
      <c r="K8" s="264"/>
      <c r="L8" s="56" t="s">
        <v>520</v>
      </c>
      <c r="M8" s="260">
        <f t="shared" si="4"/>
        <v>29352</v>
      </c>
      <c r="N8" s="261">
        <f t="shared" ref="N8:N10" si="9">N7</f>
        <v>225</v>
      </c>
      <c r="O8" s="261">
        <f t="shared" si="5"/>
        <v>4482.0504000000001</v>
      </c>
      <c r="P8" s="261">
        <f t="shared" si="6"/>
        <v>12929.556</v>
      </c>
      <c r="Q8" s="261">
        <f t="shared" si="7"/>
        <v>-472.56720000000001</v>
      </c>
      <c r="R8" s="261">
        <f t="shared" si="8"/>
        <v>17164.039199999999</v>
      </c>
      <c r="U8" s="262"/>
      <c r="V8" s="261">
        <v>0</v>
      </c>
      <c r="W8" s="263">
        <f>ROUND(SUM(R8,V8:V8),2)</f>
        <v>17164.04</v>
      </c>
      <c r="Z8" s="262"/>
      <c r="AA8" s="251"/>
      <c r="AB8" s="251"/>
      <c r="AD8" s="255"/>
      <c r="AF8" s="251"/>
    </row>
    <row r="9" spans="1:33">
      <c r="A9" s="100">
        <v>41030</v>
      </c>
      <c r="B9" s="100">
        <f t="shared" si="2"/>
        <v>46082</v>
      </c>
      <c r="C9" s="251" t="str">
        <f t="shared" si="3"/>
        <v>GPLVS</v>
      </c>
      <c r="D9" s="57" t="s">
        <v>522</v>
      </c>
      <c r="E9" s="100" t="str">
        <f t="shared" si="0"/>
        <v>41030GPLVS</v>
      </c>
      <c r="F9" s="100" t="str">
        <f t="shared" si="1"/>
        <v>46082GILVS</v>
      </c>
      <c r="H9" s="57" t="s">
        <v>867</v>
      </c>
      <c r="I9" s="264">
        <v>-1.61E-2</v>
      </c>
      <c r="J9" s="674">
        <v>0</v>
      </c>
      <c r="K9" s="264"/>
      <c r="L9" s="56" t="s">
        <v>868</v>
      </c>
      <c r="M9" s="260">
        <f t="shared" si="4"/>
        <v>29352</v>
      </c>
      <c r="N9" s="261">
        <f t="shared" si="9"/>
        <v>225</v>
      </c>
      <c r="O9" s="261">
        <f t="shared" si="5"/>
        <v>4482.0504000000001</v>
      </c>
      <c r="P9" s="261">
        <f t="shared" si="6"/>
        <v>12929.556</v>
      </c>
      <c r="Q9" s="261">
        <f t="shared" si="7"/>
        <v>-472.56720000000001</v>
      </c>
      <c r="R9" s="261">
        <f t="shared" si="8"/>
        <v>17164.039199999999</v>
      </c>
      <c r="U9" s="262"/>
      <c r="V9" s="261">
        <v>0</v>
      </c>
      <c r="W9" s="263">
        <f>ROUND(SUM(R9,V9:V9),2)</f>
        <v>17164.04</v>
      </c>
      <c r="Z9" s="262"/>
      <c r="AA9" s="251"/>
      <c r="AB9" s="251"/>
      <c r="AD9" s="255"/>
      <c r="AF9" s="251"/>
    </row>
    <row r="10" spans="1:33">
      <c r="A10" s="100">
        <v>41030</v>
      </c>
      <c r="B10" s="100">
        <f t="shared" si="2"/>
        <v>46082</v>
      </c>
      <c r="C10" s="251" t="str">
        <f t="shared" si="3"/>
        <v>GPLVS</v>
      </c>
      <c r="D10" s="57" t="s">
        <v>522</v>
      </c>
      <c r="E10" s="100" t="str">
        <f t="shared" si="0"/>
        <v>41030GPLVS</v>
      </c>
      <c r="F10" s="100" t="str">
        <f t="shared" si="1"/>
        <v>46082GILVS</v>
      </c>
      <c r="H10" s="266" t="s">
        <v>610</v>
      </c>
      <c r="I10" s="264">
        <f>'PGA Calculation'!$B$3</f>
        <v>0.4405</v>
      </c>
      <c r="J10" s="264">
        <f>'PGA Calculation'!$B$13</f>
        <v>0.44669999999999999</v>
      </c>
      <c r="K10" s="264"/>
      <c r="L10" s="267" t="s">
        <v>869</v>
      </c>
      <c r="M10" s="260">
        <f t="shared" si="4"/>
        <v>16524.446428571428</v>
      </c>
      <c r="N10" s="261">
        <f t="shared" si="9"/>
        <v>225</v>
      </c>
      <c r="O10" s="261">
        <f t="shared" si="5"/>
        <v>2523.2829696428571</v>
      </c>
      <c r="P10" s="261">
        <f t="shared" si="6"/>
        <v>7279.0186517857137</v>
      </c>
      <c r="Q10" s="261">
        <f t="shared" si="7"/>
        <v>-266.0435875</v>
      </c>
      <c r="R10" s="261">
        <f t="shared" si="8"/>
        <v>9761.2580339285705</v>
      </c>
      <c r="U10" s="262"/>
      <c r="V10" s="261">
        <v>0</v>
      </c>
      <c r="W10" s="263">
        <f>ROUND(SUM(R10,V10:V10),2)</f>
        <v>9761.26</v>
      </c>
      <c r="Z10" s="262"/>
      <c r="AA10" s="251"/>
      <c r="AB10" s="251"/>
      <c r="AD10" s="255"/>
      <c r="AF10" s="251"/>
    </row>
    <row r="11" spans="1:33">
      <c r="A11" s="100">
        <v>41030</v>
      </c>
      <c r="B11" s="100">
        <f t="shared" si="2"/>
        <v>46082</v>
      </c>
      <c r="C11" s="251" t="str">
        <f t="shared" si="3"/>
        <v>GPLVS</v>
      </c>
      <c r="D11" s="57" t="s">
        <v>522</v>
      </c>
      <c r="E11" s="100" t="str">
        <f t="shared" si="0"/>
        <v>41030GPLVS</v>
      </c>
      <c r="F11" s="100" t="str">
        <f t="shared" si="1"/>
        <v>46082GILVS</v>
      </c>
      <c r="H11" s="258"/>
      <c r="I11" s="264"/>
      <c r="J11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W11" s="268"/>
      <c r="X11" s="268"/>
      <c r="Y11" s="268"/>
      <c r="Z11" s="269"/>
      <c r="AB11" s="262"/>
    </row>
    <row r="12" spans="1:33">
      <c r="A12" s="100"/>
      <c r="B12" s="100"/>
      <c r="E12" s="100"/>
      <c r="F12" s="100"/>
      <c r="H12" s="258" t="s">
        <v>870</v>
      </c>
      <c r="I12" s="264">
        <v>0</v>
      </c>
      <c r="J12" s="669">
        <f>'UNSG Riders- Current'!$C$3</f>
        <v>0</v>
      </c>
      <c r="K12" s="264"/>
      <c r="R12" s="270"/>
    </row>
    <row r="13" spans="1:33" ht="15" customHeight="1">
      <c r="A13" s="100">
        <v>41030</v>
      </c>
      <c r="B13" s="100">
        <f t="shared" si="2"/>
        <v>46082</v>
      </c>
      <c r="C13" s="251" t="str">
        <f>C11</f>
        <v>GPLVS</v>
      </c>
      <c r="D13" s="57" t="s">
        <v>522</v>
      </c>
      <c r="E13" s="100" t="str">
        <f>IF(C13="","",A13&amp;$C13)</f>
        <v>41030GPLVS</v>
      </c>
      <c r="F13" s="100" t="str">
        <f>IF(D13="","",B13&amp;$D13)</f>
        <v>46082GILVS</v>
      </c>
      <c r="H13" s="266" t="s">
        <v>871</v>
      </c>
      <c r="I13" s="264">
        <v>0</v>
      </c>
      <c r="J13" s="675">
        <f>'UNSG Riders- Current'!$C$5</f>
        <v>0</v>
      </c>
      <c r="M13" s="813" t="s">
        <v>872</v>
      </c>
      <c r="N13" s="814"/>
      <c r="O13" s="814"/>
      <c r="P13" s="815"/>
      <c r="Q13" s="296"/>
      <c r="U13" s="251"/>
      <c r="W13" s="271"/>
      <c r="AA13" s="251"/>
      <c r="AB13" s="251"/>
      <c r="AD13" s="255"/>
      <c r="AF13" s="251"/>
    </row>
    <row r="14" spans="1:33" ht="22.5" customHeight="1">
      <c r="A14" s="100">
        <v>41030</v>
      </c>
      <c r="B14" s="100">
        <f t="shared" si="2"/>
        <v>46082</v>
      </c>
      <c r="C14" s="251" t="str">
        <f t="shared" si="3"/>
        <v>GPLVS</v>
      </c>
      <c r="D14" s="57" t="s">
        <v>522</v>
      </c>
      <c r="E14" s="100" t="str">
        <f t="shared" ref="E14:E18" si="10">IF(C14="","",A14&amp;$C14)</f>
        <v>41030GPLVS</v>
      </c>
      <c r="F14" s="100" t="str">
        <f t="shared" ref="F14:F18" si="11">IF(D14="","",B14&amp;$D14)</f>
        <v>46082GILVS</v>
      </c>
      <c r="J14"/>
      <c r="M14" s="810" t="s">
        <v>859</v>
      </c>
      <c r="N14" s="816" t="s">
        <v>860</v>
      </c>
      <c r="O14" s="808" t="s">
        <v>861</v>
      </c>
      <c r="P14" s="808" t="s">
        <v>610</v>
      </c>
      <c r="Q14" s="808" t="s">
        <v>873</v>
      </c>
      <c r="R14" s="810" t="s">
        <v>863</v>
      </c>
      <c r="S14" s="808" t="s">
        <v>874</v>
      </c>
      <c r="T14" s="808" t="s">
        <v>875</v>
      </c>
      <c r="V14" s="811" t="s">
        <v>864</v>
      </c>
      <c r="W14" s="811" t="s">
        <v>870</v>
      </c>
      <c r="X14" s="811" t="s">
        <v>871</v>
      </c>
      <c r="Y14" s="811" t="s">
        <v>865</v>
      </c>
      <c r="Z14" s="808" t="s">
        <v>874</v>
      </c>
      <c r="AA14" s="808" t="s">
        <v>875</v>
      </c>
      <c r="AC14" s="57"/>
      <c r="AF14" s="251"/>
      <c r="AG14" s="255"/>
    </row>
    <row r="15" spans="1:33" ht="16.5" customHeight="1">
      <c r="A15" s="100">
        <v>41030</v>
      </c>
      <c r="B15" s="100">
        <f t="shared" si="2"/>
        <v>46082</v>
      </c>
      <c r="C15" s="251" t="str">
        <f t="shared" si="3"/>
        <v>GPLVS</v>
      </c>
      <c r="D15" s="57" t="s">
        <v>522</v>
      </c>
      <c r="E15" s="100" t="str">
        <f t="shared" si="10"/>
        <v>41030GPLVS</v>
      </c>
      <c r="F15" s="100" t="str">
        <f t="shared" si="11"/>
        <v>46082GILVS</v>
      </c>
      <c r="I15" s="264"/>
      <c r="J15"/>
      <c r="M15" s="810"/>
      <c r="N15" s="817"/>
      <c r="O15" s="809"/>
      <c r="P15" s="809"/>
      <c r="Q15" s="809"/>
      <c r="R15" s="810"/>
      <c r="S15" s="809"/>
      <c r="T15" s="809"/>
      <c r="V15" s="812"/>
      <c r="W15" s="812"/>
      <c r="X15" s="812"/>
      <c r="Y15" s="812"/>
      <c r="Z15" s="809"/>
      <c r="AA15" s="809"/>
      <c r="AC15" s="57"/>
      <c r="AF15" s="251"/>
      <c r="AG15" s="255"/>
    </row>
    <row r="16" spans="1:33">
      <c r="A16" s="100">
        <v>41030</v>
      </c>
      <c r="B16" s="100">
        <f t="shared" si="2"/>
        <v>46082</v>
      </c>
      <c r="C16" s="251" t="str">
        <f t="shared" si="3"/>
        <v>GPLVS</v>
      </c>
      <c r="D16" s="57" t="s">
        <v>522</v>
      </c>
      <c r="E16" s="100" t="str">
        <f t="shared" si="10"/>
        <v>41030GPLVS</v>
      </c>
      <c r="F16" s="100" t="str">
        <f t="shared" si="11"/>
        <v>46082GILVS</v>
      </c>
      <c r="H16" s="130"/>
      <c r="I16" s="264"/>
      <c r="J16" s="264"/>
      <c r="K16" s="264"/>
      <c r="L16" s="56" t="s">
        <v>482</v>
      </c>
      <c r="M16" s="260">
        <f>M6</f>
        <v>13049.5</v>
      </c>
      <c r="N16" s="261">
        <f>VLOOKUP(N14,$H$5:$J$5,3,0)</f>
        <v>285.73</v>
      </c>
      <c r="O16" s="261">
        <f>$J$8*M16</f>
        <v>2114.0190000000002</v>
      </c>
      <c r="P16" s="261">
        <f>$J$10*M16</f>
        <v>5829.2116500000002</v>
      </c>
      <c r="Q16" s="261">
        <f>M16*$J$9</f>
        <v>0</v>
      </c>
      <c r="R16" s="261">
        <f>SUM(N16:Q16)</f>
        <v>8228.9606500000009</v>
      </c>
      <c r="S16" s="261">
        <f>R16-R6</f>
        <v>473.09420000000046</v>
      </c>
      <c r="T16" s="272">
        <f>S16/R6</f>
        <v>6.0998239597073053E-2</v>
      </c>
      <c r="U16" s="273"/>
      <c r="V16" s="261">
        <v>0</v>
      </c>
      <c r="W16" s="261">
        <f>M16*$J$12</f>
        <v>0</v>
      </c>
      <c r="X16" s="261">
        <f>R16*$J$13</f>
        <v>0</v>
      </c>
      <c r="Y16" s="263">
        <f>ROUND(SUM(R16,V16:X16),2)</f>
        <v>8228.9599999999991</v>
      </c>
      <c r="Z16" s="261">
        <f>Y16-W6</f>
        <v>473.08999999999924</v>
      </c>
      <c r="AA16" s="272">
        <f>Z16/W6</f>
        <v>6.0997670151768824E-2</v>
      </c>
      <c r="AC16" s="57"/>
      <c r="AF16" s="251"/>
      <c r="AG16" s="255"/>
    </row>
    <row r="17" spans="1:33">
      <c r="A17" s="100">
        <v>41030</v>
      </c>
      <c r="B17" s="100">
        <f t="shared" si="2"/>
        <v>46082</v>
      </c>
      <c r="C17" s="251" t="str">
        <f t="shared" si="3"/>
        <v>GPLVS</v>
      </c>
      <c r="D17" s="57" t="s">
        <v>522</v>
      </c>
      <c r="E17" s="100" t="str">
        <f t="shared" si="10"/>
        <v>41030GPLVS</v>
      </c>
      <c r="F17" s="100" t="str">
        <f t="shared" si="11"/>
        <v>46082GILVS</v>
      </c>
      <c r="I17" s="274"/>
      <c r="J17" s="274"/>
      <c r="K17" s="264"/>
      <c r="L17" s="56" t="s">
        <v>866</v>
      </c>
      <c r="M17" s="260">
        <f t="shared" ref="M17:M20" si="12">M7</f>
        <v>26934.5</v>
      </c>
      <c r="N17" s="261">
        <f>N16</f>
        <v>285.73</v>
      </c>
      <c r="O17" s="261">
        <f t="shared" ref="O17:O20" si="13">$J$8*M17</f>
        <v>4363.3890000000001</v>
      </c>
      <c r="P17" s="261">
        <f t="shared" ref="P17:P20" si="14">$J$10*M17</f>
        <v>12031.641149999999</v>
      </c>
      <c r="Q17" s="261">
        <f t="shared" ref="Q17:Q20" si="15">M17*$J$9</f>
        <v>0</v>
      </c>
      <c r="R17" s="261">
        <f t="shared" ref="R17:R20" si="16">SUM(N17:Q17)</f>
        <v>16680.760150000002</v>
      </c>
      <c r="S17" s="261">
        <f>R17-R7</f>
        <v>911.86020000000281</v>
      </c>
      <c r="T17" s="272">
        <f>S17/R7</f>
        <v>5.7826494104936142E-2</v>
      </c>
      <c r="U17" s="273"/>
      <c r="V17" s="261">
        <v>0</v>
      </c>
      <c r="W17" s="261">
        <f t="shared" ref="W17:W20" si="17">M17*$J$12</f>
        <v>0</v>
      </c>
      <c r="X17" s="261">
        <f t="shared" ref="X17:X20" si="18">R17*$J$13</f>
        <v>0</v>
      </c>
      <c r="Y17" s="263">
        <f>ROUND(SUM(R17,V17:X17),2)</f>
        <v>16680.759999999998</v>
      </c>
      <c r="Z17" s="261">
        <f>Y17-W7</f>
        <v>911.85999999999876</v>
      </c>
      <c r="AA17" s="272">
        <f>Z17/W7</f>
        <v>5.7826481238386872E-2</v>
      </c>
      <c r="AC17" s="57"/>
      <c r="AF17" s="251"/>
      <c r="AG17" s="255"/>
    </row>
    <row r="18" spans="1:33">
      <c r="A18" s="100">
        <v>41030</v>
      </c>
      <c r="B18" s="100">
        <f t="shared" si="2"/>
        <v>46082</v>
      </c>
      <c r="C18" s="251" t="str">
        <f t="shared" si="3"/>
        <v>GPLVS</v>
      </c>
      <c r="D18" s="57" t="s">
        <v>522</v>
      </c>
      <c r="E18" s="100" t="str">
        <f t="shared" si="10"/>
        <v>41030GPLVS</v>
      </c>
      <c r="F18" s="100" t="str">
        <f t="shared" si="11"/>
        <v>46082GILVS</v>
      </c>
      <c r="G18" s="251" t="str">
        <f>IFERROR(IF(VLOOKUP(H18,Lookup!$A$1:$B$200,2,0)="","",VLOOKUP(H18,Lookup!$A$1:$B$200,2,0)),"")</f>
        <v/>
      </c>
      <c r="H18"/>
      <c r="I18"/>
      <c r="J18"/>
      <c r="K18" s="264"/>
      <c r="L18" s="56" t="s">
        <v>520</v>
      </c>
      <c r="M18" s="260">
        <f t="shared" si="12"/>
        <v>29352</v>
      </c>
      <c r="N18" s="261">
        <f t="shared" ref="N18:N20" si="19">N17</f>
        <v>285.73</v>
      </c>
      <c r="O18" s="261">
        <f t="shared" si="13"/>
        <v>4755.0240000000003</v>
      </c>
      <c r="P18" s="261">
        <f t="shared" si="14"/>
        <v>13111.538399999999</v>
      </c>
      <c r="Q18" s="261">
        <f t="shared" si="15"/>
        <v>0</v>
      </c>
      <c r="R18" s="261">
        <f t="shared" si="16"/>
        <v>18152.292399999998</v>
      </c>
      <c r="S18" s="261">
        <f>R18-R8</f>
        <v>988.2531999999992</v>
      </c>
      <c r="T18" s="272">
        <f>S18/R8</f>
        <v>5.7576960089906995E-2</v>
      </c>
      <c r="U18" s="273"/>
      <c r="V18" s="261">
        <v>0</v>
      </c>
      <c r="W18" s="261">
        <f t="shared" si="17"/>
        <v>0</v>
      </c>
      <c r="X18" s="261">
        <f t="shared" si="18"/>
        <v>0</v>
      </c>
      <c r="Y18" s="263">
        <f t="shared" ref="Y18:Y20" si="20">ROUND(SUM(R18,V18:X18),2)</f>
        <v>18152.29</v>
      </c>
      <c r="Z18" s="261">
        <f>Y18-W8</f>
        <v>988.25</v>
      </c>
      <c r="AA18" s="272">
        <f>Z18/W8</f>
        <v>5.7576770970004729E-2</v>
      </c>
      <c r="AC18" s="57"/>
      <c r="AF18" s="251"/>
      <c r="AG18" s="255"/>
    </row>
    <row r="19" spans="1:33">
      <c r="L19" s="56" t="s">
        <v>868</v>
      </c>
      <c r="M19" s="260">
        <f t="shared" si="12"/>
        <v>29352</v>
      </c>
      <c r="N19" s="261">
        <f t="shared" si="19"/>
        <v>285.73</v>
      </c>
      <c r="O19" s="261">
        <f t="shared" si="13"/>
        <v>4755.0240000000003</v>
      </c>
      <c r="P19" s="261">
        <f t="shared" si="14"/>
        <v>13111.538399999999</v>
      </c>
      <c r="Q19" s="261">
        <f t="shared" si="15"/>
        <v>0</v>
      </c>
      <c r="R19" s="261">
        <f t="shared" si="16"/>
        <v>18152.292399999998</v>
      </c>
      <c r="S19" s="261">
        <f>R19-R9</f>
        <v>988.2531999999992</v>
      </c>
      <c r="T19" s="272">
        <f>S19/R9</f>
        <v>5.7576960089906995E-2</v>
      </c>
      <c r="U19" s="273"/>
      <c r="V19" s="261">
        <v>0</v>
      </c>
      <c r="W19" s="261">
        <f t="shared" si="17"/>
        <v>0</v>
      </c>
      <c r="X19" s="261">
        <f t="shared" si="18"/>
        <v>0</v>
      </c>
      <c r="Y19" s="263">
        <f t="shared" si="20"/>
        <v>18152.29</v>
      </c>
      <c r="Z19" s="261">
        <f>Y19-W9</f>
        <v>988.25</v>
      </c>
      <c r="AA19" s="272">
        <f>Z19/W9</f>
        <v>5.7576770970004729E-2</v>
      </c>
      <c r="AC19" s="57"/>
      <c r="AF19" s="251"/>
      <c r="AG19" s="255"/>
    </row>
    <row r="20" spans="1:33">
      <c r="I20" s="262"/>
      <c r="L20" s="267" t="s">
        <v>869</v>
      </c>
      <c r="M20" s="260">
        <f t="shared" si="12"/>
        <v>16524.446428571428</v>
      </c>
      <c r="N20" s="261">
        <f t="shared" si="19"/>
        <v>285.73</v>
      </c>
      <c r="O20" s="261">
        <f t="shared" si="13"/>
        <v>2676.9603214285712</v>
      </c>
      <c r="P20" s="261">
        <f t="shared" si="14"/>
        <v>7381.4702196428561</v>
      </c>
      <c r="Q20" s="261">
        <f t="shared" si="15"/>
        <v>0</v>
      </c>
      <c r="R20" s="261">
        <f t="shared" si="16"/>
        <v>10344.160541071427</v>
      </c>
      <c r="S20" s="261">
        <f>R20-R10</f>
        <v>582.90250714285685</v>
      </c>
      <c r="T20" s="272">
        <f>S20/R10</f>
        <v>5.9715920336987409E-2</v>
      </c>
      <c r="U20" s="273"/>
      <c r="V20" s="261">
        <v>0</v>
      </c>
      <c r="W20" s="261">
        <f t="shared" si="17"/>
        <v>0</v>
      </c>
      <c r="X20" s="261">
        <f t="shared" si="18"/>
        <v>0</v>
      </c>
      <c r="Y20" s="263">
        <f t="shared" si="20"/>
        <v>10344.16</v>
      </c>
      <c r="Z20" s="261">
        <f>Y20-W10</f>
        <v>582.89999999999964</v>
      </c>
      <c r="AA20" s="272">
        <f>Z20/W10</f>
        <v>5.9715651463028298E-2</v>
      </c>
      <c r="AC20" s="57"/>
      <c r="AF20" s="251"/>
      <c r="AG20" s="255"/>
    </row>
    <row r="21" spans="1:33">
      <c r="H21"/>
      <c r="I21" s="262"/>
      <c r="K21" s="275"/>
      <c r="AA21" s="268"/>
      <c r="AB21" s="276"/>
    </row>
    <row r="22" spans="1:33">
      <c r="H22"/>
      <c r="I22" s="262"/>
      <c r="L22" s="284" t="s">
        <v>876</v>
      </c>
      <c r="M22" s="813" t="s">
        <v>857</v>
      </c>
      <c r="N22" s="814"/>
      <c r="O22" s="814"/>
      <c r="P22" s="815"/>
      <c r="Q22" s="296"/>
      <c r="AA22" s="268"/>
    </row>
    <row r="23" spans="1:33">
      <c r="H23"/>
      <c r="K23" s="275"/>
      <c r="M23" s="810" t="s">
        <v>859</v>
      </c>
      <c r="N23" s="816" t="s">
        <v>860</v>
      </c>
      <c r="O23" s="808" t="s">
        <v>861</v>
      </c>
      <c r="P23" s="808" t="s">
        <v>610</v>
      </c>
      <c r="Q23" s="808" t="s">
        <v>862</v>
      </c>
      <c r="R23" s="810" t="s">
        <v>863</v>
      </c>
      <c r="V23" s="811" t="s">
        <v>864</v>
      </c>
      <c r="W23" s="811" t="s">
        <v>865</v>
      </c>
      <c r="AB23" s="251"/>
      <c r="AE23" s="255"/>
      <c r="AF23" s="251"/>
    </row>
    <row r="24" spans="1:33" ht="15" customHeight="1">
      <c r="K24" s="277"/>
      <c r="L24"/>
      <c r="M24" s="810"/>
      <c r="N24" s="817"/>
      <c r="O24" s="809"/>
      <c r="P24" s="809"/>
      <c r="Q24" s="809"/>
      <c r="R24" s="810"/>
      <c r="U24" s="251"/>
      <c r="V24" s="812"/>
      <c r="W24" s="812"/>
      <c r="X24"/>
      <c r="Y24"/>
      <c r="Z24"/>
      <c r="AB24" s="251"/>
      <c r="AE24" s="255"/>
      <c r="AF24" s="251"/>
    </row>
    <row r="25" spans="1:33">
      <c r="K25" s="275"/>
      <c r="L25" s="56" t="s">
        <v>482</v>
      </c>
      <c r="M25" s="282">
        <f>'[18]Percentiles_All_Bills Jan'!$I$11</f>
        <v>22431</v>
      </c>
      <c r="N25" s="261">
        <f>VLOOKUP($N$23,$H$5:$J$5,2,0)</f>
        <v>225</v>
      </c>
      <c r="O25" s="261">
        <f>$I$8*M25</f>
        <v>3425.2137000000002</v>
      </c>
      <c r="P25" s="261">
        <f>$I$10*M25</f>
        <v>9880.8554999999997</v>
      </c>
      <c r="Q25" s="261">
        <f>M25*$I$9</f>
        <v>-361.13909999999998</v>
      </c>
      <c r="R25" s="261">
        <f>SUM(N25:Q25)</f>
        <v>13169.9301</v>
      </c>
      <c r="S25"/>
      <c r="T25"/>
      <c r="U25"/>
      <c r="V25" s="261">
        <v>0</v>
      </c>
      <c r="W25" s="263">
        <f>ROUND(SUM(R25,V25:V25),2)</f>
        <v>13169.93</v>
      </c>
      <c r="X25"/>
      <c r="Y25"/>
      <c r="Z25"/>
      <c r="AA25" s="251"/>
      <c r="AB25" s="251"/>
      <c r="AC25" s="255"/>
      <c r="AF25" s="251"/>
    </row>
    <row r="26" spans="1:33">
      <c r="K26" s="275"/>
      <c r="L26" s="56" t="s">
        <v>866</v>
      </c>
      <c r="M26" s="282">
        <f>'[18]Percentiles_All_Bills Jan'!$J$11</f>
        <v>43228</v>
      </c>
      <c r="N26" s="261">
        <f t="shared" ref="N26:N29" si="21">VLOOKUP($N$23,$H$5:$J$5,2,0)</f>
        <v>225</v>
      </c>
      <c r="O26" s="261">
        <f t="shared" ref="O26:O29" si="22">$I$8*M26</f>
        <v>6600.9156000000003</v>
      </c>
      <c r="P26" s="261">
        <f t="shared" ref="P26:P29" si="23">$I$10*M26</f>
        <v>19041.934000000001</v>
      </c>
      <c r="Q26" s="261">
        <f t="shared" ref="Q26:Q29" si="24">M26*$I$9</f>
        <v>-695.97079999999994</v>
      </c>
      <c r="R26" s="261">
        <f t="shared" ref="R26:R29" si="25">SUM(N26:Q26)</f>
        <v>25171.878800000002</v>
      </c>
      <c r="S26"/>
      <c r="T26"/>
      <c r="U26"/>
      <c r="V26" s="261">
        <v>0</v>
      </c>
      <c r="W26" s="263">
        <f>ROUND(SUM(R26,V26:V26),2)</f>
        <v>25171.88</v>
      </c>
      <c r="X26"/>
      <c r="Y26"/>
      <c r="Z26"/>
      <c r="AA26" s="251"/>
      <c r="AB26" s="251"/>
      <c r="AC26" s="255"/>
      <c r="AF26" s="251"/>
    </row>
    <row r="27" spans="1:33">
      <c r="L27" s="56" t="s">
        <v>520</v>
      </c>
      <c r="M27" s="282">
        <f>'[18]Percentiles_All_Bills Jan'!$K$11</f>
        <v>47881</v>
      </c>
      <c r="N27" s="261">
        <f t="shared" si="21"/>
        <v>225</v>
      </c>
      <c r="O27" s="261">
        <f t="shared" si="22"/>
        <v>7311.4287000000004</v>
      </c>
      <c r="P27" s="261">
        <f t="shared" si="23"/>
        <v>21091.5805</v>
      </c>
      <c r="Q27" s="261">
        <f t="shared" si="24"/>
        <v>-770.88409999999999</v>
      </c>
      <c r="R27" s="261">
        <f t="shared" si="25"/>
        <v>27857.125100000001</v>
      </c>
      <c r="S27"/>
      <c r="T27"/>
      <c r="U27"/>
      <c r="V27" s="261">
        <v>0</v>
      </c>
      <c r="W27" s="263">
        <f>ROUND(SUM(R27,V27:V27),2)</f>
        <v>27857.13</v>
      </c>
      <c r="X27"/>
      <c r="Y27"/>
      <c r="Z27"/>
      <c r="AA27" s="251"/>
      <c r="AB27" s="251"/>
      <c r="AC27" s="255"/>
      <c r="AF27" s="251"/>
    </row>
    <row r="28" spans="1:33">
      <c r="L28" s="56" t="s">
        <v>868</v>
      </c>
      <c r="M28" s="282">
        <f>'[18]Percentiles_All_Bills Jan'!$L$11</f>
        <v>47881</v>
      </c>
      <c r="N28" s="261">
        <f t="shared" si="21"/>
        <v>225</v>
      </c>
      <c r="O28" s="261">
        <f t="shared" si="22"/>
        <v>7311.4287000000004</v>
      </c>
      <c r="P28" s="261">
        <f t="shared" si="23"/>
        <v>21091.5805</v>
      </c>
      <c r="Q28" s="261">
        <f t="shared" si="24"/>
        <v>-770.88409999999999</v>
      </c>
      <c r="R28" s="261">
        <f t="shared" si="25"/>
        <v>27857.125100000001</v>
      </c>
      <c r="S28"/>
      <c r="T28"/>
      <c r="U28"/>
      <c r="V28" s="261">
        <v>0</v>
      </c>
      <c r="W28" s="263">
        <f>ROUND(SUM(R28,V28:V28),2)</f>
        <v>27857.13</v>
      </c>
      <c r="X28"/>
      <c r="Y28"/>
      <c r="Z28"/>
      <c r="AA28" s="251"/>
      <c r="AB28" s="251"/>
      <c r="AC28" s="255"/>
      <c r="AF28" s="251"/>
    </row>
    <row r="29" spans="1:33">
      <c r="L29" s="267" t="s">
        <v>877</v>
      </c>
      <c r="M29" s="282">
        <f>'[18]Percentiles_All_Bills Jan'!$O$11</f>
        <v>24060.142857142859</v>
      </c>
      <c r="N29" s="261">
        <f t="shared" si="21"/>
        <v>225</v>
      </c>
      <c r="O29" s="261">
        <f t="shared" si="22"/>
        <v>3673.9838142857147</v>
      </c>
      <c r="P29" s="261">
        <f t="shared" si="23"/>
        <v>10598.49292857143</v>
      </c>
      <c r="Q29" s="261">
        <f t="shared" si="24"/>
        <v>-387.36830000000003</v>
      </c>
      <c r="R29" s="261">
        <f t="shared" si="25"/>
        <v>14110.108442857145</v>
      </c>
      <c r="S29"/>
      <c r="T29"/>
      <c r="U29"/>
      <c r="V29" s="261">
        <v>0</v>
      </c>
      <c r="W29" s="263">
        <f>ROUND(SUM(R29,V29:V29),2)</f>
        <v>14110.11</v>
      </c>
      <c r="X29"/>
      <c r="Y29"/>
      <c r="Z29"/>
      <c r="AA29" s="251"/>
      <c r="AB29" s="251"/>
      <c r="AC29" s="255"/>
      <c r="AF29" s="251"/>
    </row>
    <row r="30" spans="1:33">
      <c r="L30" s="240"/>
      <c r="M30"/>
      <c r="N30"/>
      <c r="O30"/>
      <c r="P30"/>
      <c r="Q30" s="264"/>
      <c r="R30"/>
      <c r="S30"/>
      <c r="T30"/>
      <c r="U30"/>
      <c r="V30"/>
      <c r="W30"/>
      <c r="X30"/>
      <c r="Y30"/>
      <c r="Z30"/>
      <c r="AA30"/>
      <c r="AB30" s="251"/>
      <c r="AD30" s="255"/>
      <c r="AF30" s="251"/>
    </row>
    <row r="31" spans="1:33">
      <c r="L31" s="284" t="s">
        <v>876</v>
      </c>
      <c r="M31" s="813" t="s">
        <v>872</v>
      </c>
      <c r="N31" s="814"/>
      <c r="O31" s="814"/>
      <c r="P31" s="815"/>
      <c r="Q31" s="296"/>
      <c r="S31"/>
      <c r="T31"/>
      <c r="U31"/>
      <c r="V31"/>
      <c r="W31"/>
      <c r="X31"/>
      <c r="Y31"/>
      <c r="Z31"/>
      <c r="AA31"/>
      <c r="AB31" s="251"/>
      <c r="AD31" s="255"/>
      <c r="AF31" s="251"/>
    </row>
    <row r="32" spans="1:33">
      <c r="M32" s="810" t="s">
        <v>859</v>
      </c>
      <c r="N32" s="816" t="s">
        <v>860</v>
      </c>
      <c r="O32" s="808" t="s">
        <v>861</v>
      </c>
      <c r="P32" s="808" t="s">
        <v>610</v>
      </c>
      <c r="Q32" s="808" t="s">
        <v>873</v>
      </c>
      <c r="R32" s="810" t="s">
        <v>863</v>
      </c>
      <c r="S32" s="808" t="s">
        <v>874</v>
      </c>
      <c r="T32" s="808" t="s">
        <v>875</v>
      </c>
      <c r="V32" s="811" t="s">
        <v>864</v>
      </c>
      <c r="W32" s="811" t="s">
        <v>870</v>
      </c>
      <c r="X32" s="811" t="s">
        <v>871</v>
      </c>
      <c r="Y32" s="811" t="s">
        <v>865</v>
      </c>
      <c r="Z32" s="808" t="s">
        <v>874</v>
      </c>
      <c r="AA32" s="808" t="s">
        <v>875</v>
      </c>
      <c r="AB32" s="251"/>
      <c r="AD32" s="255"/>
      <c r="AF32" s="251"/>
    </row>
    <row r="33" spans="12:32">
      <c r="L33"/>
      <c r="M33" s="810"/>
      <c r="N33" s="817"/>
      <c r="O33" s="809"/>
      <c r="P33" s="809"/>
      <c r="Q33" s="809"/>
      <c r="R33" s="810"/>
      <c r="S33" s="809"/>
      <c r="T33" s="809"/>
      <c r="V33" s="812"/>
      <c r="W33" s="812"/>
      <c r="X33" s="812"/>
      <c r="Y33" s="812"/>
      <c r="Z33" s="809"/>
      <c r="AA33" s="809"/>
      <c r="AB33" s="251"/>
      <c r="AD33" s="255"/>
      <c r="AF33" s="251"/>
    </row>
    <row r="34" spans="12:32">
      <c r="L34" s="56" t="s">
        <v>482</v>
      </c>
      <c r="M34" s="282">
        <f>M25</f>
        <v>22431</v>
      </c>
      <c r="N34" s="261">
        <f>VLOOKUP($N$32,$H$5:$J$5,3,0)</f>
        <v>285.73</v>
      </c>
      <c r="O34" s="261">
        <f>$J$8*M34</f>
        <v>3633.8220000000001</v>
      </c>
      <c r="P34" s="261">
        <f>$J$10*M34</f>
        <v>10019.9277</v>
      </c>
      <c r="Q34" s="261">
        <f>M34*$J$9</f>
        <v>0</v>
      </c>
      <c r="R34" s="261">
        <f>SUM(N34:Q34)</f>
        <v>13939.4797</v>
      </c>
      <c r="S34" s="261">
        <f>R34-R25</f>
        <v>769.54960000000028</v>
      </c>
      <c r="T34" s="272">
        <f>S34/R25</f>
        <v>5.8432322279371875E-2</v>
      </c>
      <c r="U34"/>
      <c r="V34" s="261">
        <v>0</v>
      </c>
      <c r="W34" s="261">
        <f>M34*$J$12</f>
        <v>0</v>
      </c>
      <c r="X34" s="261">
        <f>R34*$J$13</f>
        <v>0</v>
      </c>
      <c r="Y34" s="263">
        <f>ROUND(SUM(R34,V34:X34),2)</f>
        <v>13939.48</v>
      </c>
      <c r="Z34" s="261">
        <f>Y34-W25</f>
        <v>769.54999999999927</v>
      </c>
      <c r="AA34" s="272">
        <f>Z34/W25</f>
        <v>5.8432353095270763E-2</v>
      </c>
    </row>
    <row r="35" spans="12:32">
      <c r="L35" s="56" t="s">
        <v>866</v>
      </c>
      <c r="M35" s="282">
        <f t="shared" ref="M35:M38" si="26">M26</f>
        <v>43228</v>
      </c>
      <c r="N35" s="261">
        <f t="shared" ref="N35:N38" si="27">VLOOKUP($N$32,$H$5:$J$5,3,0)</f>
        <v>285.73</v>
      </c>
      <c r="O35" s="261">
        <f t="shared" ref="O35:O38" si="28">$J$8*M35</f>
        <v>7002.9360000000006</v>
      </c>
      <c r="P35" s="261">
        <f t="shared" ref="P35:P38" si="29">$J$10*M35</f>
        <v>19309.9476</v>
      </c>
      <c r="Q35" s="261">
        <f t="shared" ref="Q35:Q38" si="30">M35*$J$9</f>
        <v>0</v>
      </c>
      <c r="R35" s="261">
        <f t="shared" ref="R35:R38" si="31">SUM(N35:Q35)</f>
        <v>26598.613600000001</v>
      </c>
      <c r="S35" s="261">
        <f t="shared" ref="S35:S38" si="32">R35-R26</f>
        <v>1426.7347999999984</v>
      </c>
      <c r="T35" s="272">
        <f t="shared" ref="T35:T38" si="33">S35/R26</f>
        <v>5.6679710375849984E-2</v>
      </c>
      <c r="U35"/>
      <c r="V35" s="261">
        <v>0</v>
      </c>
      <c r="W35" s="261">
        <f t="shared" ref="W35:W38" si="34">M35*$J$12</f>
        <v>0</v>
      </c>
      <c r="X35" s="261">
        <f t="shared" ref="X35:X38" si="35">R35*$J$13</f>
        <v>0</v>
      </c>
      <c r="Y35" s="263">
        <f>ROUND(SUM(R35,V35:X35),2)</f>
        <v>26598.61</v>
      </c>
      <c r="Z35" s="261">
        <f>Y35-W26</f>
        <v>1426.7299999999996</v>
      </c>
      <c r="AA35" s="272">
        <f>Z35/W26</f>
        <v>5.6679516984825908E-2</v>
      </c>
    </row>
    <row r="36" spans="12:32" ht="15" customHeight="1">
      <c r="L36" s="56" t="s">
        <v>520</v>
      </c>
      <c r="M36" s="282">
        <f t="shared" si="26"/>
        <v>47881</v>
      </c>
      <c r="N36" s="261">
        <f t="shared" si="27"/>
        <v>285.73</v>
      </c>
      <c r="O36" s="261">
        <f t="shared" si="28"/>
        <v>7756.7220000000007</v>
      </c>
      <c r="P36" s="261">
        <f t="shared" si="29"/>
        <v>21388.4427</v>
      </c>
      <c r="Q36" s="261">
        <f t="shared" si="30"/>
        <v>0</v>
      </c>
      <c r="R36" s="261">
        <f t="shared" si="31"/>
        <v>29430.894700000001</v>
      </c>
      <c r="S36" s="261">
        <f t="shared" si="32"/>
        <v>1573.7695999999996</v>
      </c>
      <c r="T36" s="272">
        <f t="shared" si="33"/>
        <v>5.6494329344846841E-2</v>
      </c>
      <c r="U36"/>
      <c r="V36" s="261">
        <v>0</v>
      </c>
      <c r="W36" s="261">
        <f t="shared" si="34"/>
        <v>0</v>
      </c>
      <c r="X36" s="261">
        <f t="shared" si="35"/>
        <v>0</v>
      </c>
      <c r="Y36" s="263">
        <f t="shared" ref="Y36:Y38" si="36">ROUND(SUM(R36,V36:X36),2)</f>
        <v>29430.89</v>
      </c>
      <c r="Z36" s="261">
        <f>Y36-W27</f>
        <v>1573.7599999999984</v>
      </c>
      <c r="AA36" s="272">
        <f>Z36/W27</f>
        <v>5.6493974792090867E-2</v>
      </c>
    </row>
    <row r="37" spans="12:32">
      <c r="L37" s="56" t="s">
        <v>868</v>
      </c>
      <c r="M37" s="282">
        <f t="shared" si="26"/>
        <v>47881</v>
      </c>
      <c r="N37" s="261">
        <f t="shared" si="27"/>
        <v>285.73</v>
      </c>
      <c r="O37" s="261">
        <f t="shared" si="28"/>
        <v>7756.7220000000007</v>
      </c>
      <c r="P37" s="261">
        <f t="shared" si="29"/>
        <v>21388.4427</v>
      </c>
      <c r="Q37" s="261">
        <f t="shared" si="30"/>
        <v>0</v>
      </c>
      <c r="R37" s="261">
        <f t="shared" si="31"/>
        <v>29430.894700000001</v>
      </c>
      <c r="S37" s="261">
        <f t="shared" si="32"/>
        <v>1573.7695999999996</v>
      </c>
      <c r="T37" s="272">
        <f t="shared" si="33"/>
        <v>5.6494329344846841E-2</v>
      </c>
      <c r="U37"/>
      <c r="V37" s="261">
        <v>0</v>
      </c>
      <c r="W37" s="261">
        <f t="shared" si="34"/>
        <v>0</v>
      </c>
      <c r="X37" s="261">
        <f t="shared" si="35"/>
        <v>0</v>
      </c>
      <c r="Y37" s="263">
        <f t="shared" si="36"/>
        <v>29430.89</v>
      </c>
      <c r="Z37" s="261">
        <f>Y37-W28</f>
        <v>1573.7599999999984</v>
      </c>
      <c r="AA37" s="272">
        <f>Z37/W28</f>
        <v>5.6493974792090867E-2</v>
      </c>
      <c r="AB37" s="251"/>
      <c r="AD37" s="255"/>
      <c r="AF37" s="251"/>
    </row>
    <row r="38" spans="12:32" ht="15.75" customHeight="1">
      <c r="L38" s="267" t="s">
        <v>877</v>
      </c>
      <c r="M38" s="282">
        <f t="shared" si="26"/>
        <v>24060.142857142859</v>
      </c>
      <c r="N38" s="261">
        <f t="shared" si="27"/>
        <v>285.73</v>
      </c>
      <c r="O38" s="261">
        <f t="shared" si="28"/>
        <v>3897.7431428571431</v>
      </c>
      <c r="P38" s="261">
        <f t="shared" si="29"/>
        <v>10747.665814285714</v>
      </c>
      <c r="Q38" s="261">
        <f t="shared" si="30"/>
        <v>0</v>
      </c>
      <c r="R38" s="261">
        <f t="shared" si="31"/>
        <v>14931.138957142857</v>
      </c>
      <c r="S38" s="261">
        <f t="shared" si="32"/>
        <v>821.03051428571234</v>
      </c>
      <c r="T38" s="272">
        <f t="shared" si="33"/>
        <v>5.8187399310976697E-2</v>
      </c>
      <c r="U38"/>
      <c r="V38" s="261">
        <v>0</v>
      </c>
      <c r="W38" s="261">
        <f t="shared" si="34"/>
        <v>0</v>
      </c>
      <c r="X38" s="261">
        <f t="shared" si="35"/>
        <v>0</v>
      </c>
      <c r="Y38" s="263">
        <f t="shared" si="36"/>
        <v>14931.14</v>
      </c>
      <c r="Z38" s="261">
        <f>Y38-W29</f>
        <v>821.02999999999884</v>
      </c>
      <c r="AA38" s="272">
        <f>Z38/W29</f>
        <v>5.8187356441586832E-2</v>
      </c>
      <c r="AB38" s="251"/>
      <c r="AD38" s="255"/>
      <c r="AF38" s="251"/>
    </row>
    <row r="39" spans="12:32">
      <c r="L39"/>
      <c r="M39"/>
      <c r="N39"/>
      <c r="O39"/>
      <c r="P39"/>
      <c r="Q39" s="268"/>
      <c r="R39"/>
      <c r="S39"/>
      <c r="T39"/>
      <c r="U39"/>
      <c r="V39"/>
      <c r="W39"/>
      <c r="X39"/>
      <c r="Y39"/>
      <c r="Z39"/>
      <c r="AA39"/>
      <c r="AB39" s="251"/>
      <c r="AD39" s="255"/>
      <c r="AF39" s="251"/>
    </row>
    <row r="40" spans="12:32">
      <c r="L40" s="284" t="s">
        <v>878</v>
      </c>
      <c r="M40" s="813" t="s">
        <v>857</v>
      </c>
      <c r="N40" s="814"/>
      <c r="O40" s="814"/>
      <c r="P40" s="815"/>
      <c r="Q40" s="296"/>
      <c r="S40"/>
      <c r="T40"/>
      <c r="U40"/>
      <c r="V40"/>
      <c r="W40"/>
      <c r="X40"/>
      <c r="Y40"/>
      <c r="Z40"/>
      <c r="AA40"/>
      <c r="AB40" s="251"/>
      <c r="AD40" s="255"/>
      <c r="AF40" s="251"/>
    </row>
    <row r="41" spans="12:32">
      <c r="M41" s="810" t="s">
        <v>859</v>
      </c>
      <c r="N41" s="816" t="s">
        <v>860</v>
      </c>
      <c r="O41" s="808" t="s">
        <v>861</v>
      </c>
      <c r="P41" s="808" t="s">
        <v>610</v>
      </c>
      <c r="Q41" s="808" t="s">
        <v>862</v>
      </c>
      <c r="R41" s="810" t="s">
        <v>863</v>
      </c>
      <c r="S41"/>
      <c r="T41"/>
      <c r="V41" s="811" t="s">
        <v>864</v>
      </c>
      <c r="W41" s="811" t="s">
        <v>865</v>
      </c>
      <c r="X41"/>
      <c r="Y41"/>
      <c r="Z41" s="251"/>
      <c r="AA41" s="251"/>
      <c r="AB41" s="251"/>
      <c r="AC41" s="255"/>
      <c r="AF41" s="251"/>
    </row>
    <row r="42" spans="12:32">
      <c r="L42"/>
      <c r="M42" s="810"/>
      <c r="N42" s="817"/>
      <c r="O42" s="809"/>
      <c r="P42" s="809"/>
      <c r="Q42" s="809"/>
      <c r="R42" s="810"/>
      <c r="S42"/>
      <c r="T42"/>
      <c r="V42" s="812"/>
      <c r="W42" s="812"/>
      <c r="X42"/>
      <c r="Y42"/>
      <c r="Z42" s="251"/>
      <c r="AA42" s="251"/>
      <c r="AB42" s="251"/>
      <c r="AC42" s="255"/>
      <c r="AF42" s="251"/>
    </row>
    <row r="43" spans="12:32">
      <c r="L43" s="56" t="s">
        <v>482</v>
      </c>
      <c r="M43" s="282">
        <f>'[18]Percentiles_All_Bills July'!$I$11</f>
        <v>3668</v>
      </c>
      <c r="N43" s="261">
        <f>VLOOKUP($N$23,$H$5:$J$5,2,0)</f>
        <v>225</v>
      </c>
      <c r="O43" s="261">
        <f>$I$8*M43</f>
        <v>560.10360000000003</v>
      </c>
      <c r="P43" s="261">
        <f>$I$10*M43</f>
        <v>1615.7539999999999</v>
      </c>
      <c r="Q43" s="261">
        <f>M43*$I$9</f>
        <v>-59.0548</v>
      </c>
      <c r="R43" s="261">
        <f>SUM(N43:Q43)</f>
        <v>2341.8027999999999</v>
      </c>
      <c r="S43"/>
      <c r="T43"/>
      <c r="U43"/>
      <c r="V43" s="261">
        <v>0</v>
      </c>
      <c r="W43" s="263">
        <f>ROUND(SUM(R43,V43:V43),2)</f>
        <v>2341.8000000000002</v>
      </c>
      <c r="X43"/>
      <c r="Y43"/>
      <c r="Z43" s="251"/>
      <c r="AA43" s="251"/>
      <c r="AB43" s="251"/>
      <c r="AC43" s="255"/>
      <c r="AF43" s="251"/>
    </row>
    <row r="44" spans="12:32">
      <c r="L44" s="56" t="s">
        <v>866</v>
      </c>
      <c r="M44" s="282">
        <f>'[18]Percentiles_All_Bills July'!$J$11</f>
        <v>10641</v>
      </c>
      <c r="N44" s="261">
        <f t="shared" ref="N44:N47" si="37">VLOOKUP($N$23,$H$5:$J$5,2,0)</f>
        <v>225</v>
      </c>
      <c r="O44" s="261">
        <f t="shared" ref="O44:O47" si="38">$I$8*M44</f>
        <v>1624.8806999999999</v>
      </c>
      <c r="P44" s="261">
        <f t="shared" ref="P44:P47" si="39">$I$10*M44</f>
        <v>4687.3604999999998</v>
      </c>
      <c r="Q44" s="261">
        <f t="shared" ref="Q44:Q47" si="40">M44*$I$9</f>
        <v>-171.3201</v>
      </c>
      <c r="R44" s="261">
        <f t="shared" ref="R44:R47" si="41">SUM(N44:Q44)</f>
        <v>6365.9210999999996</v>
      </c>
      <c r="S44"/>
      <c r="T44"/>
      <c r="U44"/>
      <c r="V44" s="261">
        <v>0</v>
      </c>
      <c r="W44" s="263">
        <f>ROUND(SUM(R44,V44:V44),2)</f>
        <v>6365.92</v>
      </c>
      <c r="X44"/>
      <c r="Y44"/>
      <c r="Z44" s="251"/>
      <c r="AA44" s="251"/>
      <c r="AB44" s="251"/>
      <c r="AC44" s="255"/>
      <c r="AF44" s="251"/>
    </row>
    <row r="45" spans="12:32">
      <c r="L45" s="56" t="s">
        <v>520</v>
      </c>
      <c r="M45" s="282">
        <f>'[18]Percentiles_All_Bills July'!$K$11</f>
        <v>10823</v>
      </c>
      <c r="N45" s="261">
        <f t="shared" si="37"/>
        <v>225</v>
      </c>
      <c r="O45" s="261">
        <f t="shared" si="38"/>
        <v>1652.6721</v>
      </c>
      <c r="P45" s="261">
        <f t="shared" si="39"/>
        <v>4767.5315000000001</v>
      </c>
      <c r="Q45" s="261">
        <f t="shared" si="40"/>
        <v>-174.25030000000001</v>
      </c>
      <c r="R45" s="261">
        <f t="shared" si="41"/>
        <v>6470.9533000000001</v>
      </c>
      <c r="S45"/>
      <c r="T45"/>
      <c r="U45"/>
      <c r="V45" s="261">
        <v>0</v>
      </c>
      <c r="W45" s="263">
        <f>ROUND(SUM(R45,V45:V45),2)</f>
        <v>6470.95</v>
      </c>
      <c r="X45"/>
      <c r="Y45"/>
      <c r="AA45" s="251"/>
      <c r="AB45" s="251"/>
      <c r="AC45" s="255"/>
      <c r="AF45" s="251"/>
    </row>
    <row r="46" spans="12:32">
      <c r="L46" s="56" t="s">
        <v>868</v>
      </c>
      <c r="M46" s="282">
        <f>'[18]Percentiles_All_Bills July'!$L$11</f>
        <v>10823</v>
      </c>
      <c r="N46" s="261">
        <f t="shared" si="37"/>
        <v>225</v>
      </c>
      <c r="O46" s="261">
        <f t="shared" si="38"/>
        <v>1652.6721</v>
      </c>
      <c r="P46" s="261">
        <f t="shared" si="39"/>
        <v>4767.5315000000001</v>
      </c>
      <c r="Q46" s="261">
        <f t="shared" si="40"/>
        <v>-174.25030000000001</v>
      </c>
      <c r="R46" s="261">
        <f t="shared" si="41"/>
        <v>6470.9533000000001</v>
      </c>
      <c r="S46"/>
      <c r="T46"/>
      <c r="U46"/>
      <c r="V46" s="261">
        <v>0</v>
      </c>
      <c r="W46" s="263">
        <f>ROUND(SUM(R46,V46:V46),2)</f>
        <v>6470.95</v>
      </c>
      <c r="X46"/>
      <c r="Y46"/>
      <c r="AB46" s="251"/>
      <c r="AE46" s="255"/>
      <c r="AF46" s="251"/>
    </row>
    <row r="47" spans="12:32">
      <c r="L47" s="267" t="s">
        <v>877</v>
      </c>
      <c r="M47" s="282">
        <f>AVERAGE(M43:M46)</f>
        <v>8988.75</v>
      </c>
      <c r="N47" s="261">
        <f t="shared" si="37"/>
        <v>225</v>
      </c>
      <c r="O47" s="261">
        <f t="shared" si="38"/>
        <v>1372.5821250000001</v>
      </c>
      <c r="P47" s="261">
        <f t="shared" si="39"/>
        <v>3959.5443749999999</v>
      </c>
      <c r="Q47" s="261">
        <f t="shared" si="40"/>
        <v>-144.718875</v>
      </c>
      <c r="R47" s="261">
        <f t="shared" si="41"/>
        <v>5412.4076250000007</v>
      </c>
      <c r="S47"/>
      <c r="T47"/>
      <c r="U47"/>
      <c r="V47" s="261">
        <v>0</v>
      </c>
      <c r="W47" s="263">
        <f>ROUND(SUM(R47,V47:V47),2)</f>
        <v>5412.41</v>
      </c>
      <c r="X47"/>
      <c r="Y47"/>
      <c r="AB47" s="251"/>
      <c r="AE47" s="255"/>
      <c r="AF47" s="251"/>
    </row>
    <row r="48" spans="12:32">
      <c r="L48"/>
      <c r="M48"/>
      <c r="N48"/>
      <c r="O48"/>
      <c r="P48"/>
      <c r="Q48" s="264"/>
      <c r="R48"/>
      <c r="S48"/>
      <c r="T48"/>
      <c r="U48"/>
      <c r="V48"/>
      <c r="W48"/>
      <c r="X48"/>
      <c r="Y48"/>
      <c r="Z48"/>
      <c r="AA48"/>
    </row>
    <row r="49" spans="11:32" ht="15" customHeight="1">
      <c r="L49" s="284" t="s">
        <v>878</v>
      </c>
      <c r="M49" s="813" t="s">
        <v>872</v>
      </c>
      <c r="N49" s="814"/>
      <c r="O49" s="814"/>
      <c r="P49" s="815"/>
      <c r="Q49" s="296"/>
      <c r="S49"/>
      <c r="T49"/>
      <c r="U49"/>
      <c r="V49"/>
      <c r="W49"/>
      <c r="X49"/>
      <c r="Y49"/>
      <c r="Z49"/>
      <c r="AA49"/>
      <c r="AB49" s="251"/>
      <c r="AD49" s="255"/>
      <c r="AF49" s="251"/>
    </row>
    <row r="50" spans="11:32" ht="23.25" customHeight="1">
      <c r="M50" s="810" t="s">
        <v>859</v>
      </c>
      <c r="N50" s="816" t="s">
        <v>860</v>
      </c>
      <c r="O50" s="808" t="s">
        <v>861</v>
      </c>
      <c r="P50" s="808" t="s">
        <v>610</v>
      </c>
      <c r="Q50" s="808" t="s">
        <v>873</v>
      </c>
      <c r="R50" s="810" t="s">
        <v>863</v>
      </c>
      <c r="S50" s="808" t="s">
        <v>874</v>
      </c>
      <c r="T50" s="808" t="s">
        <v>875</v>
      </c>
      <c r="V50" s="811" t="s">
        <v>864</v>
      </c>
      <c r="W50" s="811" t="s">
        <v>870</v>
      </c>
      <c r="X50" s="811" t="s">
        <v>871</v>
      </c>
      <c r="Y50" s="811" t="s">
        <v>865</v>
      </c>
      <c r="Z50" s="808" t="s">
        <v>874</v>
      </c>
      <c r="AA50" s="808" t="s">
        <v>875</v>
      </c>
      <c r="AB50" s="251"/>
      <c r="AD50" s="255"/>
      <c r="AF50" s="251"/>
    </row>
    <row r="51" spans="11:32">
      <c r="L51"/>
      <c r="M51" s="810"/>
      <c r="N51" s="817"/>
      <c r="O51" s="809"/>
      <c r="P51" s="809"/>
      <c r="Q51" s="809"/>
      <c r="R51" s="810"/>
      <c r="S51" s="809"/>
      <c r="T51" s="809"/>
      <c r="V51" s="812"/>
      <c r="W51" s="812"/>
      <c r="X51" s="812"/>
      <c r="Y51" s="812"/>
      <c r="Z51" s="809"/>
      <c r="AA51" s="809"/>
      <c r="AB51" s="251"/>
      <c r="AD51" s="255"/>
      <c r="AF51" s="251"/>
    </row>
    <row r="52" spans="11:32">
      <c r="K52" s="278"/>
      <c r="L52" s="56" t="s">
        <v>482</v>
      </c>
      <c r="M52" s="282">
        <f>M43</f>
        <v>3668</v>
      </c>
      <c r="N52" s="261">
        <f>VLOOKUP($N$32,$H$5:$J$5,3,0)</f>
        <v>285.73</v>
      </c>
      <c r="O52" s="261">
        <f>$J$8*M52</f>
        <v>594.21600000000001</v>
      </c>
      <c r="P52" s="261">
        <f>$J$10*M52</f>
        <v>1638.4956</v>
      </c>
      <c r="Q52" s="261">
        <f>M52*$J$9</f>
        <v>0</v>
      </c>
      <c r="R52" s="261">
        <f>SUM(N52:Q52)</f>
        <v>2518.4416000000001</v>
      </c>
      <c r="S52" s="261">
        <f>R52-R43</f>
        <v>176.63880000000017</v>
      </c>
      <c r="T52" s="272">
        <f>S52/R43</f>
        <v>7.5428554445318874E-2</v>
      </c>
      <c r="U52"/>
      <c r="V52" s="261">
        <v>0</v>
      </c>
      <c r="W52" s="261">
        <f>M52*$J$12</f>
        <v>0</v>
      </c>
      <c r="X52" s="261">
        <f>R52*$J$13</f>
        <v>0</v>
      </c>
      <c r="Y52" s="263">
        <f>ROUND(SUM(R52,V52:X52),2)</f>
        <v>2518.44</v>
      </c>
      <c r="Z52" s="261">
        <f>Y52-W43</f>
        <v>176.63999999999987</v>
      </c>
      <c r="AA52" s="272">
        <f>Z52/W43</f>
        <v>7.5429157058672758E-2</v>
      </c>
      <c r="AB52" s="251"/>
      <c r="AD52" s="255"/>
      <c r="AF52" s="251"/>
    </row>
    <row r="53" spans="11:32">
      <c r="L53" s="56" t="s">
        <v>866</v>
      </c>
      <c r="M53" s="282">
        <f t="shared" ref="M53:M56" si="42">M44</f>
        <v>10641</v>
      </c>
      <c r="N53" s="261">
        <f t="shared" ref="N53:N56" si="43">VLOOKUP($N$32,$H$5:$J$5,3,0)</f>
        <v>285.73</v>
      </c>
      <c r="O53" s="261">
        <f t="shared" ref="O53:O56" si="44">$J$8*M53</f>
        <v>1723.8420000000001</v>
      </c>
      <c r="P53" s="261">
        <f t="shared" ref="P53:P56" si="45">$J$10*M53</f>
        <v>4753.3346999999994</v>
      </c>
      <c r="Q53" s="261">
        <f t="shared" ref="Q53:Q56" si="46">M53*$J$9</f>
        <v>0</v>
      </c>
      <c r="R53" s="261">
        <f t="shared" ref="R53:R56" si="47">SUM(N53:Q53)</f>
        <v>6762.9066999999995</v>
      </c>
      <c r="S53" s="261">
        <f t="shared" ref="S53:S56" si="48">R53-R44</f>
        <v>396.98559999999998</v>
      </c>
      <c r="T53" s="272">
        <f t="shared" ref="T53:T56" si="49">S53/R44</f>
        <v>6.2361061936504363E-2</v>
      </c>
      <c r="U53"/>
      <c r="V53" s="261">
        <v>0</v>
      </c>
      <c r="W53" s="261">
        <f t="shared" ref="W53:W56" si="50">M53*$J$12</f>
        <v>0</v>
      </c>
      <c r="X53" s="261">
        <f t="shared" ref="X53:X56" si="51">R53*$J$13</f>
        <v>0</v>
      </c>
      <c r="Y53" s="263">
        <f>ROUND(SUM(R53,V53:X53),2)</f>
        <v>6762.91</v>
      </c>
      <c r="Z53" s="261">
        <f>Y53-W44</f>
        <v>396.98999999999978</v>
      </c>
      <c r="AA53" s="272">
        <f>Z53/W44</f>
        <v>6.2361763892728746E-2</v>
      </c>
      <c r="AB53" s="251"/>
      <c r="AD53" s="255"/>
      <c r="AF53" s="251"/>
    </row>
    <row r="54" spans="11:32">
      <c r="L54" s="56" t="s">
        <v>520</v>
      </c>
      <c r="M54" s="282">
        <f t="shared" si="42"/>
        <v>10823</v>
      </c>
      <c r="N54" s="261">
        <f t="shared" si="43"/>
        <v>285.73</v>
      </c>
      <c r="O54" s="261">
        <f t="shared" si="44"/>
        <v>1753.326</v>
      </c>
      <c r="P54" s="261">
        <f t="shared" si="45"/>
        <v>4834.6341000000002</v>
      </c>
      <c r="Q54" s="261">
        <f t="shared" si="46"/>
        <v>0</v>
      </c>
      <c r="R54" s="261">
        <f t="shared" si="47"/>
        <v>6873.6900999999998</v>
      </c>
      <c r="S54" s="261">
        <f t="shared" si="48"/>
        <v>402.73679999999968</v>
      </c>
      <c r="T54" s="272">
        <f t="shared" si="49"/>
        <v>6.22376304276527E-2</v>
      </c>
      <c r="U54"/>
      <c r="V54" s="261">
        <v>0</v>
      </c>
      <c r="W54" s="261">
        <f t="shared" si="50"/>
        <v>0</v>
      </c>
      <c r="X54" s="261">
        <f t="shared" si="51"/>
        <v>0</v>
      </c>
      <c r="Y54" s="263">
        <f t="shared" ref="Y54:Y56" si="52">ROUND(SUM(R54,V54:X54),2)</f>
        <v>6873.69</v>
      </c>
      <c r="Z54" s="261">
        <f>Y54-W45</f>
        <v>402.73999999999978</v>
      </c>
      <c r="AA54" s="272">
        <f>Z54/W45</f>
        <v>6.2238156684876221E-2</v>
      </c>
      <c r="AB54" s="251"/>
      <c r="AD54" s="255"/>
      <c r="AF54" s="251"/>
    </row>
    <row r="55" spans="11:32">
      <c r="L55" s="56" t="s">
        <v>868</v>
      </c>
      <c r="M55" s="282">
        <f t="shared" si="42"/>
        <v>10823</v>
      </c>
      <c r="N55" s="261">
        <f t="shared" si="43"/>
        <v>285.73</v>
      </c>
      <c r="O55" s="261">
        <f t="shared" si="44"/>
        <v>1753.326</v>
      </c>
      <c r="P55" s="261">
        <f t="shared" si="45"/>
        <v>4834.6341000000002</v>
      </c>
      <c r="Q55" s="261">
        <f t="shared" si="46"/>
        <v>0</v>
      </c>
      <c r="R55" s="261">
        <f t="shared" si="47"/>
        <v>6873.6900999999998</v>
      </c>
      <c r="S55" s="261">
        <f t="shared" si="48"/>
        <v>402.73679999999968</v>
      </c>
      <c r="T55" s="272">
        <f t="shared" si="49"/>
        <v>6.22376304276527E-2</v>
      </c>
      <c r="U55"/>
      <c r="V55" s="261">
        <v>0</v>
      </c>
      <c r="W55" s="261">
        <f t="shared" si="50"/>
        <v>0</v>
      </c>
      <c r="X55" s="261">
        <f t="shared" si="51"/>
        <v>0</v>
      </c>
      <c r="Y55" s="263">
        <f t="shared" si="52"/>
        <v>6873.69</v>
      </c>
      <c r="Z55" s="261">
        <f>Y55-W46</f>
        <v>402.73999999999978</v>
      </c>
      <c r="AA55" s="272">
        <f>Z55/W46</f>
        <v>6.2238156684876221E-2</v>
      </c>
      <c r="AB55" s="251"/>
      <c r="AD55" s="255"/>
      <c r="AF55" s="251"/>
    </row>
    <row r="56" spans="11:32">
      <c r="L56" s="267" t="s">
        <v>877</v>
      </c>
      <c r="M56" s="282">
        <f t="shared" si="42"/>
        <v>8988.75</v>
      </c>
      <c r="N56" s="261">
        <f t="shared" si="43"/>
        <v>285.73</v>
      </c>
      <c r="O56" s="261">
        <f t="shared" si="44"/>
        <v>1456.1775</v>
      </c>
      <c r="P56" s="261">
        <f t="shared" si="45"/>
        <v>4015.274625</v>
      </c>
      <c r="Q56" s="261">
        <f t="shared" si="46"/>
        <v>0</v>
      </c>
      <c r="R56" s="261">
        <f t="shared" si="47"/>
        <v>5757.1821250000003</v>
      </c>
      <c r="S56" s="261">
        <f t="shared" si="48"/>
        <v>344.77449999999953</v>
      </c>
      <c r="T56" s="272">
        <f t="shared" si="49"/>
        <v>6.3700763853683229E-2</v>
      </c>
      <c r="U56"/>
      <c r="V56" s="261">
        <v>0</v>
      </c>
      <c r="W56" s="261">
        <f t="shared" si="50"/>
        <v>0</v>
      </c>
      <c r="X56" s="261">
        <f t="shared" si="51"/>
        <v>0</v>
      </c>
      <c r="Y56" s="263">
        <f t="shared" si="52"/>
        <v>5757.18</v>
      </c>
      <c r="Z56" s="261">
        <f>Y56-W47</f>
        <v>344.77000000000044</v>
      </c>
      <c r="AA56" s="272">
        <f>Z56/W47</f>
        <v>6.3699904478781252E-2</v>
      </c>
      <c r="AB56" s="251"/>
      <c r="AD56" s="255"/>
      <c r="AF56" s="251"/>
    </row>
    <row r="57" spans="11:32"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 s="251"/>
      <c r="AD57" s="255"/>
      <c r="AF57" s="251"/>
    </row>
    <row r="58" spans="11:32"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 s="251"/>
      <c r="AD58" s="255"/>
      <c r="AF58" s="251"/>
    </row>
    <row r="59" spans="11:32"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1:32"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1:32" ht="15" customHeight="1"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 s="251"/>
      <c r="AD61" s="255"/>
      <c r="AF61" s="251"/>
    </row>
    <row r="62" spans="11:32" ht="21.75" customHeight="1"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 s="251"/>
      <c r="AD62" s="255"/>
      <c r="AF62" s="251"/>
    </row>
    <row r="63" spans="11:32"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 s="251"/>
      <c r="AD63" s="255"/>
      <c r="AF63" s="251"/>
    </row>
    <row r="64" spans="11:32"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 s="251"/>
      <c r="AD64" s="255"/>
      <c r="AF64" s="251"/>
    </row>
    <row r="65" spans="12:32"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 s="251"/>
      <c r="AD65" s="255"/>
      <c r="AF65" s="251"/>
    </row>
    <row r="66" spans="12:32"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 s="251"/>
      <c r="AD66" s="255"/>
      <c r="AF66" s="251"/>
    </row>
    <row r="67" spans="12:32"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 s="251"/>
      <c r="AD67" s="255"/>
      <c r="AF67" s="251"/>
    </row>
    <row r="68" spans="12:32"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 s="251"/>
      <c r="AD68" s="255"/>
      <c r="AF68" s="251"/>
    </row>
    <row r="69" spans="12:32"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 s="251"/>
      <c r="AD69" s="255"/>
      <c r="AF69" s="251"/>
    </row>
    <row r="70" spans="12:32"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 s="251"/>
      <c r="AD70" s="255"/>
      <c r="AF70" s="251"/>
    </row>
  </sheetData>
  <mergeCells count="73">
    <mergeCell ref="AA14:AA15"/>
    <mergeCell ref="V4:V5"/>
    <mergeCell ref="W4:W5"/>
    <mergeCell ref="M13:P13"/>
    <mergeCell ref="M14:M15"/>
    <mergeCell ref="N14:N15"/>
    <mergeCell ref="O14:O15"/>
    <mergeCell ref="P14:P15"/>
    <mergeCell ref="R14:R15"/>
    <mergeCell ref="S14:S15"/>
    <mergeCell ref="T14:T15"/>
    <mergeCell ref="V14:V15"/>
    <mergeCell ref="W14:W15"/>
    <mergeCell ref="X14:X15"/>
    <mergeCell ref="Y14:Y15"/>
    <mergeCell ref="Z14:Z15"/>
    <mergeCell ref="L1:T1"/>
    <mergeCell ref="M3:P3"/>
    <mergeCell ref="M4:M5"/>
    <mergeCell ref="N4:N5"/>
    <mergeCell ref="O4:O5"/>
    <mergeCell ref="P4:P5"/>
    <mergeCell ref="R4:R5"/>
    <mergeCell ref="Q4:Q5"/>
    <mergeCell ref="W23:W24"/>
    <mergeCell ref="M31:P31"/>
    <mergeCell ref="M22:P22"/>
    <mergeCell ref="M23:M24"/>
    <mergeCell ref="N23:N24"/>
    <mergeCell ref="O23:O24"/>
    <mergeCell ref="P23:P24"/>
    <mergeCell ref="O32:O33"/>
    <mergeCell ref="P32:P33"/>
    <mergeCell ref="R32:R33"/>
    <mergeCell ref="R23:R24"/>
    <mergeCell ref="V23:V24"/>
    <mergeCell ref="S32:S33"/>
    <mergeCell ref="T32:T33"/>
    <mergeCell ref="AA32:AA33"/>
    <mergeCell ref="M40:P40"/>
    <mergeCell ref="M41:M42"/>
    <mergeCell ref="N41:N42"/>
    <mergeCell ref="O41:O42"/>
    <mergeCell ref="P41:P42"/>
    <mergeCell ref="R41:R42"/>
    <mergeCell ref="V41:V42"/>
    <mergeCell ref="W41:W42"/>
    <mergeCell ref="V32:V33"/>
    <mergeCell ref="W32:W33"/>
    <mergeCell ref="X32:X33"/>
    <mergeCell ref="Y32:Y33"/>
    <mergeCell ref="Z32:Z33"/>
    <mergeCell ref="M32:M33"/>
    <mergeCell ref="N32:N33"/>
    <mergeCell ref="M49:P49"/>
    <mergeCell ref="M50:M51"/>
    <mergeCell ref="N50:N51"/>
    <mergeCell ref="O50:O51"/>
    <mergeCell ref="P50:P51"/>
    <mergeCell ref="Z50:Z51"/>
    <mergeCell ref="AA50:AA51"/>
    <mergeCell ref="R50:R51"/>
    <mergeCell ref="V50:V51"/>
    <mergeCell ref="W50:W51"/>
    <mergeCell ref="X50:X51"/>
    <mergeCell ref="Y50:Y51"/>
    <mergeCell ref="S50:S51"/>
    <mergeCell ref="T50:T51"/>
    <mergeCell ref="Q14:Q15"/>
    <mergeCell ref="Q23:Q24"/>
    <mergeCell ref="Q32:Q33"/>
    <mergeCell ref="Q41:Q42"/>
    <mergeCell ref="Q50:Q51"/>
  </mergeCells>
  <conditionalFormatting sqref="J12">
    <cfRule type="containsBlanks" dxfId="116" priority="1">
      <formula>LEN(TRIM(J12))=0</formula>
    </cfRule>
  </conditionalFormatting>
  <printOptions horizontalCentered="1"/>
  <pageMargins left="0.45" right="0.45" top="1.25" bottom="0.75" header="0.5" footer="0.3"/>
  <pageSetup scale="88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1" max="26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73F9A-B156-4C3D-A5D5-5D98708BCF08}">
  <sheetPr codeName="Sheet48">
    <tabColor rgb="FF7030A0"/>
    <pageSetUpPr fitToPage="1"/>
  </sheetPr>
  <dimension ref="A1:AF70"/>
  <sheetViews>
    <sheetView zoomScale="90" zoomScaleNormal="90" zoomScaleSheetLayoutView="70" workbookViewId="0">
      <selection activeCell="B6" sqref="B6"/>
    </sheetView>
  </sheetViews>
  <sheetFormatPr defaultColWidth="9.28515625" defaultRowHeight="15"/>
  <cols>
    <col min="1" max="3" width="9.28515625" style="251" customWidth="1"/>
    <col min="4" max="4" width="12.5703125" style="251" customWidth="1"/>
    <col min="5" max="5" width="14.42578125" style="251" customWidth="1"/>
    <col min="6" max="6" width="20.28515625" style="251" customWidth="1"/>
    <col min="7" max="7" width="22.42578125" style="57" customWidth="1"/>
    <col min="8" max="9" width="9.7109375" style="57" bestFit="1" customWidth="1"/>
    <col min="10" max="10" width="3.42578125" style="57" customWidth="1"/>
    <col min="11" max="11" width="12.28515625" style="57" bestFit="1" customWidth="1"/>
    <col min="12" max="17" width="10.28515625" style="57" customWidth="1"/>
    <col min="18" max="18" width="9.7109375" style="57" bestFit="1" customWidth="1"/>
    <col min="19" max="19" width="8.7109375" style="57" bestFit="1" customWidth="1"/>
    <col min="20" max="20" width="7.5703125" style="57" customWidth="1"/>
    <col min="21" max="21" width="8.7109375" style="57" customWidth="1"/>
    <col min="22" max="22" width="8.85546875" style="57" bestFit="1" customWidth="1"/>
    <col min="23" max="23" width="5.42578125" style="57" bestFit="1" customWidth="1"/>
    <col min="24" max="24" width="11.140625" style="57" bestFit="1" customWidth="1"/>
    <col min="25" max="25" width="9.7109375" style="57" bestFit="1" customWidth="1"/>
    <col min="26" max="27" width="7.5703125" style="57" customWidth="1"/>
    <col min="28" max="30" width="9.28515625" style="251"/>
    <col min="31" max="31" width="9.28515625" style="255"/>
    <col min="32" max="16384" width="9.28515625" style="251"/>
  </cols>
  <sheetData>
    <row r="1" spans="1:32">
      <c r="G1" s="57" t="s">
        <v>854</v>
      </c>
      <c r="H1" s="4">
        <v>5756</v>
      </c>
      <c r="I1" s="56" t="s">
        <v>543</v>
      </c>
      <c r="K1" s="818" t="s">
        <v>896</v>
      </c>
      <c r="L1" s="818"/>
      <c r="M1" s="818"/>
      <c r="N1" s="818"/>
      <c r="O1" s="818"/>
      <c r="P1" s="818"/>
      <c r="Q1" s="818"/>
      <c r="R1" s="818"/>
      <c r="S1" s="818"/>
      <c r="T1" s="253"/>
      <c r="U1" s="254"/>
    </row>
    <row r="2" spans="1:32">
      <c r="L2" s="256" t="s">
        <v>856</v>
      </c>
    </row>
    <row r="3" spans="1:32" ht="15" customHeight="1">
      <c r="I3" s="100"/>
      <c r="L3" s="813" t="s">
        <v>857</v>
      </c>
      <c r="M3" s="814"/>
      <c r="N3" s="814"/>
      <c r="O3" s="815"/>
      <c r="P3" s="296"/>
      <c r="T3" s="251"/>
      <c r="Z3" s="251"/>
      <c r="AA3" s="251"/>
      <c r="AC3" s="255"/>
      <c r="AE3" s="251"/>
    </row>
    <row r="4" spans="1:32" ht="21.75" customHeight="1">
      <c r="A4" s="251" t="s">
        <v>598</v>
      </c>
      <c r="B4" s="251" t="s">
        <v>599</v>
      </c>
      <c r="C4" s="251" t="s">
        <v>587</v>
      </c>
      <c r="D4" s="251" t="s">
        <v>600</v>
      </c>
      <c r="E4" s="251" t="s">
        <v>601</v>
      </c>
      <c r="F4" s="251" t="s">
        <v>858</v>
      </c>
      <c r="H4" s="257" t="s">
        <v>828</v>
      </c>
      <c r="I4" s="257" t="s">
        <v>551</v>
      </c>
      <c r="L4" s="810" t="s">
        <v>859</v>
      </c>
      <c r="M4" s="816" t="s">
        <v>860</v>
      </c>
      <c r="N4" s="808" t="s">
        <v>861</v>
      </c>
      <c r="O4" s="808" t="s">
        <v>610</v>
      </c>
      <c r="P4" s="808" t="s">
        <v>862</v>
      </c>
      <c r="Q4" s="810" t="s">
        <v>863</v>
      </c>
      <c r="U4" s="811" t="s">
        <v>864</v>
      </c>
      <c r="V4" s="811" t="s">
        <v>865</v>
      </c>
      <c r="AA4" s="251"/>
      <c r="AD4" s="255"/>
      <c r="AE4" s="251"/>
    </row>
    <row r="5" spans="1:32">
      <c r="A5" s="100">
        <v>41030</v>
      </c>
      <c r="B5" s="100">
        <v>46082</v>
      </c>
      <c r="C5" s="251" t="str">
        <f>I1</f>
        <v>GTILVS</v>
      </c>
      <c r="D5" s="100" t="str">
        <f t="shared" ref="D5:E11" si="0">IF(C5="","",A5&amp;$C5)</f>
        <v>41030GTILVS</v>
      </c>
      <c r="E5" s="100" t="str">
        <f t="shared" si="0"/>
        <v>46082GTILVS</v>
      </c>
      <c r="F5" s="251" t="str">
        <f>IFERROR(IF(VLOOKUP(G5,Lookup!$A$1:$B$200,2,0)="","",VLOOKUP(G5,Lookup!$A$1:$B$200,2,0)),"")</f>
        <v>BASIC_SERVICE_CHARGE</v>
      </c>
      <c r="G5" s="258" t="s">
        <v>607</v>
      </c>
      <c r="H5" s="259">
        <f>VLOOKUP(D5,'UNSG - ALL RATES'!$A$1:$DF$43,MATCH($F5,'UNSG - ALL RATES'!$A$2:$DF$2,0),0)</f>
        <v>225</v>
      </c>
      <c r="I5" s="259">
        <f>VLOOKUP(E5,'UNSG - ALL RATES'!$A$1:$DF$43,MATCH($F5,'UNSG - ALL RATES'!$A$2:$DF$2,0),0)</f>
        <v>285.73</v>
      </c>
      <c r="J5" s="259"/>
      <c r="L5" s="810"/>
      <c r="M5" s="817"/>
      <c r="N5" s="809"/>
      <c r="O5" s="809"/>
      <c r="P5" s="809"/>
      <c r="Q5" s="810"/>
      <c r="T5" s="251"/>
      <c r="U5" s="812"/>
      <c r="V5" s="812"/>
      <c r="Z5" s="251"/>
      <c r="AA5" s="251"/>
      <c r="AC5" s="255"/>
      <c r="AE5" s="251"/>
    </row>
    <row r="6" spans="1:32">
      <c r="A6" s="100">
        <v>41030</v>
      </c>
      <c r="B6" s="100">
        <f>$B$5</f>
        <v>46082</v>
      </c>
      <c r="C6" s="251" t="str">
        <f>C5</f>
        <v>GTILVS</v>
      </c>
      <c r="D6" s="100" t="str">
        <f t="shared" si="0"/>
        <v>41030GTILVS</v>
      </c>
      <c r="E6" s="100" t="str">
        <f t="shared" si="0"/>
        <v>46082GTILVS</v>
      </c>
      <c r="F6" s="251" t="str">
        <f>IFERROR(IF(VLOOKUP(G6,Lookup!$A$1:$B$200,2,0)="","",VLOOKUP(G6,Lookup!$A$1:$B$200,2,0)),"")</f>
        <v/>
      </c>
      <c r="G6" s="258"/>
      <c r="H6" s="259"/>
      <c r="I6" s="259"/>
      <c r="J6" s="259"/>
      <c r="K6" s="56" t="s">
        <v>482</v>
      </c>
      <c r="L6" s="260">
        <f>AVERAGE(L25,L43)</f>
        <v>38300</v>
      </c>
      <c r="M6" s="261">
        <f>VLOOKUP(M4,$G$5:$I$5,2,0)</f>
        <v>225</v>
      </c>
      <c r="N6" s="261">
        <f>$H$8*L6</f>
        <v>4779.84</v>
      </c>
      <c r="O6" s="261">
        <f>$H$10*L6</f>
        <v>16871.150000000001</v>
      </c>
      <c r="P6" s="261">
        <f>L6*$H$9</f>
        <v>-616.63</v>
      </c>
      <c r="Q6" s="261">
        <f>SUM(M6:P6)</f>
        <v>21259.360000000001</v>
      </c>
      <c r="T6" s="262"/>
      <c r="U6" s="261">
        <v>0</v>
      </c>
      <c r="V6" s="263">
        <f>ROUND(SUM(Q6,U6:U6),2)</f>
        <v>21259.360000000001</v>
      </c>
      <c r="Y6" s="262"/>
      <c r="Z6" s="251"/>
      <c r="AA6" s="251"/>
      <c r="AC6" s="255"/>
      <c r="AE6" s="251"/>
    </row>
    <row r="7" spans="1:32">
      <c r="A7" s="100">
        <v>41030</v>
      </c>
      <c r="B7" s="100">
        <f t="shared" ref="B7:B18" si="1">$B$5</f>
        <v>46082</v>
      </c>
      <c r="C7" s="251" t="str">
        <f t="shared" ref="C7:C18" si="2">C6</f>
        <v>GTILVS</v>
      </c>
      <c r="D7" s="100" t="str">
        <f t="shared" si="0"/>
        <v>41030GTILVS</v>
      </c>
      <c r="E7" s="100" t="str">
        <f t="shared" si="0"/>
        <v>46082GTILVS</v>
      </c>
      <c r="F7" s="251" t="str">
        <f>IFERROR(IF(VLOOKUP(G7,Lookup!$A$1:$B$200,2,0)="","",VLOOKUP(G7,Lookup!$A$1:$B$200,2,0)),"")</f>
        <v/>
      </c>
      <c r="G7" s="258" t="s">
        <v>512</v>
      </c>
      <c r="H7" s="259"/>
      <c r="I7" s="259"/>
      <c r="J7" s="264"/>
      <c r="K7" s="56" t="s">
        <v>866</v>
      </c>
      <c r="L7" s="260">
        <f t="shared" ref="L7:L10" si="3">AVERAGE(L26,L44)</f>
        <v>77587.5</v>
      </c>
      <c r="M7" s="261">
        <f>M6</f>
        <v>225</v>
      </c>
      <c r="N7" s="261">
        <f t="shared" ref="N7:N10" si="4">$H$8*L7</f>
        <v>9682.92</v>
      </c>
      <c r="O7" s="261">
        <f t="shared" ref="O7:O10" si="5">$H$10*L7</f>
        <v>34177.293749999997</v>
      </c>
      <c r="P7" s="261">
        <f t="shared" ref="P7:P10" si="6">L7*$H$9</f>
        <v>-1249.1587500000001</v>
      </c>
      <c r="Q7" s="261">
        <f t="shared" ref="Q7:Q10" si="7">SUM(M7:P7)</f>
        <v>42836.054999999993</v>
      </c>
      <c r="T7" s="262"/>
      <c r="U7" s="261">
        <v>0</v>
      </c>
      <c r="V7" s="263">
        <f>ROUND(SUM(Q7,U7:U7),2)</f>
        <v>42836.06</v>
      </c>
      <c r="Y7" s="262"/>
      <c r="Z7" s="251"/>
      <c r="AA7" s="251"/>
      <c r="AC7" s="255"/>
      <c r="AE7" s="251"/>
    </row>
    <row r="8" spans="1:32">
      <c r="A8" s="100">
        <v>41030</v>
      </c>
      <c r="B8" s="100">
        <f t="shared" si="1"/>
        <v>46082</v>
      </c>
      <c r="C8" s="251" t="str">
        <f t="shared" si="2"/>
        <v>GTILVS</v>
      </c>
      <c r="D8" s="100" t="str">
        <f t="shared" si="0"/>
        <v>41030GTILVS</v>
      </c>
      <c r="E8" s="100" t="str">
        <f t="shared" si="0"/>
        <v>46082GTILVS</v>
      </c>
      <c r="F8" s="251" t="str">
        <f>IFERROR(IF(VLOOKUP(G8,Lookup!$A$1:$B$200,2,0)="","",VLOOKUP(G8,Lookup!$A$1:$B$200,2,0)),"")</f>
        <v>THERM_DELIVERY_TIER1</v>
      </c>
      <c r="G8" s="57" t="s">
        <v>609</v>
      </c>
      <c r="H8" s="265">
        <f>VLOOKUP(D8,'UNSG - ALL RATES'!$A$1:$DF$43,MATCH($F8,'UNSG - ALL RATES'!$A$2:$DF$2,0),0)</f>
        <v>0.12479999999999999</v>
      </c>
      <c r="I8" s="265">
        <f>VLOOKUP(E8,'UNSG - ALL RATES'!$A$1:$DF$43,MATCH($F8,'UNSG - ALL RATES'!$A$2:$DF$2,0),0)</f>
        <v>0.16200000000000001</v>
      </c>
      <c r="J8" s="264"/>
      <c r="K8" s="56" t="s">
        <v>520</v>
      </c>
      <c r="L8" s="260">
        <f t="shared" si="3"/>
        <v>283462.94999999995</v>
      </c>
      <c r="M8" s="261">
        <f t="shared" ref="M8:M10" si="8">M7</f>
        <v>225</v>
      </c>
      <c r="N8" s="261">
        <f t="shared" si="4"/>
        <v>35376.176159999995</v>
      </c>
      <c r="O8" s="261">
        <f t="shared" si="5"/>
        <v>124865.42947499998</v>
      </c>
      <c r="P8" s="261">
        <f t="shared" si="6"/>
        <v>-4563.753494999999</v>
      </c>
      <c r="Q8" s="261">
        <f t="shared" si="7"/>
        <v>155902.85213999997</v>
      </c>
      <c r="T8" s="262"/>
      <c r="U8" s="261">
        <v>0</v>
      </c>
      <c r="V8" s="263">
        <f>ROUND(SUM(Q8,U8:U8),2)</f>
        <v>155902.85</v>
      </c>
      <c r="Y8" s="262"/>
      <c r="Z8" s="251"/>
      <c r="AA8" s="251"/>
      <c r="AC8" s="255"/>
      <c r="AE8" s="251"/>
    </row>
    <row r="9" spans="1:32">
      <c r="A9" s="100">
        <v>41030</v>
      </c>
      <c r="B9" s="100">
        <f t="shared" si="1"/>
        <v>46082</v>
      </c>
      <c r="C9" s="251" t="str">
        <f t="shared" si="2"/>
        <v>GTILVS</v>
      </c>
      <c r="D9" s="100" t="str">
        <f t="shared" si="0"/>
        <v>41030GTILVS</v>
      </c>
      <c r="E9" s="100" t="str">
        <f t="shared" si="0"/>
        <v>46082GTILVS</v>
      </c>
      <c r="F9" s="251" t="str">
        <f>IFERROR(IF(VLOOKUP(G9,Lookup!$A$1:$B$200,2,0)="","",VLOOKUP(G9,Lookup!$A$1:$B$200,2,0)),"")</f>
        <v/>
      </c>
      <c r="G9" s="57" t="s">
        <v>867</v>
      </c>
      <c r="H9" s="264">
        <v>-1.61E-2</v>
      </c>
      <c r="I9" s="674">
        <v>0</v>
      </c>
      <c r="J9" s="264"/>
      <c r="K9" s="56" t="s">
        <v>868</v>
      </c>
      <c r="L9" s="260">
        <f t="shared" si="3"/>
        <v>378808.99999999983</v>
      </c>
      <c r="M9" s="261">
        <f t="shared" si="8"/>
        <v>225</v>
      </c>
      <c r="N9" s="261">
        <f t="shared" si="4"/>
        <v>47275.363199999978</v>
      </c>
      <c r="O9" s="261">
        <f t="shared" si="5"/>
        <v>166865.36449999994</v>
      </c>
      <c r="P9" s="261">
        <f t="shared" si="6"/>
        <v>-6098.8248999999969</v>
      </c>
      <c r="Q9" s="261">
        <f t="shared" si="7"/>
        <v>208266.90279999992</v>
      </c>
      <c r="T9" s="262"/>
      <c r="U9" s="261">
        <v>0</v>
      </c>
      <c r="V9" s="263">
        <f>ROUND(SUM(Q9,U9:U9),2)</f>
        <v>208266.9</v>
      </c>
      <c r="Y9" s="262"/>
      <c r="Z9" s="251"/>
      <c r="AA9" s="251"/>
      <c r="AC9" s="255"/>
      <c r="AE9" s="251"/>
    </row>
    <row r="10" spans="1:32">
      <c r="A10" s="100">
        <v>41030</v>
      </c>
      <c r="B10" s="100">
        <f t="shared" si="1"/>
        <v>46082</v>
      </c>
      <c r="C10" s="251" t="str">
        <f t="shared" si="2"/>
        <v>GTILVS</v>
      </c>
      <c r="D10" s="100" t="str">
        <f t="shared" si="0"/>
        <v>41030GTILVS</v>
      </c>
      <c r="E10" s="100" t="str">
        <f t="shared" si="0"/>
        <v>46082GTILVS</v>
      </c>
      <c r="F10" s="251" t="str">
        <f>IFERROR(IF(VLOOKUP(G10,Lookup!$A$1:$B$200,2,0)="","",VLOOKUP(G10,Lookup!$A$1:$B$200,2,0)),"")</f>
        <v/>
      </c>
      <c r="G10" s="266" t="s">
        <v>610</v>
      </c>
      <c r="H10" s="264">
        <f>'PGA Calculation'!$B$3</f>
        <v>0.4405</v>
      </c>
      <c r="I10" s="264">
        <f>'PGA Calculation'!$B$13</f>
        <v>0.44669999999999999</v>
      </c>
      <c r="J10" s="264"/>
      <c r="K10" s="267" t="s">
        <v>869</v>
      </c>
      <c r="L10" s="260">
        <f t="shared" si="3"/>
        <v>106041.27083333333</v>
      </c>
      <c r="M10" s="261">
        <f t="shared" si="8"/>
        <v>225</v>
      </c>
      <c r="N10" s="261">
        <f t="shared" si="4"/>
        <v>13233.950599999998</v>
      </c>
      <c r="O10" s="261">
        <f t="shared" si="5"/>
        <v>46711.17980208333</v>
      </c>
      <c r="P10" s="261">
        <f t="shared" si="6"/>
        <v>-1707.2644604166665</v>
      </c>
      <c r="Q10" s="261">
        <f t="shared" si="7"/>
        <v>58462.865941666663</v>
      </c>
      <c r="T10" s="262"/>
      <c r="U10" s="261">
        <v>0</v>
      </c>
      <c r="V10" s="263">
        <f>ROUND(SUM(Q10,U10:U10),2)</f>
        <v>58462.87</v>
      </c>
      <c r="Y10" s="262"/>
      <c r="Z10" s="251"/>
      <c r="AA10" s="251"/>
      <c r="AC10" s="255"/>
      <c r="AE10" s="251"/>
    </row>
    <row r="11" spans="1:32">
      <c r="A11" s="100">
        <v>41030</v>
      </c>
      <c r="B11" s="100">
        <f t="shared" si="1"/>
        <v>46082</v>
      </c>
      <c r="C11" s="251" t="str">
        <f t="shared" si="2"/>
        <v>GTILVS</v>
      </c>
      <c r="D11" s="100" t="str">
        <f t="shared" si="0"/>
        <v>41030GTILVS</v>
      </c>
      <c r="E11" s="100" t="str">
        <f t="shared" si="0"/>
        <v>46082GTILVS</v>
      </c>
      <c r="F11" s="251" t="str">
        <f>IFERROR(IF(VLOOKUP(G11,Lookup!$A$1:$B$200,2,0)="","",VLOOKUP(G11,Lookup!$A$1:$B$200,2,0)),"")</f>
        <v/>
      </c>
      <c r="G11" s="258"/>
      <c r="H11" s="264"/>
      <c r="I11"/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V11" s="268"/>
      <c r="W11" s="268"/>
      <c r="X11" s="268"/>
      <c r="Y11" s="269"/>
      <c r="AA11" s="262"/>
    </row>
    <row r="12" spans="1:32">
      <c r="A12" s="100"/>
      <c r="B12" s="100"/>
      <c r="D12" s="100"/>
      <c r="E12" s="100"/>
      <c r="G12" s="258" t="s">
        <v>870</v>
      </c>
      <c r="H12" s="264">
        <v>0</v>
      </c>
      <c r="I12" s="669">
        <f>'UNSG Riders- Current'!$C$3</f>
        <v>0</v>
      </c>
      <c r="J12" s="264"/>
      <c r="Q12" s="270"/>
    </row>
    <row r="13" spans="1:32" ht="15" customHeight="1">
      <c r="A13" s="100">
        <v>41030</v>
      </c>
      <c r="B13" s="100">
        <f t="shared" si="1"/>
        <v>46082</v>
      </c>
      <c r="C13" s="251" t="str">
        <f>C11</f>
        <v>GTILVS</v>
      </c>
      <c r="D13" s="100" t="str">
        <f t="shared" ref="D13:E18" si="9">IF(C13="","",A13&amp;$C13)</f>
        <v>41030GTILVS</v>
      </c>
      <c r="E13" s="100" t="str">
        <f t="shared" si="9"/>
        <v>46082GTILVS</v>
      </c>
      <c r="F13" s="251" t="str">
        <f>IFERROR(IF(VLOOKUP(G13,Lookup!$A$1:$B$200,2,0)="","",VLOOKUP(G13,Lookup!$A$1:$B$200,2,0)),"")</f>
        <v/>
      </c>
      <c r="G13" s="266" t="s">
        <v>871</v>
      </c>
      <c r="H13" s="264">
        <v>0</v>
      </c>
      <c r="I13" s="675">
        <f>'UNSG Riders- Current'!$C$5</f>
        <v>0</v>
      </c>
      <c r="L13" s="813" t="s">
        <v>872</v>
      </c>
      <c r="M13" s="814"/>
      <c r="N13" s="814"/>
      <c r="O13" s="815"/>
      <c r="P13" s="296"/>
      <c r="T13" s="251"/>
      <c r="V13" s="271"/>
      <c r="Z13" s="251"/>
      <c r="AA13" s="251"/>
      <c r="AC13" s="255"/>
      <c r="AE13" s="251"/>
    </row>
    <row r="14" spans="1:32" ht="22.5" customHeight="1">
      <c r="A14" s="100">
        <v>41030</v>
      </c>
      <c r="B14" s="100">
        <f t="shared" si="1"/>
        <v>46082</v>
      </c>
      <c r="C14" s="251" t="str">
        <f t="shared" si="2"/>
        <v>GTILVS</v>
      </c>
      <c r="D14" s="100" t="str">
        <f t="shared" si="9"/>
        <v>41030GTILVS</v>
      </c>
      <c r="E14" s="100" t="str">
        <f t="shared" si="9"/>
        <v>46082GTILVS</v>
      </c>
      <c r="F14" s="251" t="str">
        <f>IFERROR(IF(VLOOKUP(G14,Lookup!$A$1:$B$200,2,0)="","",VLOOKUP(G14,Lookup!$A$1:$B$200,2,0)),"")</f>
        <v/>
      </c>
      <c r="I14"/>
      <c r="L14" s="810" t="s">
        <v>859</v>
      </c>
      <c r="M14" s="816" t="s">
        <v>860</v>
      </c>
      <c r="N14" s="808" t="s">
        <v>861</v>
      </c>
      <c r="O14" s="808" t="s">
        <v>610</v>
      </c>
      <c r="P14" s="808" t="s">
        <v>873</v>
      </c>
      <c r="Q14" s="810" t="s">
        <v>863</v>
      </c>
      <c r="R14" s="808" t="s">
        <v>874</v>
      </c>
      <c r="S14" s="808" t="s">
        <v>875</v>
      </c>
      <c r="U14" s="811" t="s">
        <v>864</v>
      </c>
      <c r="V14" s="811" t="s">
        <v>870</v>
      </c>
      <c r="W14" s="811" t="s">
        <v>871</v>
      </c>
      <c r="X14" s="811" t="s">
        <v>865</v>
      </c>
      <c r="Y14" s="808" t="s">
        <v>874</v>
      </c>
      <c r="Z14" s="808" t="s">
        <v>875</v>
      </c>
      <c r="AB14" s="57"/>
      <c r="AE14" s="251"/>
      <c r="AF14" s="255"/>
    </row>
    <row r="15" spans="1:32" ht="16.5" customHeight="1">
      <c r="A15" s="100">
        <v>41030</v>
      </c>
      <c r="B15" s="100">
        <f t="shared" si="1"/>
        <v>46082</v>
      </c>
      <c r="C15" s="251" t="str">
        <f t="shared" si="2"/>
        <v>GTILVS</v>
      </c>
      <c r="D15" s="100" t="str">
        <f t="shared" si="9"/>
        <v>41030GTILVS</v>
      </c>
      <c r="E15" s="100" t="str">
        <f t="shared" si="9"/>
        <v>46082GTILVS</v>
      </c>
      <c r="F15" s="251" t="str">
        <f>IFERROR(IF(VLOOKUP(G15,Lookup!$A$1:$B$200,2,0)="","",VLOOKUP(G15,Lookup!$A$1:$B$200,2,0)),"")</f>
        <v/>
      </c>
      <c r="H15" s="264"/>
      <c r="I15"/>
      <c r="L15" s="810"/>
      <c r="M15" s="817"/>
      <c r="N15" s="809"/>
      <c r="O15" s="809"/>
      <c r="P15" s="809"/>
      <c r="Q15" s="810"/>
      <c r="R15" s="809"/>
      <c r="S15" s="809"/>
      <c r="U15" s="812"/>
      <c r="V15" s="812"/>
      <c r="W15" s="812"/>
      <c r="X15" s="812"/>
      <c r="Y15" s="809"/>
      <c r="Z15" s="809"/>
      <c r="AB15" s="57"/>
      <c r="AE15" s="251"/>
      <c r="AF15" s="255"/>
    </row>
    <row r="16" spans="1:32">
      <c r="A16" s="100">
        <v>41030</v>
      </c>
      <c r="B16" s="100">
        <f t="shared" si="1"/>
        <v>46082</v>
      </c>
      <c r="C16" s="251" t="str">
        <f t="shared" si="2"/>
        <v>GTILVS</v>
      </c>
      <c r="D16" s="100" t="str">
        <f t="shared" si="9"/>
        <v>41030GTILVS</v>
      </c>
      <c r="E16" s="100" t="str">
        <f t="shared" si="9"/>
        <v>46082GTILVS</v>
      </c>
      <c r="G16" s="130"/>
      <c r="H16" s="264"/>
      <c r="I16" s="264"/>
      <c r="J16" s="264"/>
      <c r="K16" s="56" t="s">
        <v>482</v>
      </c>
      <c r="L16" s="260">
        <f>L6</f>
        <v>38300</v>
      </c>
      <c r="M16" s="261">
        <f>VLOOKUP(M14,$G$5:$I$5,3,0)</f>
        <v>285.73</v>
      </c>
      <c r="N16" s="261">
        <f>$I$8*L16</f>
        <v>6204.6</v>
      </c>
      <c r="O16" s="261">
        <f>$I$10*L16</f>
        <v>17108.61</v>
      </c>
      <c r="P16" s="261">
        <f>L16*$I$9</f>
        <v>0</v>
      </c>
      <c r="Q16" s="261">
        <f>SUM(M16:P16)</f>
        <v>23598.940000000002</v>
      </c>
      <c r="R16" s="261">
        <f>Q16-Q6</f>
        <v>2339.5800000000017</v>
      </c>
      <c r="S16" s="272">
        <f>R16/Q6</f>
        <v>0.11004940882510111</v>
      </c>
      <c r="T16" s="273"/>
      <c r="U16" s="261">
        <v>0</v>
      </c>
      <c r="V16" s="261">
        <f>L16*$I$12</f>
        <v>0</v>
      </c>
      <c r="W16" s="261">
        <f>Q16*$J$13</f>
        <v>0</v>
      </c>
      <c r="X16" s="263">
        <f>ROUND(SUM(Q16,U16:W16),2)</f>
        <v>23598.94</v>
      </c>
      <c r="Y16" s="261">
        <f>X16-V6</f>
        <v>2339.5799999999981</v>
      </c>
      <c r="Z16" s="272">
        <f>Y16/V6</f>
        <v>0.11004940882510095</v>
      </c>
      <c r="AB16" s="57"/>
      <c r="AE16" s="251"/>
      <c r="AF16" s="255"/>
    </row>
    <row r="17" spans="1:32">
      <c r="A17" s="100">
        <v>41030</v>
      </c>
      <c r="B17" s="100">
        <f t="shared" si="1"/>
        <v>46082</v>
      </c>
      <c r="C17" s="251" t="str">
        <f t="shared" si="2"/>
        <v>GTILVS</v>
      </c>
      <c r="D17" s="100" t="str">
        <f t="shared" si="9"/>
        <v>41030GTILVS</v>
      </c>
      <c r="E17" s="100" t="str">
        <f t="shared" si="9"/>
        <v>46082GTILVS</v>
      </c>
      <c r="H17" s="274"/>
      <c r="I17" s="274"/>
      <c r="J17" s="264"/>
      <c r="K17" s="56" t="s">
        <v>866</v>
      </c>
      <c r="L17" s="260">
        <f t="shared" ref="L17:L20" si="10">L7</f>
        <v>77587.5</v>
      </c>
      <c r="M17" s="261">
        <f>M16</f>
        <v>285.73</v>
      </c>
      <c r="N17" s="261">
        <f t="shared" ref="N17:N20" si="11">$I$8*L17</f>
        <v>12569.175000000001</v>
      </c>
      <c r="O17" s="261">
        <f t="shared" ref="O17:O20" si="12">$I$10*L17</f>
        <v>34658.33625</v>
      </c>
      <c r="P17" s="261">
        <f t="shared" ref="P17:P20" si="13">L17*$I$9</f>
        <v>0</v>
      </c>
      <c r="Q17" s="261">
        <f t="shared" ref="Q17:Q20" si="14">SUM(M17:P17)</f>
        <v>47513.241249999999</v>
      </c>
      <c r="R17" s="261">
        <f>Q17-Q7</f>
        <v>4677.1862500000061</v>
      </c>
      <c r="S17" s="272">
        <f>R17/Q7</f>
        <v>0.10918807182407453</v>
      </c>
      <c r="T17" s="273"/>
      <c r="U17" s="261">
        <v>0</v>
      </c>
      <c r="V17" s="261">
        <f t="shared" ref="V17:V20" si="15">L17*$I$12</f>
        <v>0</v>
      </c>
      <c r="W17" s="261">
        <f t="shared" ref="W17:W20" si="16">Q17*$J$13</f>
        <v>0</v>
      </c>
      <c r="X17" s="263">
        <f t="shared" ref="X17:X20" si="17">ROUND(SUM(Q17,U17:W17),2)</f>
        <v>47513.24</v>
      </c>
      <c r="Y17" s="261">
        <f>X17-V7</f>
        <v>4677.18</v>
      </c>
      <c r="Z17" s="272">
        <f>Y17/V7</f>
        <v>0.10918791317408745</v>
      </c>
      <c r="AB17" s="57"/>
      <c r="AE17" s="251"/>
      <c r="AF17" s="255"/>
    </row>
    <row r="18" spans="1:32">
      <c r="A18" s="100">
        <v>41030</v>
      </c>
      <c r="B18" s="100">
        <f t="shared" si="1"/>
        <v>46082</v>
      </c>
      <c r="C18" s="251" t="str">
        <f t="shared" si="2"/>
        <v>GTILVS</v>
      </c>
      <c r="D18" s="100" t="str">
        <f t="shared" si="9"/>
        <v>41030GTILVS</v>
      </c>
      <c r="E18" s="100" t="str">
        <f t="shared" si="9"/>
        <v>46082GTILVS</v>
      </c>
      <c r="F18" s="251" t="str">
        <f>IFERROR(IF(VLOOKUP(G18,Lookup!$A$1:$B$200,2,0)="","",VLOOKUP(G18,Lookup!$A$1:$B$200,2,0)),"")</f>
        <v/>
      </c>
      <c r="G18"/>
      <c r="H18"/>
      <c r="I18"/>
      <c r="J18" s="264"/>
      <c r="K18" s="56" t="s">
        <v>520</v>
      </c>
      <c r="L18" s="260">
        <f t="shared" si="10"/>
        <v>283462.94999999995</v>
      </c>
      <c r="M18" s="261">
        <f t="shared" ref="M18:M20" si="18">M17</f>
        <v>285.73</v>
      </c>
      <c r="N18" s="261">
        <f t="shared" si="11"/>
        <v>45920.997899999995</v>
      </c>
      <c r="O18" s="261">
        <f t="shared" si="12"/>
        <v>126622.89976499998</v>
      </c>
      <c r="P18" s="261">
        <f t="shared" si="13"/>
        <v>0</v>
      </c>
      <c r="Q18" s="261">
        <f t="shared" si="14"/>
        <v>172829.62766499998</v>
      </c>
      <c r="R18" s="261">
        <f>Q18-Q8</f>
        <v>16926.775525000005</v>
      </c>
      <c r="S18" s="272">
        <f>R18/Q8</f>
        <v>0.10857258409743425</v>
      </c>
      <c r="T18" s="273"/>
      <c r="U18" s="261">
        <v>0</v>
      </c>
      <c r="V18" s="261">
        <f t="shared" si="15"/>
        <v>0</v>
      </c>
      <c r="W18" s="261">
        <f t="shared" si="16"/>
        <v>0</v>
      </c>
      <c r="X18" s="263">
        <f t="shared" si="17"/>
        <v>172829.63</v>
      </c>
      <c r="Y18" s="261">
        <f>X18-V8</f>
        <v>16926.78</v>
      </c>
      <c r="Z18" s="272">
        <f>Y18/V8</f>
        <v>0.10857261429152834</v>
      </c>
      <c r="AB18" s="57"/>
      <c r="AE18" s="251"/>
      <c r="AF18" s="255"/>
    </row>
    <row r="19" spans="1:32">
      <c r="K19" s="56" t="s">
        <v>868</v>
      </c>
      <c r="L19" s="260">
        <f t="shared" si="10"/>
        <v>378808.99999999983</v>
      </c>
      <c r="M19" s="261">
        <f t="shared" si="18"/>
        <v>285.73</v>
      </c>
      <c r="N19" s="261">
        <f t="shared" si="11"/>
        <v>61367.057999999975</v>
      </c>
      <c r="O19" s="261">
        <f t="shared" si="12"/>
        <v>169213.98029999991</v>
      </c>
      <c r="P19" s="261">
        <f t="shared" si="13"/>
        <v>0</v>
      </c>
      <c r="Q19" s="261">
        <f t="shared" si="14"/>
        <v>230866.76829999988</v>
      </c>
      <c r="R19" s="261">
        <f>Q19-Q9</f>
        <v>22599.865499999956</v>
      </c>
      <c r="S19" s="272">
        <f>R19/Q9</f>
        <v>0.10851395587182067</v>
      </c>
      <c r="T19" s="273"/>
      <c r="U19" s="261">
        <v>0</v>
      </c>
      <c r="V19" s="261">
        <f t="shared" si="15"/>
        <v>0</v>
      </c>
      <c r="W19" s="261">
        <f t="shared" si="16"/>
        <v>0</v>
      </c>
      <c r="X19" s="263">
        <f t="shared" si="17"/>
        <v>230866.77</v>
      </c>
      <c r="Y19" s="261">
        <f>X19-V9</f>
        <v>22599.869999999995</v>
      </c>
      <c r="Z19" s="272">
        <f>Y19/V9</f>
        <v>0.1085139789376036</v>
      </c>
      <c r="AB19" s="57"/>
      <c r="AE19" s="251"/>
      <c r="AF19" s="255"/>
    </row>
    <row r="20" spans="1:32">
      <c r="H20" s="262"/>
      <c r="K20" s="267" t="s">
        <v>869</v>
      </c>
      <c r="L20" s="260">
        <f t="shared" si="10"/>
        <v>106041.27083333333</v>
      </c>
      <c r="M20" s="261">
        <f t="shared" si="18"/>
        <v>285.73</v>
      </c>
      <c r="N20" s="261">
        <f t="shared" si="11"/>
        <v>17178.685874999999</v>
      </c>
      <c r="O20" s="261">
        <f t="shared" si="12"/>
        <v>47368.635681249994</v>
      </c>
      <c r="P20" s="261">
        <f t="shared" si="13"/>
        <v>0</v>
      </c>
      <c r="Q20" s="261">
        <f t="shared" si="14"/>
        <v>64833.051556249993</v>
      </c>
      <c r="R20" s="261">
        <f>Q20-Q10</f>
        <v>6370.1856145833299</v>
      </c>
      <c r="S20" s="272">
        <f>R20/Q10</f>
        <v>0.10896122713072948</v>
      </c>
      <c r="T20" s="273"/>
      <c r="U20" s="261">
        <v>0</v>
      </c>
      <c r="V20" s="261">
        <f t="shared" si="15"/>
        <v>0</v>
      </c>
      <c r="W20" s="261">
        <f t="shared" si="16"/>
        <v>0</v>
      </c>
      <c r="X20" s="263">
        <f t="shared" si="17"/>
        <v>64833.05</v>
      </c>
      <c r="Y20" s="261">
        <f>X20-V10</f>
        <v>6370.18</v>
      </c>
      <c r="Z20" s="272">
        <f>Y20/V10</f>
        <v>0.1089611235301996</v>
      </c>
      <c r="AB20" s="57"/>
      <c r="AE20" s="251"/>
      <c r="AF20" s="255"/>
    </row>
    <row r="21" spans="1:32">
      <c r="G21"/>
      <c r="H21" s="262"/>
      <c r="J21" s="275"/>
      <c r="Z21" s="268"/>
      <c r="AA21" s="276"/>
    </row>
    <row r="22" spans="1:32" ht="14.45" customHeight="1">
      <c r="G22"/>
      <c r="H22" s="262"/>
      <c r="K22" s="284" t="s">
        <v>876</v>
      </c>
      <c r="L22" s="813" t="s">
        <v>857</v>
      </c>
      <c r="M22" s="814"/>
      <c r="N22" s="814"/>
      <c r="O22" s="815"/>
      <c r="P22" s="296"/>
      <c r="Z22" s="268"/>
    </row>
    <row r="23" spans="1:32" ht="14.45" customHeight="1">
      <c r="G23"/>
      <c r="J23" s="275"/>
      <c r="L23" s="810" t="s">
        <v>859</v>
      </c>
      <c r="M23" s="816" t="s">
        <v>860</v>
      </c>
      <c r="N23" s="808" t="s">
        <v>861</v>
      </c>
      <c r="O23" s="808" t="s">
        <v>610</v>
      </c>
      <c r="P23" s="808" t="s">
        <v>862</v>
      </c>
      <c r="Q23" s="810" t="s">
        <v>863</v>
      </c>
      <c r="U23" s="811" t="s">
        <v>864</v>
      </c>
      <c r="V23" s="811" t="s">
        <v>865</v>
      </c>
      <c r="AA23" s="251"/>
      <c r="AD23" s="255"/>
      <c r="AE23" s="251"/>
    </row>
    <row r="24" spans="1:32" ht="15" customHeight="1">
      <c r="J24" s="277"/>
      <c r="K24"/>
      <c r="L24" s="810"/>
      <c r="M24" s="817"/>
      <c r="N24" s="809"/>
      <c r="O24" s="809"/>
      <c r="P24" s="809"/>
      <c r="Q24" s="810"/>
      <c r="T24" s="251"/>
      <c r="U24" s="812"/>
      <c r="V24" s="812"/>
      <c r="W24"/>
      <c r="X24"/>
      <c r="Y24"/>
      <c r="AA24" s="251"/>
      <c r="AD24" s="255"/>
      <c r="AE24" s="251"/>
    </row>
    <row r="25" spans="1:32">
      <c r="J25" s="275"/>
      <c r="K25" s="56" t="s">
        <v>482</v>
      </c>
      <c r="L25" s="282">
        <f>'[19]Billing by Service Agreement 1'!$D$31</f>
        <v>49398.5</v>
      </c>
      <c r="M25" s="261">
        <f>VLOOKUP(M23,$G$5:$I$5,2,0)</f>
        <v>225</v>
      </c>
      <c r="N25" s="261">
        <f>$H$8*L25</f>
        <v>6164.9327999999996</v>
      </c>
      <c r="O25" s="261">
        <f>$H$10*L25</f>
        <v>21760.039250000002</v>
      </c>
      <c r="P25" s="261">
        <f>L25*$H$9</f>
        <v>-795.31584999999995</v>
      </c>
      <c r="Q25" s="261">
        <f>SUM(M25:P25)</f>
        <v>27354.656200000001</v>
      </c>
      <c r="R25"/>
      <c r="S25"/>
      <c r="T25"/>
      <c r="U25" s="261">
        <v>0</v>
      </c>
      <c r="V25" s="263">
        <f>ROUND(SUM(Q25,U25:U25),2)</f>
        <v>27354.66</v>
      </c>
      <c r="W25"/>
      <c r="X25"/>
      <c r="Y25"/>
      <c r="Z25" s="251"/>
      <c r="AA25" s="251"/>
      <c r="AB25" s="255"/>
      <c r="AE25" s="251"/>
    </row>
    <row r="26" spans="1:32">
      <c r="J26" s="275"/>
      <c r="K26" s="56" t="s">
        <v>866</v>
      </c>
      <c r="L26" s="282">
        <f>'[19]Billing by Service Agreement 1'!$E$31</f>
        <v>97158.25</v>
      </c>
      <c r="M26" s="261">
        <f>VLOOKUP($M$23,$G$5:$I$5,2,0)</f>
        <v>225</v>
      </c>
      <c r="N26" s="261">
        <f t="shared" ref="N26:N28" si="19">$H$8*L26</f>
        <v>12125.3496</v>
      </c>
      <c r="O26" s="261">
        <f t="shared" ref="O26:O28" si="20">$H$10*L26</f>
        <v>42798.209125000001</v>
      </c>
      <c r="P26" s="261">
        <f t="shared" ref="P26:P29" si="21">L26*$H$9</f>
        <v>-1564.2478249999999</v>
      </c>
      <c r="Q26" s="261">
        <f t="shared" ref="Q26:Q29" si="22">SUM(M26:P26)</f>
        <v>53584.310900000004</v>
      </c>
      <c r="R26"/>
      <c r="S26"/>
      <c r="T26"/>
      <c r="U26" s="261">
        <v>0</v>
      </c>
      <c r="V26" s="263">
        <f>ROUND(SUM(Q26,U26:U26),2)</f>
        <v>53584.31</v>
      </c>
      <c r="W26"/>
      <c r="X26"/>
      <c r="Y26"/>
      <c r="Z26" s="251"/>
      <c r="AA26" s="251"/>
      <c r="AB26" s="255"/>
      <c r="AE26" s="251"/>
    </row>
    <row r="27" spans="1:32">
      <c r="K27" s="56" t="s">
        <v>520</v>
      </c>
      <c r="L27" s="282">
        <f>'[19]Billing by Service Agreement 1'!$F$31</f>
        <v>302124.7</v>
      </c>
      <c r="M27" s="261">
        <f t="shared" ref="M27:M28" si="23">VLOOKUP($M$23,$G$5:$I$5,2,0)</f>
        <v>225</v>
      </c>
      <c r="N27" s="261">
        <f t="shared" si="19"/>
        <v>37705.162559999997</v>
      </c>
      <c r="O27" s="261">
        <f t="shared" si="20"/>
        <v>133085.93035000001</v>
      </c>
      <c r="P27" s="261">
        <f t="shared" si="21"/>
        <v>-4864.2076699999998</v>
      </c>
      <c r="Q27" s="261">
        <f t="shared" si="22"/>
        <v>166151.88524</v>
      </c>
      <c r="R27"/>
      <c r="S27"/>
      <c r="T27"/>
      <c r="U27" s="261">
        <v>0</v>
      </c>
      <c r="V27" s="263">
        <f>ROUND(SUM(Q27,U27:U27),2)</f>
        <v>166151.89000000001</v>
      </c>
      <c r="W27"/>
      <c r="X27"/>
      <c r="Y27"/>
      <c r="Z27" s="251"/>
      <c r="AA27" s="251"/>
      <c r="AB27" s="255"/>
      <c r="AE27" s="251"/>
    </row>
    <row r="28" spans="1:32" ht="14.45" customHeight="1">
      <c r="K28" s="56" t="s">
        <v>868</v>
      </c>
      <c r="L28" s="282">
        <f>'[19]Billing by Service Agreement 1'!$G$31</f>
        <v>451456.89999999967</v>
      </c>
      <c r="M28" s="261">
        <f t="shared" si="23"/>
        <v>225</v>
      </c>
      <c r="N28" s="261">
        <f t="shared" si="19"/>
        <v>56341.821119999957</v>
      </c>
      <c r="O28" s="261">
        <f t="shared" si="20"/>
        <v>198866.76444999987</v>
      </c>
      <c r="P28" s="261">
        <f t="shared" si="21"/>
        <v>-7268.4560899999942</v>
      </c>
      <c r="Q28" s="261">
        <f t="shared" si="22"/>
        <v>248165.12947999983</v>
      </c>
      <c r="R28"/>
      <c r="S28"/>
      <c r="T28"/>
      <c r="U28" s="261">
        <v>0</v>
      </c>
      <c r="V28" s="263">
        <f>ROUND(SUM(Q28,U28:U28),2)</f>
        <v>248165.13</v>
      </c>
      <c r="W28"/>
      <c r="X28"/>
      <c r="Y28"/>
      <c r="Z28" s="251"/>
      <c r="AA28" s="251"/>
      <c r="AB28" s="255"/>
      <c r="AE28" s="251"/>
    </row>
    <row r="29" spans="1:32" ht="14.45" customHeight="1">
      <c r="K29" s="267" t="s">
        <v>877</v>
      </c>
      <c r="L29" s="282">
        <f>'[19]Billing by Service Agreement 1'!$H$31</f>
        <v>120886.58333333333</v>
      </c>
      <c r="M29" s="261">
        <f>VLOOKUP(M23,$G$5:$I$5,2,0)</f>
        <v>225</v>
      </c>
      <c r="N29" s="261">
        <f>$H$8*L29</f>
        <v>15086.645599999998</v>
      </c>
      <c r="O29" s="261">
        <f>$H$10*L29</f>
        <v>53250.539958333335</v>
      </c>
      <c r="P29" s="261">
        <f t="shared" si="21"/>
        <v>-1946.2739916666665</v>
      </c>
      <c r="Q29" s="261">
        <f t="shared" si="22"/>
        <v>66615.911566666677</v>
      </c>
      <c r="R29"/>
      <c r="S29"/>
      <c r="T29"/>
      <c r="U29" s="261">
        <v>0</v>
      </c>
      <c r="V29" s="263">
        <f>ROUND(SUM(Q29,U29:U29),2)</f>
        <v>66615.91</v>
      </c>
      <c r="W29"/>
      <c r="X29"/>
      <c r="Y29"/>
      <c r="Z29" s="251"/>
      <c r="AA29" s="251"/>
      <c r="AB29" s="255"/>
      <c r="AE29" s="251"/>
    </row>
    <row r="30" spans="1:32">
      <c r="K30" s="240"/>
      <c r="L30"/>
      <c r="M30"/>
      <c r="N30"/>
      <c r="O30"/>
      <c r="P30" s="264"/>
      <c r="Q30"/>
      <c r="R30"/>
      <c r="S30"/>
      <c r="T30"/>
      <c r="U30"/>
      <c r="V30"/>
      <c r="W30"/>
      <c r="X30"/>
      <c r="Y30"/>
      <c r="Z30"/>
      <c r="AA30" s="251"/>
      <c r="AC30" s="255"/>
      <c r="AE30" s="251"/>
    </row>
    <row r="31" spans="1:32">
      <c r="K31" s="284" t="s">
        <v>876</v>
      </c>
      <c r="L31" s="813" t="s">
        <v>872</v>
      </c>
      <c r="M31" s="814"/>
      <c r="N31" s="814"/>
      <c r="O31" s="815"/>
      <c r="P31" s="296"/>
      <c r="R31"/>
      <c r="S31"/>
      <c r="T31"/>
      <c r="U31"/>
      <c r="V31"/>
      <c r="W31"/>
      <c r="X31"/>
      <c r="Y31"/>
      <c r="Z31"/>
      <c r="AA31" s="251"/>
      <c r="AC31" s="255"/>
      <c r="AE31" s="251"/>
    </row>
    <row r="32" spans="1:32">
      <c r="L32" s="810" t="s">
        <v>859</v>
      </c>
      <c r="M32" s="816" t="s">
        <v>860</v>
      </c>
      <c r="N32" s="808" t="s">
        <v>861</v>
      </c>
      <c r="O32" s="808" t="s">
        <v>610</v>
      </c>
      <c r="P32" s="808" t="s">
        <v>873</v>
      </c>
      <c r="Q32" s="810" t="s">
        <v>863</v>
      </c>
      <c r="R32" s="808" t="s">
        <v>874</v>
      </c>
      <c r="S32" s="808" t="s">
        <v>875</v>
      </c>
      <c r="U32" s="811" t="s">
        <v>864</v>
      </c>
      <c r="V32" s="811" t="s">
        <v>870</v>
      </c>
      <c r="W32" s="811" t="s">
        <v>871</v>
      </c>
      <c r="X32" s="811" t="s">
        <v>865</v>
      </c>
      <c r="Y32" s="808" t="s">
        <v>874</v>
      </c>
      <c r="Z32" s="808" t="s">
        <v>875</v>
      </c>
      <c r="AA32" s="251"/>
      <c r="AC32" s="255"/>
      <c r="AE32" s="251"/>
    </row>
    <row r="33" spans="11:31">
      <c r="K33"/>
      <c r="L33" s="810"/>
      <c r="M33" s="817"/>
      <c r="N33" s="809"/>
      <c r="O33" s="809"/>
      <c r="P33" s="809"/>
      <c r="Q33" s="810"/>
      <c r="R33" s="809"/>
      <c r="S33" s="809"/>
      <c r="U33" s="812"/>
      <c r="V33" s="812"/>
      <c r="W33" s="812"/>
      <c r="X33" s="812"/>
      <c r="Y33" s="809"/>
      <c r="Z33" s="809"/>
      <c r="AA33" s="251"/>
      <c r="AC33" s="255"/>
      <c r="AE33" s="251"/>
    </row>
    <row r="34" spans="11:31">
      <c r="K34" s="56" t="s">
        <v>482</v>
      </c>
      <c r="L34" s="282">
        <f>L25</f>
        <v>49398.5</v>
      </c>
      <c r="M34" s="261">
        <f>VLOOKUP($M$32,$G$5:$I$5,3,0)</f>
        <v>285.73</v>
      </c>
      <c r="N34" s="261">
        <f>$I$8*L34</f>
        <v>8002.5570000000007</v>
      </c>
      <c r="O34" s="261">
        <f>$I$10*L34</f>
        <v>22066.309949999999</v>
      </c>
      <c r="P34" s="261">
        <f>L34*$I$9</f>
        <v>0</v>
      </c>
      <c r="Q34" s="261">
        <f>SUM(M34:P34)</f>
        <v>30354.596949999999</v>
      </c>
      <c r="R34" s="261">
        <f>Q34-Q25</f>
        <v>2999.9407499999979</v>
      </c>
      <c r="S34" s="272">
        <f>R34/Q25</f>
        <v>0.10966837704215042</v>
      </c>
      <c r="T34"/>
      <c r="U34" s="261">
        <v>0</v>
      </c>
      <c r="V34" s="261">
        <f>L34*$I$12</f>
        <v>0</v>
      </c>
      <c r="W34" s="261">
        <f>Q34*$J$13</f>
        <v>0</v>
      </c>
      <c r="X34" s="263">
        <f>ROUND(SUM(Q34,U34:W34),2)</f>
        <v>30354.6</v>
      </c>
      <c r="Y34" s="261">
        <f>X34-V25</f>
        <v>2999.9399999999987</v>
      </c>
      <c r="Z34" s="272">
        <f>Y34/V25</f>
        <v>0.10966833438982604</v>
      </c>
    </row>
    <row r="35" spans="11:31">
      <c r="K35" s="56" t="s">
        <v>866</v>
      </c>
      <c r="L35" s="282">
        <f t="shared" ref="L35:L38" si="24">L26</f>
        <v>97158.25</v>
      </c>
      <c r="M35" s="261">
        <f t="shared" ref="M35:M38" si="25">VLOOKUP($M$32,$G$5:$I$5,3,0)</f>
        <v>285.73</v>
      </c>
      <c r="N35" s="261">
        <f t="shared" ref="N35:N38" si="26">$I$8*L35</f>
        <v>15739.636500000001</v>
      </c>
      <c r="O35" s="261">
        <f t="shared" ref="O35:O38" si="27">$I$10*L35</f>
        <v>43400.590274999995</v>
      </c>
      <c r="P35" s="261">
        <f t="shared" ref="P35:P38" si="28">L35*$I$9</f>
        <v>0</v>
      </c>
      <c r="Q35" s="261">
        <f t="shared" ref="Q35:Q38" si="29">SUM(M35:P35)</f>
        <v>59425.956774999999</v>
      </c>
      <c r="R35" s="261">
        <f t="shared" ref="R35:R38" si="30">Q35-Q26</f>
        <v>5841.6458749999947</v>
      </c>
      <c r="S35" s="272">
        <f t="shared" ref="S35:S38" si="31">R35/Q26</f>
        <v>0.10901784079862067</v>
      </c>
      <c r="T35"/>
      <c r="U35" s="261">
        <v>0</v>
      </c>
      <c r="V35" s="261">
        <f t="shared" ref="V35:V38" si="32">L35*$I$12</f>
        <v>0</v>
      </c>
      <c r="W35" s="261">
        <f t="shared" ref="W35:W38" si="33">Q35*$J$13</f>
        <v>0</v>
      </c>
      <c r="X35" s="263">
        <f>ROUND(SUM(Q35,U35:W35),2)</f>
        <v>59425.96</v>
      </c>
      <c r="Y35" s="261">
        <f>X35-V26</f>
        <v>5841.6500000000015</v>
      </c>
      <c r="Z35" s="272">
        <f>Y35/V26</f>
        <v>0.1090179196111698</v>
      </c>
    </row>
    <row r="36" spans="11:31" ht="15" customHeight="1">
      <c r="K36" s="56" t="s">
        <v>520</v>
      </c>
      <c r="L36" s="282">
        <f t="shared" si="24"/>
        <v>302124.7</v>
      </c>
      <c r="M36" s="261">
        <f t="shared" si="25"/>
        <v>285.73</v>
      </c>
      <c r="N36" s="261">
        <f t="shared" si="26"/>
        <v>48944.201400000005</v>
      </c>
      <c r="O36" s="261">
        <f t="shared" si="27"/>
        <v>134959.10349000001</v>
      </c>
      <c r="P36" s="261">
        <f t="shared" si="28"/>
        <v>0</v>
      </c>
      <c r="Q36" s="261">
        <f t="shared" si="29"/>
        <v>184189.03489000001</v>
      </c>
      <c r="R36" s="261">
        <f t="shared" si="30"/>
        <v>18037.149650000007</v>
      </c>
      <c r="S36" s="272">
        <f t="shared" si="31"/>
        <v>0.10855820037158193</v>
      </c>
      <c r="T36"/>
      <c r="U36" s="261">
        <v>0</v>
      </c>
      <c r="V36" s="261">
        <f t="shared" si="32"/>
        <v>0</v>
      </c>
      <c r="W36" s="261">
        <f t="shared" si="33"/>
        <v>0</v>
      </c>
      <c r="X36" s="263">
        <f t="shared" ref="X36:X38" si="34">ROUND(SUM(Q36,U36:W36),2)</f>
        <v>184189.03</v>
      </c>
      <c r="Y36" s="261">
        <f>X36-V27</f>
        <v>18037.139999999985</v>
      </c>
      <c r="Z36" s="272">
        <f>Y36/V27</f>
        <v>0.10855813918216629</v>
      </c>
    </row>
    <row r="37" spans="11:31">
      <c r="K37" s="56" t="s">
        <v>868</v>
      </c>
      <c r="L37" s="282">
        <f t="shared" si="24"/>
        <v>451456.89999999967</v>
      </c>
      <c r="M37" s="261">
        <f t="shared" si="25"/>
        <v>285.73</v>
      </c>
      <c r="N37" s="261">
        <f t="shared" si="26"/>
        <v>73136.017799999943</v>
      </c>
      <c r="O37" s="261">
        <f t="shared" si="27"/>
        <v>201665.79722999985</v>
      </c>
      <c r="P37" s="261">
        <f t="shared" si="28"/>
        <v>0</v>
      </c>
      <c r="Q37" s="261">
        <f t="shared" si="29"/>
        <v>275087.5450299998</v>
      </c>
      <c r="R37" s="261">
        <f t="shared" si="30"/>
        <v>26922.415549999976</v>
      </c>
      <c r="S37" s="272">
        <f t="shared" si="31"/>
        <v>0.10848589246366989</v>
      </c>
      <c r="T37"/>
      <c r="U37" s="261">
        <v>0</v>
      </c>
      <c r="V37" s="261">
        <f t="shared" si="32"/>
        <v>0</v>
      </c>
      <c r="W37" s="261">
        <f t="shared" si="33"/>
        <v>0</v>
      </c>
      <c r="X37" s="263">
        <f t="shared" si="34"/>
        <v>275087.55</v>
      </c>
      <c r="Y37" s="261">
        <f>X37-V28</f>
        <v>26922.419999999984</v>
      </c>
      <c r="Z37" s="272">
        <f>Y37/V28</f>
        <v>0.10848591016795947</v>
      </c>
      <c r="AA37" s="251"/>
      <c r="AC37" s="255"/>
      <c r="AE37" s="251"/>
    </row>
    <row r="38" spans="11:31" ht="15.75" customHeight="1">
      <c r="K38" s="267" t="s">
        <v>877</v>
      </c>
      <c r="L38" s="282">
        <f t="shared" si="24"/>
        <v>120886.58333333333</v>
      </c>
      <c r="M38" s="261">
        <f t="shared" si="25"/>
        <v>285.73</v>
      </c>
      <c r="N38" s="261">
        <f t="shared" si="26"/>
        <v>19583.626499999998</v>
      </c>
      <c r="O38" s="261">
        <f t="shared" si="27"/>
        <v>54000.036774999993</v>
      </c>
      <c r="P38" s="261">
        <f t="shared" si="28"/>
        <v>0</v>
      </c>
      <c r="Q38" s="261">
        <f t="shared" si="29"/>
        <v>73869.393274999995</v>
      </c>
      <c r="R38" s="261">
        <f t="shared" si="30"/>
        <v>7253.4817083333182</v>
      </c>
      <c r="S38" s="272">
        <f t="shared" si="31"/>
        <v>0.10888512275440844</v>
      </c>
      <c r="T38"/>
      <c r="U38" s="261">
        <v>0</v>
      </c>
      <c r="V38" s="261">
        <f t="shared" si="32"/>
        <v>0</v>
      </c>
      <c r="W38" s="261">
        <f t="shared" si="33"/>
        <v>0</v>
      </c>
      <c r="X38" s="263">
        <f t="shared" si="34"/>
        <v>73869.39</v>
      </c>
      <c r="Y38" s="261">
        <f>X38-V29</f>
        <v>7253.4799999999959</v>
      </c>
      <c r="Z38" s="272">
        <f>Y38/V29</f>
        <v>0.10888509967063417</v>
      </c>
      <c r="AA38" s="251"/>
      <c r="AC38" s="255"/>
      <c r="AE38" s="251"/>
    </row>
    <row r="39" spans="11:31">
      <c r="K39"/>
      <c r="L39"/>
      <c r="M39"/>
      <c r="N39"/>
      <c r="O39"/>
      <c r="P39" s="268"/>
      <c r="Q39"/>
      <c r="R39"/>
      <c r="S39"/>
      <c r="T39"/>
      <c r="U39"/>
      <c r="V39"/>
      <c r="W39"/>
      <c r="X39"/>
      <c r="Y39"/>
      <c r="Z39"/>
      <c r="AA39" s="251"/>
      <c r="AC39" s="255"/>
      <c r="AE39" s="251"/>
    </row>
    <row r="40" spans="11:31">
      <c r="K40" s="284" t="s">
        <v>878</v>
      </c>
      <c r="L40" s="813" t="s">
        <v>857</v>
      </c>
      <c r="M40" s="814"/>
      <c r="N40" s="814"/>
      <c r="O40" s="815"/>
      <c r="P40" s="296"/>
      <c r="R40"/>
      <c r="S40"/>
      <c r="T40"/>
      <c r="U40"/>
      <c r="V40"/>
      <c r="W40"/>
      <c r="X40"/>
      <c r="Y40"/>
      <c r="Z40"/>
      <c r="AA40" s="251"/>
      <c r="AC40" s="255"/>
      <c r="AE40" s="251"/>
    </row>
    <row r="41" spans="11:31">
      <c r="L41" s="810" t="s">
        <v>859</v>
      </c>
      <c r="M41" s="816" t="s">
        <v>860</v>
      </c>
      <c r="N41" s="808" t="s">
        <v>861</v>
      </c>
      <c r="O41" s="808" t="s">
        <v>610</v>
      </c>
      <c r="P41" s="808" t="s">
        <v>862</v>
      </c>
      <c r="Q41" s="810" t="s">
        <v>863</v>
      </c>
      <c r="R41"/>
      <c r="S41"/>
      <c r="U41" s="811" t="s">
        <v>864</v>
      </c>
      <c r="V41" s="811" t="s">
        <v>865</v>
      </c>
      <c r="W41"/>
      <c r="X41"/>
      <c r="Y41" s="251"/>
      <c r="Z41" s="251"/>
      <c r="AA41" s="251"/>
      <c r="AB41" s="255"/>
      <c r="AE41" s="251"/>
    </row>
    <row r="42" spans="11:31">
      <c r="K42"/>
      <c r="L42" s="810"/>
      <c r="M42" s="817"/>
      <c r="N42" s="809"/>
      <c r="O42" s="809"/>
      <c r="P42" s="809"/>
      <c r="Q42" s="810"/>
      <c r="R42"/>
      <c r="S42"/>
      <c r="U42" s="812"/>
      <c r="V42" s="812"/>
      <c r="W42"/>
      <c r="X42"/>
      <c r="Y42" s="251"/>
      <c r="Z42" s="251"/>
      <c r="AA42" s="251"/>
      <c r="AB42" s="255"/>
      <c r="AE42" s="251"/>
    </row>
    <row r="43" spans="11:31">
      <c r="K43" s="56" t="s">
        <v>482</v>
      </c>
      <c r="L43" s="282">
        <f>'[19]Billing by Service Agreement 1'!$D$30</f>
        <v>27201.5</v>
      </c>
      <c r="M43" s="261">
        <f>VLOOKUP($M$32,$G$5:$I$5,2,0)</f>
        <v>225</v>
      </c>
      <c r="N43" s="261">
        <f>$H$8*L43</f>
        <v>3394.7471999999998</v>
      </c>
      <c r="O43" s="261">
        <f>$H$10*L43</f>
        <v>11982.260749999999</v>
      </c>
      <c r="P43" s="261">
        <f>L43*$H$9</f>
        <v>-437.94414999999998</v>
      </c>
      <c r="Q43" s="261">
        <f>SUM(M43:P43)</f>
        <v>15164.0638</v>
      </c>
      <c r="R43"/>
      <c r="S43"/>
      <c r="T43"/>
      <c r="U43" s="261">
        <v>0</v>
      </c>
      <c r="V43" s="263">
        <f>ROUND(SUM(Q43,U43:U43),2)</f>
        <v>15164.06</v>
      </c>
      <c r="W43"/>
      <c r="X43"/>
      <c r="Y43" s="251"/>
      <c r="Z43" s="251"/>
      <c r="AA43" s="251"/>
      <c r="AB43" s="255"/>
      <c r="AE43" s="251"/>
    </row>
    <row r="44" spans="11:31">
      <c r="K44" s="56" t="s">
        <v>866</v>
      </c>
      <c r="L44" s="282">
        <f>'[19]Billing by Service Agreement 1'!$E$30</f>
        <v>58016.75</v>
      </c>
      <c r="M44" s="261">
        <f t="shared" ref="M44:M46" si="35">VLOOKUP($M$32,$G$5:$I$5,2,0)</f>
        <v>225</v>
      </c>
      <c r="N44" s="261">
        <f t="shared" ref="N44:N46" si="36">$H$8*L44</f>
        <v>7240.4903999999997</v>
      </c>
      <c r="O44" s="261">
        <f t="shared" ref="O44:O46" si="37">$H$10*L44</f>
        <v>25556.378375</v>
      </c>
      <c r="P44" s="261">
        <f t="shared" ref="P44:P47" si="38">L44*$H$9</f>
        <v>-934.06967499999996</v>
      </c>
      <c r="Q44" s="261">
        <f t="shared" ref="Q44:Q47" si="39">SUM(M44:P44)</f>
        <v>32087.799100000004</v>
      </c>
      <c r="R44"/>
      <c r="S44"/>
      <c r="T44"/>
      <c r="U44" s="261">
        <v>0</v>
      </c>
      <c r="V44" s="263">
        <f>ROUND(SUM(Q44,U44:U44),2)</f>
        <v>32087.8</v>
      </c>
      <c r="W44"/>
      <c r="X44"/>
      <c r="Y44" s="251"/>
      <c r="Z44" s="251"/>
      <c r="AA44" s="251"/>
      <c r="AB44" s="255"/>
      <c r="AE44" s="251"/>
    </row>
    <row r="45" spans="11:31">
      <c r="K45" s="56" t="s">
        <v>520</v>
      </c>
      <c r="L45" s="282">
        <f>'[19]Billing by Service Agreement 1'!$F$30</f>
        <v>264801.19999999995</v>
      </c>
      <c r="M45" s="261">
        <f t="shared" si="35"/>
        <v>225</v>
      </c>
      <c r="N45" s="261">
        <f t="shared" si="36"/>
        <v>33047.189759999994</v>
      </c>
      <c r="O45" s="261">
        <f t="shared" si="37"/>
        <v>116644.92859999998</v>
      </c>
      <c r="P45" s="261">
        <f t="shared" si="38"/>
        <v>-4263.2993199999992</v>
      </c>
      <c r="Q45" s="261">
        <f t="shared" si="39"/>
        <v>145653.81903999997</v>
      </c>
      <c r="R45"/>
      <c r="S45"/>
      <c r="T45"/>
      <c r="U45" s="261">
        <v>0</v>
      </c>
      <c r="V45" s="263">
        <f>ROUND(SUM(Q45,U45:U45),2)</f>
        <v>145653.82</v>
      </c>
      <c r="W45"/>
      <c r="X45"/>
      <c r="Z45" s="251"/>
      <c r="AA45" s="251"/>
      <c r="AB45" s="255"/>
      <c r="AE45" s="251"/>
    </row>
    <row r="46" spans="11:31">
      <c r="K46" s="56" t="s">
        <v>868</v>
      </c>
      <c r="L46" s="282">
        <f>'[19]Billing by Service Agreement 1'!$G$30</f>
        <v>306161.09999999998</v>
      </c>
      <c r="M46" s="261">
        <f t="shared" si="35"/>
        <v>225</v>
      </c>
      <c r="N46" s="261">
        <f t="shared" si="36"/>
        <v>38208.905279999992</v>
      </c>
      <c r="O46" s="261">
        <f t="shared" si="37"/>
        <v>134863.96455</v>
      </c>
      <c r="P46" s="261">
        <f t="shared" si="38"/>
        <v>-4929.1937099999996</v>
      </c>
      <c r="Q46" s="261">
        <f t="shared" si="39"/>
        <v>168368.67611999999</v>
      </c>
      <c r="R46"/>
      <c r="S46"/>
      <c r="T46"/>
      <c r="U46" s="261">
        <v>0</v>
      </c>
      <c r="V46" s="263">
        <f>ROUND(SUM(Q46,U46:U46),2)</f>
        <v>168368.68</v>
      </c>
      <c r="W46"/>
      <c r="X46"/>
      <c r="AA46" s="251"/>
      <c r="AD46" s="255"/>
      <c r="AE46" s="251"/>
    </row>
    <row r="47" spans="11:31">
      <c r="K47" s="267" t="s">
        <v>877</v>
      </c>
      <c r="L47" s="282">
        <f>'[19]Billing by Service Agreement 1'!$H$30</f>
        <v>91195.958333333328</v>
      </c>
      <c r="M47" s="261">
        <f>VLOOKUP(M41,$G$5:$I$5,2,0)</f>
        <v>225</v>
      </c>
      <c r="N47" s="261">
        <f>$H$8*L47</f>
        <v>11381.255599999999</v>
      </c>
      <c r="O47" s="261">
        <f>$H$10*L47</f>
        <v>40171.819645833333</v>
      </c>
      <c r="P47" s="261">
        <f t="shared" si="38"/>
        <v>-1468.2549291666667</v>
      </c>
      <c r="Q47" s="261">
        <f t="shared" si="39"/>
        <v>50309.820316666664</v>
      </c>
      <c r="R47"/>
      <c r="S47"/>
      <c r="T47"/>
      <c r="U47" s="261">
        <v>0</v>
      </c>
      <c r="V47" s="263">
        <f>ROUND(SUM(Q47,U47:U47),2)</f>
        <v>50309.82</v>
      </c>
      <c r="W47"/>
      <c r="X47"/>
      <c r="AA47" s="251"/>
      <c r="AD47" s="255"/>
      <c r="AE47" s="251"/>
    </row>
    <row r="48" spans="11:31">
      <c r="K48"/>
      <c r="L48"/>
      <c r="M48"/>
      <c r="N48"/>
      <c r="O48"/>
      <c r="P48" s="264"/>
      <c r="Q48"/>
      <c r="R48"/>
      <c r="S48"/>
      <c r="T48"/>
      <c r="U48"/>
      <c r="V48"/>
      <c r="W48"/>
      <c r="X48"/>
      <c r="Y48"/>
      <c r="Z48"/>
    </row>
    <row r="49" spans="10:31" ht="15" customHeight="1">
      <c r="K49" s="284" t="s">
        <v>878</v>
      </c>
      <c r="L49" s="813" t="s">
        <v>872</v>
      </c>
      <c r="M49" s="814"/>
      <c r="N49" s="814"/>
      <c r="O49" s="815"/>
      <c r="P49" s="296"/>
      <c r="R49"/>
      <c r="S49"/>
      <c r="T49"/>
      <c r="U49"/>
      <c r="V49"/>
      <c r="W49"/>
      <c r="X49"/>
      <c r="Y49"/>
      <c r="Z49"/>
      <c r="AA49" s="251"/>
      <c r="AC49" s="255"/>
      <c r="AE49" s="251"/>
    </row>
    <row r="50" spans="10:31">
      <c r="L50" s="810" t="s">
        <v>859</v>
      </c>
      <c r="M50" s="816" t="s">
        <v>860</v>
      </c>
      <c r="N50" s="808" t="s">
        <v>861</v>
      </c>
      <c r="O50" s="808" t="s">
        <v>610</v>
      </c>
      <c r="P50" s="808" t="s">
        <v>873</v>
      </c>
      <c r="Q50" s="810" t="s">
        <v>863</v>
      </c>
      <c r="R50" s="808" t="s">
        <v>874</v>
      </c>
      <c r="S50" s="808" t="s">
        <v>875</v>
      </c>
      <c r="U50" s="811" t="s">
        <v>864</v>
      </c>
      <c r="V50" s="811" t="s">
        <v>870</v>
      </c>
      <c r="W50" s="811" t="s">
        <v>871</v>
      </c>
      <c r="X50" s="811" t="s">
        <v>865</v>
      </c>
      <c r="Y50" s="808" t="s">
        <v>874</v>
      </c>
      <c r="Z50" s="808" t="s">
        <v>875</v>
      </c>
      <c r="AA50" s="251"/>
      <c r="AC50" s="255"/>
      <c r="AE50" s="251"/>
    </row>
    <row r="51" spans="10:31">
      <c r="K51"/>
      <c r="L51" s="810"/>
      <c r="M51" s="817"/>
      <c r="N51" s="809"/>
      <c r="O51" s="809"/>
      <c r="P51" s="809"/>
      <c r="Q51" s="810"/>
      <c r="R51" s="809"/>
      <c r="S51" s="809"/>
      <c r="U51" s="812"/>
      <c r="V51" s="812"/>
      <c r="W51" s="812"/>
      <c r="X51" s="812"/>
      <c r="Y51" s="809"/>
      <c r="Z51" s="809"/>
      <c r="AA51" s="251"/>
      <c r="AC51" s="255"/>
      <c r="AE51" s="251"/>
    </row>
    <row r="52" spans="10:31">
      <c r="J52" s="278"/>
      <c r="K52" s="56" t="s">
        <v>482</v>
      </c>
      <c r="L52" s="282">
        <f>L43</f>
        <v>27201.5</v>
      </c>
      <c r="M52" s="261">
        <f>VLOOKUP($M$32,$G$5:$I$5,3,0)</f>
        <v>285.73</v>
      </c>
      <c r="N52" s="261">
        <f>$I$8*L52</f>
        <v>4406.643</v>
      </c>
      <c r="O52" s="261">
        <f>$H$10*L52</f>
        <v>11982.260749999999</v>
      </c>
      <c r="P52" s="261">
        <f>L52*$I$9</f>
        <v>0</v>
      </c>
      <c r="Q52" s="261">
        <f>SUM(M52:P52)</f>
        <v>16674.633750000001</v>
      </c>
      <c r="R52" s="261">
        <f>Q52-Q43</f>
        <v>1510.569950000001</v>
      </c>
      <c r="S52" s="272">
        <f>R52/Q43</f>
        <v>9.9615114386421996E-2</v>
      </c>
      <c r="T52"/>
      <c r="U52" s="261">
        <v>0</v>
      </c>
      <c r="V52" s="261">
        <f>L52*$I$12</f>
        <v>0</v>
      </c>
      <c r="W52" s="261">
        <f>Q52*$J$13</f>
        <v>0</v>
      </c>
      <c r="X52" s="263">
        <f>ROUND(SUM(Q52,U52:W52),2)</f>
        <v>16674.63</v>
      </c>
      <c r="Y52" s="261">
        <f>X52-V43</f>
        <v>1510.5700000000015</v>
      </c>
      <c r="Z52" s="272">
        <f>Y52/V43</f>
        <v>9.9615142646494514E-2</v>
      </c>
      <c r="AA52" s="251"/>
      <c r="AC52" s="255"/>
      <c r="AE52" s="251"/>
    </row>
    <row r="53" spans="10:31">
      <c r="K53" s="56" t="s">
        <v>866</v>
      </c>
      <c r="L53" s="282">
        <f t="shared" ref="L53:L56" si="40">L44</f>
        <v>58016.75</v>
      </c>
      <c r="M53" s="261">
        <f t="shared" ref="M53:M56" si="41">VLOOKUP($M$32,$G$5:$I$5,3,0)</f>
        <v>285.73</v>
      </c>
      <c r="N53" s="261">
        <f t="shared" ref="N53:N56" si="42">$I$8*L53</f>
        <v>9398.7134999999998</v>
      </c>
      <c r="O53" s="261">
        <f t="shared" ref="O53:O55" si="43">$H$10*L53</f>
        <v>25556.378375</v>
      </c>
      <c r="P53" s="261">
        <f t="shared" ref="P53:P56" si="44">L53*$I$9</f>
        <v>0</v>
      </c>
      <c r="Q53" s="261">
        <f t="shared" ref="Q53:Q56" si="45">SUM(M53:P53)</f>
        <v>35240.821875000001</v>
      </c>
      <c r="R53" s="261">
        <f t="shared" ref="R53:R56" si="46">Q53-Q44</f>
        <v>3153.0227749999976</v>
      </c>
      <c r="S53" s="272">
        <f t="shared" ref="S53:S56" si="47">R53/Q44</f>
        <v>9.82623571399759E-2</v>
      </c>
      <c r="T53"/>
      <c r="U53" s="261">
        <v>0</v>
      </c>
      <c r="V53" s="261">
        <f t="shared" ref="V53:V56" si="48">L53*$I$12</f>
        <v>0</v>
      </c>
      <c r="W53" s="261">
        <f t="shared" ref="W53:W56" si="49">Q53*$J$13</f>
        <v>0</v>
      </c>
      <c r="X53" s="263">
        <f>ROUND(SUM(Q53,U53:W53),2)</f>
        <v>35240.82</v>
      </c>
      <c r="Y53" s="261">
        <f>X53-V44</f>
        <v>3153.0200000000004</v>
      </c>
      <c r="Z53" s="272">
        <f>Y53/V44</f>
        <v>9.826226790244269E-2</v>
      </c>
      <c r="AA53" s="251"/>
      <c r="AC53" s="255"/>
      <c r="AE53" s="251"/>
    </row>
    <row r="54" spans="10:31">
      <c r="K54" s="56" t="s">
        <v>520</v>
      </c>
      <c r="L54" s="282">
        <f t="shared" si="40"/>
        <v>264801.19999999995</v>
      </c>
      <c r="M54" s="261">
        <f t="shared" si="41"/>
        <v>285.73</v>
      </c>
      <c r="N54" s="261">
        <f t="shared" si="42"/>
        <v>42897.794399999992</v>
      </c>
      <c r="O54" s="261">
        <f t="shared" si="43"/>
        <v>116644.92859999998</v>
      </c>
      <c r="P54" s="261">
        <f t="shared" si="44"/>
        <v>0</v>
      </c>
      <c r="Q54" s="261">
        <f t="shared" si="45"/>
        <v>159828.45299999998</v>
      </c>
      <c r="R54" s="261">
        <f t="shared" si="46"/>
        <v>14174.633960000006</v>
      </c>
      <c r="S54" s="272">
        <f t="shared" si="47"/>
        <v>9.7317283222812842E-2</v>
      </c>
      <c r="T54"/>
      <c r="U54" s="261">
        <v>0</v>
      </c>
      <c r="V54" s="261">
        <f t="shared" si="48"/>
        <v>0</v>
      </c>
      <c r="W54" s="261">
        <f t="shared" si="49"/>
        <v>0</v>
      </c>
      <c r="X54" s="263">
        <f t="shared" ref="X54:X56" si="50">ROUND(SUM(Q54,U54:W54),2)</f>
        <v>159828.45000000001</v>
      </c>
      <c r="Y54" s="261">
        <f>X54-V45</f>
        <v>14174.630000000005</v>
      </c>
      <c r="Z54" s="272">
        <f>Y54/V45</f>
        <v>9.7317255393645039E-2</v>
      </c>
      <c r="AA54" s="251"/>
      <c r="AC54" s="255"/>
      <c r="AE54" s="251"/>
    </row>
    <row r="55" spans="10:31">
      <c r="K55" s="56" t="s">
        <v>868</v>
      </c>
      <c r="L55" s="282">
        <f t="shared" si="40"/>
        <v>306161.09999999998</v>
      </c>
      <c r="M55" s="261">
        <f t="shared" si="41"/>
        <v>285.73</v>
      </c>
      <c r="N55" s="261">
        <f t="shared" si="42"/>
        <v>49598.0982</v>
      </c>
      <c r="O55" s="261">
        <f t="shared" si="43"/>
        <v>134863.96455</v>
      </c>
      <c r="P55" s="261">
        <f t="shared" si="44"/>
        <v>0</v>
      </c>
      <c r="Q55" s="261">
        <f t="shared" si="45"/>
        <v>184747.79275000002</v>
      </c>
      <c r="R55" s="261">
        <f t="shared" si="46"/>
        <v>16379.116630000033</v>
      </c>
      <c r="S55" s="272">
        <f t="shared" si="47"/>
        <v>9.7281258054950095E-2</v>
      </c>
      <c r="T55"/>
      <c r="U55" s="261">
        <v>0</v>
      </c>
      <c r="V55" s="261">
        <f t="shared" si="48"/>
        <v>0</v>
      </c>
      <c r="W55" s="261">
        <f t="shared" si="49"/>
        <v>0</v>
      </c>
      <c r="X55" s="263">
        <f t="shared" si="50"/>
        <v>184747.79</v>
      </c>
      <c r="Y55" s="261">
        <f>X55-V46</f>
        <v>16379.110000000015</v>
      </c>
      <c r="Z55" s="272">
        <f>Y55/V46</f>
        <v>9.7281216435265841E-2</v>
      </c>
      <c r="AA55" s="251"/>
      <c r="AC55" s="255"/>
      <c r="AE55" s="251"/>
    </row>
    <row r="56" spans="10:31">
      <c r="K56" s="267" t="s">
        <v>877</v>
      </c>
      <c r="L56" s="282">
        <f t="shared" si="40"/>
        <v>91195.958333333328</v>
      </c>
      <c r="M56" s="261">
        <f t="shared" si="41"/>
        <v>285.73</v>
      </c>
      <c r="N56" s="261">
        <f t="shared" si="42"/>
        <v>14773.74525</v>
      </c>
      <c r="O56" s="261">
        <f>$H$10*L56</f>
        <v>40171.819645833333</v>
      </c>
      <c r="P56" s="261">
        <f t="shared" si="44"/>
        <v>0</v>
      </c>
      <c r="Q56" s="261">
        <f t="shared" si="45"/>
        <v>55231.294895833329</v>
      </c>
      <c r="R56" s="261">
        <f t="shared" si="46"/>
        <v>4921.4745791666646</v>
      </c>
      <c r="S56" s="272">
        <f t="shared" si="47"/>
        <v>9.7823338429540677E-2</v>
      </c>
      <c r="T56"/>
      <c r="U56" s="261">
        <v>0</v>
      </c>
      <c r="V56" s="261">
        <f t="shared" si="48"/>
        <v>0</v>
      </c>
      <c r="W56" s="261">
        <f t="shared" si="49"/>
        <v>0</v>
      </c>
      <c r="X56" s="263">
        <f t="shared" si="50"/>
        <v>55231.29</v>
      </c>
      <c r="Y56" s="261">
        <f>X56-V47</f>
        <v>4921.4700000000012</v>
      </c>
      <c r="Z56" s="272">
        <f>Y56/V47</f>
        <v>9.7823248025932133E-2</v>
      </c>
      <c r="AA56" s="251"/>
      <c r="AC56" s="255"/>
      <c r="AE56" s="251"/>
    </row>
    <row r="57" spans="10:31"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 s="251"/>
      <c r="AC57" s="255"/>
      <c r="AE57" s="251"/>
    </row>
    <row r="58" spans="10:31"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 s="251"/>
      <c r="AC58" s="255"/>
      <c r="AE58" s="251"/>
    </row>
    <row r="59" spans="10:31"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0:31"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0:31" ht="15" customHeight="1"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 s="251"/>
      <c r="AC61" s="255"/>
      <c r="AE61" s="251"/>
    </row>
    <row r="62" spans="10:31" ht="21.75" customHeight="1"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 s="251"/>
      <c r="AC62" s="255"/>
      <c r="AE62" s="251"/>
    </row>
    <row r="63" spans="10:31"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 s="251"/>
      <c r="AC63" s="255"/>
      <c r="AE63" s="251"/>
    </row>
    <row r="64" spans="10:31"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 s="251"/>
      <c r="AC64" s="255"/>
      <c r="AE64" s="251"/>
    </row>
    <row r="65" spans="11:31"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 s="251"/>
      <c r="AC65" s="255"/>
      <c r="AE65" s="251"/>
    </row>
    <row r="66" spans="11:31"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 s="251"/>
      <c r="AC66" s="255"/>
      <c r="AE66" s="251"/>
    </row>
    <row r="67" spans="11:31"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 s="251"/>
      <c r="AC67" s="255"/>
      <c r="AE67" s="251"/>
    </row>
    <row r="68" spans="11:31"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 s="251"/>
      <c r="AC68" s="255"/>
      <c r="AE68" s="251"/>
    </row>
    <row r="69" spans="11:31"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 s="251"/>
      <c r="AC69" s="255"/>
      <c r="AE69" s="251"/>
    </row>
    <row r="70" spans="11:31"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 s="251"/>
      <c r="AC70" s="255"/>
      <c r="AE70" s="251"/>
    </row>
  </sheetData>
  <mergeCells count="73">
    <mergeCell ref="K1:S1"/>
    <mergeCell ref="L3:O3"/>
    <mergeCell ref="L4:L5"/>
    <mergeCell ref="M4:M5"/>
    <mergeCell ref="N4:N5"/>
    <mergeCell ref="O4:O5"/>
    <mergeCell ref="Q4:Q5"/>
    <mergeCell ref="P4:P5"/>
    <mergeCell ref="Z14:Z15"/>
    <mergeCell ref="U4:U5"/>
    <mergeCell ref="V4:V5"/>
    <mergeCell ref="L13:O13"/>
    <mergeCell ref="L14:L15"/>
    <mergeCell ref="M14:M15"/>
    <mergeCell ref="N14:N15"/>
    <mergeCell ref="O14:O15"/>
    <mergeCell ref="Q14:Q15"/>
    <mergeCell ref="R14:R15"/>
    <mergeCell ref="S14:S15"/>
    <mergeCell ref="U14:U15"/>
    <mergeCell ref="V14:V15"/>
    <mergeCell ref="W14:W15"/>
    <mergeCell ref="X14:X15"/>
    <mergeCell ref="Y14:Y15"/>
    <mergeCell ref="L22:O22"/>
    <mergeCell ref="L23:L24"/>
    <mergeCell ref="M23:M24"/>
    <mergeCell ref="N23:N24"/>
    <mergeCell ref="O23:O24"/>
    <mergeCell ref="U23:U24"/>
    <mergeCell ref="V23:V24"/>
    <mergeCell ref="L31:O31"/>
    <mergeCell ref="L32:L33"/>
    <mergeCell ref="M32:M33"/>
    <mergeCell ref="N32:N33"/>
    <mergeCell ref="O32:O33"/>
    <mergeCell ref="Q32:Q33"/>
    <mergeCell ref="R32:R33"/>
    <mergeCell ref="Q23:Q24"/>
    <mergeCell ref="Q50:Q51"/>
    <mergeCell ref="Z32:Z33"/>
    <mergeCell ref="L40:O40"/>
    <mergeCell ref="L41:L42"/>
    <mergeCell ref="M41:M42"/>
    <mergeCell ref="N41:N42"/>
    <mergeCell ref="O41:O42"/>
    <mergeCell ref="Q41:Q42"/>
    <mergeCell ref="U41:U42"/>
    <mergeCell ref="V41:V42"/>
    <mergeCell ref="S32:S33"/>
    <mergeCell ref="U32:U33"/>
    <mergeCell ref="V32:V33"/>
    <mergeCell ref="W32:W33"/>
    <mergeCell ref="X32:X33"/>
    <mergeCell ref="Y32:Y33"/>
    <mergeCell ref="L49:O49"/>
    <mergeCell ref="L50:L51"/>
    <mergeCell ref="M50:M51"/>
    <mergeCell ref="N50:N51"/>
    <mergeCell ref="O50:O51"/>
    <mergeCell ref="Y50:Y51"/>
    <mergeCell ref="Z50:Z51"/>
    <mergeCell ref="R50:R51"/>
    <mergeCell ref="S50:S51"/>
    <mergeCell ref="U50:U51"/>
    <mergeCell ref="V50:V51"/>
    <mergeCell ref="W50:W51"/>
    <mergeCell ref="X50:X51"/>
    <mergeCell ref="P14:P15"/>
    <mergeCell ref="P23:P24"/>
    <mergeCell ref="P32:P33"/>
    <mergeCell ref="P41:P42"/>
    <mergeCell ref="P50:P51"/>
  </mergeCells>
  <conditionalFormatting sqref="I12">
    <cfRule type="containsBlanks" dxfId="115" priority="1">
      <formula>LEN(TRIM(I12))=0</formula>
    </cfRule>
  </conditionalFormatting>
  <printOptions horizontalCentered="1"/>
  <pageMargins left="0.45" right="0.45" top="1.25" bottom="0.75" header="0.5" footer="0.3"/>
  <pageSetup scale="84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0" max="25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E9C27-28E6-448E-B4FD-85ECD9696B81}">
  <sheetPr codeName="Sheet49">
    <tabColor rgb="FF7030A0"/>
    <pageSetUpPr fitToPage="1"/>
  </sheetPr>
  <dimension ref="A1:AF70"/>
  <sheetViews>
    <sheetView zoomScale="90" zoomScaleNormal="90" zoomScaleSheetLayoutView="70" workbookViewId="0">
      <selection activeCell="B6" sqref="B6"/>
    </sheetView>
  </sheetViews>
  <sheetFormatPr defaultColWidth="9.28515625" defaultRowHeight="15"/>
  <cols>
    <col min="1" max="3" width="9.28515625" style="251" customWidth="1"/>
    <col min="4" max="4" width="12.5703125" style="251" customWidth="1"/>
    <col min="5" max="5" width="14.42578125" style="251" customWidth="1"/>
    <col min="6" max="6" width="20.28515625" style="251" customWidth="1"/>
    <col min="7" max="7" width="22.42578125" style="57" customWidth="1"/>
    <col min="8" max="9" width="9.7109375" style="57" bestFit="1" customWidth="1"/>
    <col min="10" max="10" width="3.42578125" style="57" customWidth="1"/>
    <col min="11" max="11" width="12.28515625" style="57" bestFit="1" customWidth="1"/>
    <col min="12" max="17" width="10.28515625" style="57" customWidth="1"/>
    <col min="18" max="18" width="9.7109375" style="57" bestFit="1" customWidth="1"/>
    <col min="19" max="19" width="8.7109375" style="57" bestFit="1" customWidth="1"/>
    <col min="20" max="20" width="7.5703125" style="57" customWidth="1"/>
    <col min="21" max="21" width="7.7109375" style="57" customWidth="1"/>
    <col min="22" max="22" width="8.85546875" style="57" bestFit="1" customWidth="1"/>
    <col min="23" max="23" width="5.42578125" style="57" bestFit="1" customWidth="1"/>
    <col min="24" max="24" width="11.140625" style="57" bestFit="1" customWidth="1"/>
    <col min="25" max="25" width="9.7109375" style="57" bestFit="1" customWidth="1"/>
    <col min="26" max="27" width="7.5703125" style="57" customWidth="1"/>
    <col min="28" max="30" width="9.28515625" style="251"/>
    <col min="31" max="31" width="9.28515625" style="255"/>
    <col min="32" max="16384" width="9.28515625" style="251"/>
  </cols>
  <sheetData>
    <row r="1" spans="1:32">
      <c r="G1" s="57" t="s">
        <v>854</v>
      </c>
      <c r="H1" s="4">
        <v>5756</v>
      </c>
      <c r="I1" s="56" t="s">
        <v>545</v>
      </c>
      <c r="K1" s="818" t="s">
        <v>897</v>
      </c>
      <c r="L1" s="818"/>
      <c r="M1" s="818"/>
      <c r="N1" s="818"/>
      <c r="O1" s="818"/>
      <c r="P1" s="818"/>
      <c r="Q1" s="818"/>
      <c r="R1" s="818"/>
      <c r="S1" s="818"/>
      <c r="T1" s="253"/>
      <c r="U1" s="254"/>
    </row>
    <row r="2" spans="1:32">
      <c r="L2" s="256" t="s">
        <v>856</v>
      </c>
    </row>
    <row r="3" spans="1:32" ht="15" customHeight="1">
      <c r="I3" s="100"/>
      <c r="L3" s="813" t="s">
        <v>857</v>
      </c>
      <c r="M3" s="814"/>
      <c r="N3" s="814"/>
      <c r="O3" s="815"/>
      <c r="P3" s="296"/>
      <c r="T3" s="251"/>
      <c r="Z3" s="251"/>
      <c r="AA3" s="251"/>
      <c r="AC3" s="255"/>
      <c r="AE3" s="251"/>
    </row>
    <row r="4" spans="1:32" ht="21.75" customHeight="1">
      <c r="A4" s="251" t="s">
        <v>598</v>
      </c>
      <c r="B4" s="251" t="s">
        <v>599</v>
      </c>
      <c r="C4" s="251" t="s">
        <v>587</v>
      </c>
      <c r="D4" s="251" t="s">
        <v>600</v>
      </c>
      <c r="E4" s="251" t="s">
        <v>601</v>
      </c>
      <c r="F4" s="251" t="s">
        <v>858</v>
      </c>
      <c r="H4" s="257" t="s">
        <v>828</v>
      </c>
      <c r="I4" s="257" t="s">
        <v>551</v>
      </c>
      <c r="L4" s="810" t="s">
        <v>859</v>
      </c>
      <c r="M4" s="816" t="s">
        <v>860</v>
      </c>
      <c r="N4" s="808" t="s">
        <v>861</v>
      </c>
      <c r="O4" s="808" t="s">
        <v>610</v>
      </c>
      <c r="P4" s="808" t="s">
        <v>862</v>
      </c>
      <c r="Q4" s="810" t="s">
        <v>863</v>
      </c>
      <c r="U4" s="811" t="s">
        <v>864</v>
      </c>
      <c r="V4" s="811" t="s">
        <v>865</v>
      </c>
      <c r="AA4" s="251"/>
      <c r="AD4" s="255"/>
      <c r="AE4" s="251"/>
    </row>
    <row r="5" spans="1:32">
      <c r="A5" s="100">
        <v>41030</v>
      </c>
      <c r="B5" s="100">
        <v>46082</v>
      </c>
      <c r="C5" s="251" t="str">
        <f>I1</f>
        <v>GTNILVS</v>
      </c>
      <c r="D5" s="100" t="str">
        <f t="shared" ref="D5:E11" si="0">IF(C5="","",A5&amp;$C5)</f>
        <v>41030GTNILVS</v>
      </c>
      <c r="E5" s="100" t="str">
        <f t="shared" si="0"/>
        <v>46082GTNILVS</v>
      </c>
      <c r="F5" s="251" t="str">
        <f>IFERROR(IF(VLOOKUP(G5,Lookup!$A$1:$B$200,2,0)="","",VLOOKUP(G5,Lookup!$A$1:$B$200,2,0)),"")</f>
        <v>BASIC_SERVICE_CHARGE</v>
      </c>
      <c r="G5" s="258" t="s">
        <v>607</v>
      </c>
      <c r="H5" s="259">
        <f>VLOOKUP(D5,'UNSG - ALL RATES'!$A$1:$DF$43,MATCH($F5,'UNSG - ALL RATES'!$A$2:$DF$2,0),0)</f>
        <v>225</v>
      </c>
      <c r="I5" s="259">
        <f>VLOOKUP(E5,'UNSG - ALL RATES'!$A$1:$DF$43,MATCH($F5,'UNSG - ALL RATES'!$A$2:$DF$2,0),0)</f>
        <v>285.73</v>
      </c>
      <c r="J5" s="259"/>
      <c r="L5" s="810"/>
      <c r="M5" s="817"/>
      <c r="N5" s="809"/>
      <c r="O5" s="809"/>
      <c r="P5" s="809"/>
      <c r="Q5" s="810"/>
      <c r="T5" s="251"/>
      <c r="U5" s="812"/>
      <c r="V5" s="812"/>
      <c r="Z5" s="251"/>
      <c r="AA5" s="251"/>
      <c r="AC5" s="255"/>
      <c r="AE5" s="251"/>
    </row>
    <row r="6" spans="1:32">
      <c r="A6" s="100">
        <v>41030</v>
      </c>
      <c r="B6" s="100">
        <f>$B$5</f>
        <v>46082</v>
      </c>
      <c r="C6" s="251" t="str">
        <f>C5</f>
        <v>GTNILVS</v>
      </c>
      <c r="D6" s="100" t="str">
        <f t="shared" si="0"/>
        <v>41030GTNILVS</v>
      </c>
      <c r="E6" s="100" t="str">
        <f t="shared" si="0"/>
        <v>46082GTNILVS</v>
      </c>
      <c r="F6" s="251" t="str">
        <f>IFERROR(IF(VLOOKUP(G6,Lookup!$A$1:$B$200,2,0)="","",VLOOKUP(G6,Lookup!$A$1:$B$200,2,0)),"")</f>
        <v/>
      </c>
      <c r="G6" s="258"/>
      <c r="H6" s="259"/>
      <c r="I6" s="259"/>
      <c r="J6" s="259"/>
      <c r="K6" s="56" t="s">
        <v>482</v>
      </c>
      <c r="L6" s="260">
        <f>AVERAGE(L25,L43)</f>
        <v>38300</v>
      </c>
      <c r="M6" s="261">
        <f>VLOOKUP(M4,$G$5:$I$5,2,0)</f>
        <v>225</v>
      </c>
      <c r="N6" s="261">
        <f>$H$8*L6</f>
        <v>4779.84</v>
      </c>
      <c r="O6" s="261">
        <f>$H$10*L6</f>
        <v>16871.150000000001</v>
      </c>
      <c r="P6" s="261">
        <f>L6*$H$9</f>
        <v>-616.63</v>
      </c>
      <c r="Q6" s="261">
        <f>SUM(M6:P6)</f>
        <v>21259.360000000001</v>
      </c>
      <c r="T6" s="262"/>
      <c r="U6" s="261">
        <v>0</v>
      </c>
      <c r="V6" s="263">
        <f>ROUND(SUM(Q6,U6:U6),2)</f>
        <v>21259.360000000001</v>
      </c>
      <c r="Y6" s="262"/>
      <c r="Z6" s="251"/>
      <c r="AA6" s="251"/>
      <c r="AC6" s="255"/>
      <c r="AE6" s="251"/>
    </row>
    <row r="7" spans="1:32">
      <c r="A7" s="100">
        <v>41030</v>
      </c>
      <c r="B7" s="100">
        <f t="shared" ref="B7:B18" si="1">$B$5</f>
        <v>46082</v>
      </c>
      <c r="C7" s="251" t="str">
        <f t="shared" ref="C7:C18" si="2">C6</f>
        <v>GTNILVS</v>
      </c>
      <c r="D7" s="100" t="str">
        <f t="shared" si="0"/>
        <v>41030GTNILVS</v>
      </c>
      <c r="E7" s="100" t="str">
        <f t="shared" si="0"/>
        <v>46082GTNILVS</v>
      </c>
      <c r="F7" s="251" t="str">
        <f>IFERROR(IF(VLOOKUP(G7,Lookup!$A$1:$B$200,2,0)="","",VLOOKUP(G7,Lookup!$A$1:$B$200,2,0)),"")</f>
        <v/>
      </c>
      <c r="G7" s="258" t="s">
        <v>512</v>
      </c>
      <c r="H7" s="259"/>
      <c r="I7" s="259"/>
      <c r="J7" s="264"/>
      <c r="K7" s="56" t="s">
        <v>866</v>
      </c>
      <c r="L7" s="260">
        <f t="shared" ref="L7:L10" si="3">AVERAGE(L26,L44)</f>
        <v>77587.5</v>
      </c>
      <c r="M7" s="261">
        <f>M6</f>
        <v>225</v>
      </c>
      <c r="N7" s="261">
        <f t="shared" ref="N7:N10" si="4">$H$8*L7</f>
        <v>9682.92</v>
      </c>
      <c r="O7" s="261">
        <f t="shared" ref="O7:O10" si="5">$H$10*L7</f>
        <v>34177.293749999997</v>
      </c>
      <c r="P7" s="261">
        <f t="shared" ref="P7:P10" si="6">L7*$H$9</f>
        <v>-1249.1587500000001</v>
      </c>
      <c r="Q7" s="261">
        <f t="shared" ref="Q7:Q10" si="7">SUM(M7:P7)</f>
        <v>42836.054999999993</v>
      </c>
      <c r="T7" s="262"/>
      <c r="U7" s="261">
        <v>0</v>
      </c>
      <c r="V7" s="263">
        <f>ROUND(SUM(Q7,U7:U7),2)</f>
        <v>42836.06</v>
      </c>
      <c r="Y7" s="262"/>
      <c r="Z7" s="251"/>
      <c r="AA7" s="251"/>
      <c r="AC7" s="255"/>
      <c r="AE7" s="251"/>
    </row>
    <row r="8" spans="1:32">
      <c r="A8" s="100">
        <v>41030</v>
      </c>
      <c r="B8" s="100">
        <f t="shared" si="1"/>
        <v>46082</v>
      </c>
      <c r="C8" s="251" t="str">
        <f t="shared" si="2"/>
        <v>GTNILVS</v>
      </c>
      <c r="D8" s="100" t="str">
        <f t="shared" si="0"/>
        <v>41030GTNILVS</v>
      </c>
      <c r="E8" s="100" t="str">
        <f t="shared" si="0"/>
        <v>46082GTNILVS</v>
      </c>
      <c r="F8" s="251" t="str">
        <f>IFERROR(IF(VLOOKUP(G8,Lookup!$A$1:$B$200,2,0)="","",VLOOKUP(G8,Lookup!$A$1:$B$200,2,0)),"")</f>
        <v>THERM_DELIVERY_TIER1</v>
      </c>
      <c r="G8" s="57" t="s">
        <v>609</v>
      </c>
      <c r="H8" s="265">
        <f>VLOOKUP(D8,'UNSG - ALL RATES'!$A$1:$DF$43,MATCH($F8,'UNSG - ALL RATES'!$A$2:$DF$2,0),0)</f>
        <v>0.12479999999999999</v>
      </c>
      <c r="I8" s="265">
        <f>VLOOKUP(E8,'UNSG - ALL RATES'!$A$1:$DF$43,MATCH($F8,'UNSG - ALL RATES'!$A$2:$DF$2,0),0)</f>
        <v>0.16200000000000001</v>
      </c>
      <c r="J8" s="264"/>
      <c r="K8" s="56" t="s">
        <v>520</v>
      </c>
      <c r="L8" s="260">
        <f t="shared" si="3"/>
        <v>283462.94999999995</v>
      </c>
      <c r="M8" s="261">
        <f t="shared" ref="M8:M10" si="8">M7</f>
        <v>225</v>
      </c>
      <c r="N8" s="261">
        <f t="shared" si="4"/>
        <v>35376.176159999995</v>
      </c>
      <c r="O8" s="261">
        <f t="shared" si="5"/>
        <v>124865.42947499998</v>
      </c>
      <c r="P8" s="261">
        <f t="shared" si="6"/>
        <v>-4563.753494999999</v>
      </c>
      <c r="Q8" s="261">
        <f t="shared" si="7"/>
        <v>155902.85213999997</v>
      </c>
      <c r="T8" s="262"/>
      <c r="U8" s="261">
        <v>0</v>
      </c>
      <c r="V8" s="263">
        <f>ROUND(SUM(Q8,U8:U8),2)</f>
        <v>155902.85</v>
      </c>
      <c r="Y8" s="262"/>
      <c r="Z8" s="251"/>
      <c r="AA8" s="251"/>
      <c r="AC8" s="255"/>
      <c r="AE8" s="251"/>
    </row>
    <row r="9" spans="1:32">
      <c r="A9" s="100">
        <v>41030</v>
      </c>
      <c r="B9" s="100">
        <f t="shared" si="1"/>
        <v>46082</v>
      </c>
      <c r="C9" s="251" t="str">
        <f t="shared" si="2"/>
        <v>GTNILVS</v>
      </c>
      <c r="D9" s="100" t="str">
        <f t="shared" si="0"/>
        <v>41030GTNILVS</v>
      </c>
      <c r="E9" s="100" t="str">
        <f t="shared" si="0"/>
        <v>46082GTNILVS</v>
      </c>
      <c r="F9" s="251" t="str">
        <f>IFERROR(IF(VLOOKUP(G9,Lookup!$A$1:$B$200,2,0)="","",VLOOKUP(G9,Lookup!$A$1:$B$200,2,0)),"")</f>
        <v/>
      </c>
      <c r="G9" s="57" t="s">
        <v>867</v>
      </c>
      <c r="H9" s="264">
        <v>-1.61E-2</v>
      </c>
      <c r="I9" s="674">
        <v>0</v>
      </c>
      <c r="J9" s="264"/>
      <c r="K9" s="56" t="s">
        <v>868</v>
      </c>
      <c r="L9" s="260">
        <f t="shared" si="3"/>
        <v>378808.99999999983</v>
      </c>
      <c r="M9" s="261">
        <f t="shared" si="8"/>
        <v>225</v>
      </c>
      <c r="N9" s="261">
        <f t="shared" si="4"/>
        <v>47275.363199999978</v>
      </c>
      <c r="O9" s="261">
        <f t="shared" si="5"/>
        <v>166865.36449999994</v>
      </c>
      <c r="P9" s="261">
        <f t="shared" si="6"/>
        <v>-6098.8248999999969</v>
      </c>
      <c r="Q9" s="261">
        <f t="shared" si="7"/>
        <v>208266.90279999992</v>
      </c>
      <c r="T9" s="262"/>
      <c r="U9" s="261">
        <v>0</v>
      </c>
      <c r="V9" s="263">
        <f>ROUND(SUM(Q9,U9:U9),2)</f>
        <v>208266.9</v>
      </c>
      <c r="Y9" s="262"/>
      <c r="Z9" s="251"/>
      <c r="AA9" s="251"/>
      <c r="AC9" s="255"/>
      <c r="AE9" s="251"/>
    </row>
    <row r="10" spans="1:32">
      <c r="A10" s="100">
        <v>41030</v>
      </c>
      <c r="B10" s="100">
        <f t="shared" si="1"/>
        <v>46082</v>
      </c>
      <c r="C10" s="251" t="str">
        <f t="shared" si="2"/>
        <v>GTNILVS</v>
      </c>
      <c r="D10" s="100" t="str">
        <f t="shared" si="0"/>
        <v>41030GTNILVS</v>
      </c>
      <c r="E10" s="100" t="str">
        <f t="shared" si="0"/>
        <v>46082GTNILVS</v>
      </c>
      <c r="F10" s="251" t="str">
        <f>IFERROR(IF(VLOOKUP(G10,Lookup!$A$1:$B$200,2,0)="","",VLOOKUP(G10,Lookup!$A$1:$B$200,2,0)),"")</f>
        <v/>
      </c>
      <c r="G10" s="266" t="s">
        <v>610</v>
      </c>
      <c r="H10" s="264">
        <f>'PGA Calculation'!$B$3</f>
        <v>0.4405</v>
      </c>
      <c r="I10" s="264">
        <f>'PGA Calculation'!$B$13</f>
        <v>0.44669999999999999</v>
      </c>
      <c r="J10" s="264"/>
      <c r="K10" s="267" t="s">
        <v>869</v>
      </c>
      <c r="L10" s="260">
        <f t="shared" si="3"/>
        <v>106041.27083333333</v>
      </c>
      <c r="M10" s="261">
        <f t="shared" si="8"/>
        <v>225</v>
      </c>
      <c r="N10" s="261">
        <f t="shared" si="4"/>
        <v>13233.950599999998</v>
      </c>
      <c r="O10" s="261">
        <f t="shared" si="5"/>
        <v>46711.17980208333</v>
      </c>
      <c r="P10" s="261">
        <f t="shared" si="6"/>
        <v>-1707.2644604166665</v>
      </c>
      <c r="Q10" s="261">
        <f t="shared" si="7"/>
        <v>58462.865941666663</v>
      </c>
      <c r="T10" s="262"/>
      <c r="U10" s="261">
        <v>0</v>
      </c>
      <c r="V10" s="263">
        <f>ROUND(SUM(Q10,U10:U10),2)</f>
        <v>58462.87</v>
      </c>
      <c r="Y10" s="262"/>
      <c r="Z10" s="251"/>
      <c r="AA10" s="251"/>
      <c r="AC10" s="255"/>
      <c r="AE10" s="251"/>
    </row>
    <row r="11" spans="1:32">
      <c r="A11" s="100">
        <v>41030</v>
      </c>
      <c r="B11" s="100">
        <f t="shared" si="1"/>
        <v>46082</v>
      </c>
      <c r="C11" s="251" t="str">
        <f t="shared" si="2"/>
        <v>GTNILVS</v>
      </c>
      <c r="D11" s="100" t="str">
        <f t="shared" si="0"/>
        <v>41030GTNILVS</v>
      </c>
      <c r="E11" s="100" t="str">
        <f t="shared" si="0"/>
        <v>46082GTNILVS</v>
      </c>
      <c r="F11" s="251" t="str">
        <f>IFERROR(IF(VLOOKUP(G11,Lookup!$A$1:$B$200,2,0)="","",VLOOKUP(G11,Lookup!$A$1:$B$200,2,0)),"")</f>
        <v/>
      </c>
      <c r="G11" s="258"/>
      <c r="H11" s="264"/>
      <c r="I11"/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V11" s="268"/>
      <c r="W11" s="268"/>
      <c r="X11" s="268"/>
      <c r="Y11" s="269"/>
      <c r="AA11" s="262"/>
    </row>
    <row r="12" spans="1:32">
      <c r="A12" s="100"/>
      <c r="B12" s="100"/>
      <c r="D12" s="100"/>
      <c r="E12" s="100"/>
      <c r="G12" s="258" t="s">
        <v>870</v>
      </c>
      <c r="H12" s="264">
        <v>0</v>
      </c>
      <c r="I12" s="669">
        <f>'UNSG Riders- Current'!$C$3</f>
        <v>0</v>
      </c>
      <c r="J12" s="264"/>
      <c r="Q12" s="270"/>
    </row>
    <row r="13" spans="1:32" ht="15" customHeight="1">
      <c r="A13" s="100">
        <v>41030</v>
      </c>
      <c r="B13" s="100">
        <f t="shared" si="1"/>
        <v>46082</v>
      </c>
      <c r="C13" s="251" t="str">
        <f>C11</f>
        <v>GTNILVS</v>
      </c>
      <c r="D13" s="100" t="str">
        <f t="shared" ref="D13:E18" si="9">IF(C13="","",A13&amp;$C13)</f>
        <v>41030GTNILVS</v>
      </c>
      <c r="E13" s="100" t="str">
        <f t="shared" si="9"/>
        <v>46082GTNILVS</v>
      </c>
      <c r="F13" s="251" t="str">
        <f>IFERROR(IF(VLOOKUP(G13,Lookup!$A$1:$B$200,2,0)="","",VLOOKUP(G13,Lookup!$A$1:$B$200,2,0)),"")</f>
        <v/>
      </c>
      <c r="G13" s="266" t="s">
        <v>871</v>
      </c>
      <c r="H13" s="264">
        <v>0</v>
      </c>
      <c r="I13" s="675">
        <f>'UNSG Riders- Current'!$C$5</f>
        <v>0</v>
      </c>
      <c r="L13" s="813" t="s">
        <v>872</v>
      </c>
      <c r="M13" s="814"/>
      <c r="N13" s="814"/>
      <c r="O13" s="815"/>
      <c r="P13" s="296"/>
      <c r="T13" s="251"/>
      <c r="V13" s="271"/>
      <c r="Z13" s="251"/>
      <c r="AA13" s="251"/>
      <c r="AC13" s="255"/>
      <c r="AE13" s="251"/>
    </row>
    <row r="14" spans="1:32" ht="22.5" customHeight="1">
      <c r="A14" s="100">
        <v>41030</v>
      </c>
      <c r="B14" s="100">
        <f t="shared" si="1"/>
        <v>46082</v>
      </c>
      <c r="C14" s="251" t="str">
        <f t="shared" si="2"/>
        <v>GTNILVS</v>
      </c>
      <c r="D14" s="100" t="str">
        <f t="shared" si="9"/>
        <v>41030GTNILVS</v>
      </c>
      <c r="E14" s="100" t="str">
        <f t="shared" si="9"/>
        <v>46082GTNILVS</v>
      </c>
      <c r="F14" s="251" t="str">
        <f>IFERROR(IF(VLOOKUP(G14,Lookup!$A$1:$B$200,2,0)="","",VLOOKUP(G14,Lookup!$A$1:$B$200,2,0)),"")</f>
        <v/>
      </c>
      <c r="I14"/>
      <c r="L14" s="810" t="s">
        <v>859</v>
      </c>
      <c r="M14" s="816" t="s">
        <v>860</v>
      </c>
      <c r="N14" s="808" t="s">
        <v>861</v>
      </c>
      <c r="O14" s="808" t="s">
        <v>610</v>
      </c>
      <c r="P14" s="808" t="s">
        <v>873</v>
      </c>
      <c r="Q14" s="810" t="s">
        <v>863</v>
      </c>
      <c r="R14" s="808" t="s">
        <v>874</v>
      </c>
      <c r="S14" s="808" t="s">
        <v>875</v>
      </c>
      <c r="U14" s="811" t="s">
        <v>864</v>
      </c>
      <c r="V14" s="811" t="s">
        <v>870</v>
      </c>
      <c r="W14" s="811" t="s">
        <v>871</v>
      </c>
      <c r="X14" s="811" t="s">
        <v>865</v>
      </c>
      <c r="Y14" s="808" t="s">
        <v>874</v>
      </c>
      <c r="Z14" s="808" t="s">
        <v>875</v>
      </c>
      <c r="AB14" s="57"/>
      <c r="AE14" s="251"/>
      <c r="AF14" s="255"/>
    </row>
    <row r="15" spans="1:32" ht="16.5" customHeight="1">
      <c r="A15" s="100">
        <v>41030</v>
      </c>
      <c r="B15" s="100">
        <f t="shared" si="1"/>
        <v>46082</v>
      </c>
      <c r="C15" s="251" t="str">
        <f t="shared" si="2"/>
        <v>GTNILVS</v>
      </c>
      <c r="D15" s="100" t="str">
        <f t="shared" si="9"/>
        <v>41030GTNILVS</v>
      </c>
      <c r="E15" s="100" t="str">
        <f t="shared" si="9"/>
        <v>46082GTNILVS</v>
      </c>
      <c r="F15" s="251" t="str">
        <f>IFERROR(IF(VLOOKUP(G15,Lookup!$A$1:$B$200,2,0)="","",VLOOKUP(G15,Lookup!$A$1:$B$200,2,0)),"")</f>
        <v/>
      </c>
      <c r="H15" s="264"/>
      <c r="I15"/>
      <c r="L15" s="810"/>
      <c r="M15" s="817"/>
      <c r="N15" s="809"/>
      <c r="O15" s="809"/>
      <c r="P15" s="809"/>
      <c r="Q15" s="810"/>
      <c r="R15" s="809"/>
      <c r="S15" s="809"/>
      <c r="U15" s="812"/>
      <c r="V15" s="812"/>
      <c r="W15" s="812"/>
      <c r="X15" s="812"/>
      <c r="Y15" s="809"/>
      <c r="Z15" s="809"/>
      <c r="AB15" s="57"/>
      <c r="AE15" s="251"/>
      <c r="AF15" s="255"/>
    </row>
    <row r="16" spans="1:32">
      <c r="A16" s="100">
        <v>41030</v>
      </c>
      <c r="B16" s="100">
        <f t="shared" si="1"/>
        <v>46082</v>
      </c>
      <c r="C16" s="251" t="str">
        <f t="shared" si="2"/>
        <v>GTNILVS</v>
      </c>
      <c r="D16" s="100" t="str">
        <f t="shared" si="9"/>
        <v>41030GTNILVS</v>
      </c>
      <c r="E16" s="100" t="str">
        <f t="shared" si="9"/>
        <v>46082GTNILVS</v>
      </c>
      <c r="G16" s="130"/>
      <c r="H16" s="264"/>
      <c r="I16" s="264"/>
      <c r="J16" s="264"/>
      <c r="K16" s="56" t="s">
        <v>482</v>
      </c>
      <c r="L16" s="260">
        <f>L6</f>
        <v>38300</v>
      </c>
      <c r="M16" s="261">
        <f>VLOOKUP(M14,$G$5:$I$5,3,0)</f>
        <v>285.73</v>
      </c>
      <c r="N16" s="261">
        <f>$I$8*L16</f>
        <v>6204.6</v>
      </c>
      <c r="O16" s="261">
        <f>$I$10*L16</f>
        <v>17108.61</v>
      </c>
      <c r="P16" s="261">
        <f>L16*$I$9</f>
        <v>0</v>
      </c>
      <c r="Q16" s="261">
        <f>SUM(M16:P16)</f>
        <v>23598.940000000002</v>
      </c>
      <c r="R16" s="261">
        <f>Q16-Q6</f>
        <v>2339.5800000000017</v>
      </c>
      <c r="S16" s="272">
        <f>R16/Q6</f>
        <v>0.11004940882510111</v>
      </c>
      <c r="T16" s="273"/>
      <c r="U16" s="261">
        <v>0</v>
      </c>
      <c r="V16" s="261">
        <f>L16*$I$12</f>
        <v>0</v>
      </c>
      <c r="W16" s="261">
        <f>Q16*$J$13</f>
        <v>0</v>
      </c>
      <c r="X16" s="263">
        <f>ROUND(SUM(Q16,U16:W16),2)</f>
        <v>23598.94</v>
      </c>
      <c r="Y16" s="261">
        <f>X16-V6</f>
        <v>2339.5799999999981</v>
      </c>
      <c r="Z16" s="272">
        <f>Y16/V6</f>
        <v>0.11004940882510095</v>
      </c>
      <c r="AB16" s="57"/>
      <c r="AE16" s="251"/>
      <c r="AF16" s="255"/>
    </row>
    <row r="17" spans="1:32">
      <c r="A17" s="100">
        <v>41030</v>
      </c>
      <c r="B17" s="100">
        <f t="shared" si="1"/>
        <v>46082</v>
      </c>
      <c r="C17" s="251" t="str">
        <f t="shared" si="2"/>
        <v>GTNILVS</v>
      </c>
      <c r="D17" s="100" t="str">
        <f t="shared" si="9"/>
        <v>41030GTNILVS</v>
      </c>
      <c r="E17" s="100" t="str">
        <f t="shared" si="9"/>
        <v>46082GTNILVS</v>
      </c>
      <c r="H17" s="274"/>
      <c r="I17" s="274"/>
      <c r="J17" s="264"/>
      <c r="K17" s="56" t="s">
        <v>866</v>
      </c>
      <c r="L17" s="260">
        <f t="shared" ref="L17:L20" si="10">L7</f>
        <v>77587.5</v>
      </c>
      <c r="M17" s="261">
        <f>M16</f>
        <v>285.73</v>
      </c>
      <c r="N17" s="261">
        <f t="shared" ref="N17:N20" si="11">$I$8*L17</f>
        <v>12569.175000000001</v>
      </c>
      <c r="O17" s="261">
        <f t="shared" ref="O17:O20" si="12">$I$10*L17</f>
        <v>34658.33625</v>
      </c>
      <c r="P17" s="261">
        <f t="shared" ref="P17:P20" si="13">L17*$I$9</f>
        <v>0</v>
      </c>
      <c r="Q17" s="261">
        <f t="shared" ref="Q17:Q20" si="14">SUM(M17:P17)</f>
        <v>47513.241249999999</v>
      </c>
      <c r="R17" s="261">
        <f>Q17-Q7</f>
        <v>4677.1862500000061</v>
      </c>
      <c r="S17" s="272">
        <f>R17/Q7</f>
        <v>0.10918807182407453</v>
      </c>
      <c r="T17" s="273"/>
      <c r="U17" s="261">
        <v>0</v>
      </c>
      <c r="V17" s="261">
        <f t="shared" ref="V17:V20" si="15">L17*$I$12</f>
        <v>0</v>
      </c>
      <c r="W17" s="261">
        <f t="shared" ref="W17:W20" si="16">Q17*$J$13</f>
        <v>0</v>
      </c>
      <c r="X17" s="263">
        <f t="shared" ref="X17:X20" si="17">ROUND(SUM(Q17,U17:W17),2)</f>
        <v>47513.24</v>
      </c>
      <c r="Y17" s="261">
        <f>X17-V7</f>
        <v>4677.18</v>
      </c>
      <c r="Z17" s="272">
        <f>Y17/V7</f>
        <v>0.10918791317408745</v>
      </c>
      <c r="AB17" s="57"/>
      <c r="AE17" s="251"/>
      <c r="AF17" s="255"/>
    </row>
    <row r="18" spans="1:32">
      <c r="A18" s="100">
        <v>41030</v>
      </c>
      <c r="B18" s="100">
        <f t="shared" si="1"/>
        <v>46082</v>
      </c>
      <c r="C18" s="251" t="str">
        <f t="shared" si="2"/>
        <v>GTNILVS</v>
      </c>
      <c r="D18" s="100" t="str">
        <f t="shared" si="9"/>
        <v>41030GTNILVS</v>
      </c>
      <c r="E18" s="100" t="str">
        <f t="shared" si="9"/>
        <v>46082GTNILVS</v>
      </c>
      <c r="F18" s="251" t="str">
        <f>IFERROR(IF(VLOOKUP(G18,Lookup!$A$1:$B$200,2,0)="","",VLOOKUP(G18,Lookup!$A$1:$B$200,2,0)),"")</f>
        <v/>
      </c>
      <c r="G18"/>
      <c r="H18"/>
      <c r="I18"/>
      <c r="J18" s="264"/>
      <c r="K18" s="56" t="s">
        <v>520</v>
      </c>
      <c r="L18" s="260">
        <f t="shared" si="10"/>
        <v>283462.94999999995</v>
      </c>
      <c r="M18" s="261">
        <f t="shared" ref="M18:M20" si="18">M17</f>
        <v>285.73</v>
      </c>
      <c r="N18" s="261">
        <f t="shared" si="11"/>
        <v>45920.997899999995</v>
      </c>
      <c r="O18" s="261">
        <f t="shared" si="12"/>
        <v>126622.89976499998</v>
      </c>
      <c r="P18" s="261">
        <f t="shared" si="13"/>
        <v>0</v>
      </c>
      <c r="Q18" s="261">
        <f t="shared" si="14"/>
        <v>172829.62766499998</v>
      </c>
      <c r="R18" s="261">
        <f>Q18-Q8</f>
        <v>16926.775525000005</v>
      </c>
      <c r="S18" s="272">
        <f>R18/Q8</f>
        <v>0.10857258409743425</v>
      </c>
      <c r="T18" s="273"/>
      <c r="U18" s="261">
        <v>0</v>
      </c>
      <c r="V18" s="261">
        <f t="shared" si="15"/>
        <v>0</v>
      </c>
      <c r="W18" s="261">
        <f t="shared" si="16"/>
        <v>0</v>
      </c>
      <c r="X18" s="263">
        <f t="shared" si="17"/>
        <v>172829.63</v>
      </c>
      <c r="Y18" s="261">
        <f>X18-V8</f>
        <v>16926.78</v>
      </c>
      <c r="Z18" s="272">
        <f>Y18/V8</f>
        <v>0.10857261429152834</v>
      </c>
      <c r="AB18" s="57"/>
      <c r="AE18" s="251"/>
      <c r="AF18" s="255"/>
    </row>
    <row r="19" spans="1:32">
      <c r="K19" s="56" t="s">
        <v>868</v>
      </c>
      <c r="L19" s="260">
        <f t="shared" si="10"/>
        <v>378808.99999999983</v>
      </c>
      <c r="M19" s="261">
        <f t="shared" si="18"/>
        <v>285.73</v>
      </c>
      <c r="N19" s="261">
        <f t="shared" si="11"/>
        <v>61367.057999999975</v>
      </c>
      <c r="O19" s="261">
        <f t="shared" si="12"/>
        <v>169213.98029999991</v>
      </c>
      <c r="P19" s="261">
        <f t="shared" si="13"/>
        <v>0</v>
      </c>
      <c r="Q19" s="261">
        <f t="shared" si="14"/>
        <v>230866.76829999988</v>
      </c>
      <c r="R19" s="261">
        <f>Q19-Q9</f>
        <v>22599.865499999956</v>
      </c>
      <c r="S19" s="272">
        <f>R19/Q9</f>
        <v>0.10851395587182067</v>
      </c>
      <c r="T19" s="273"/>
      <c r="U19" s="261">
        <v>0</v>
      </c>
      <c r="V19" s="261">
        <f t="shared" si="15"/>
        <v>0</v>
      </c>
      <c r="W19" s="261">
        <f t="shared" si="16"/>
        <v>0</v>
      </c>
      <c r="X19" s="263">
        <f t="shared" si="17"/>
        <v>230866.77</v>
      </c>
      <c r="Y19" s="261">
        <f>X19-V9</f>
        <v>22599.869999999995</v>
      </c>
      <c r="Z19" s="272">
        <f>Y19/V9</f>
        <v>0.1085139789376036</v>
      </c>
      <c r="AB19" s="57"/>
      <c r="AE19" s="251"/>
      <c r="AF19" s="255"/>
    </row>
    <row r="20" spans="1:32">
      <c r="H20" s="262"/>
      <c r="K20" s="267" t="s">
        <v>869</v>
      </c>
      <c r="L20" s="260">
        <f t="shared" si="10"/>
        <v>106041.27083333333</v>
      </c>
      <c r="M20" s="261">
        <f t="shared" si="18"/>
        <v>285.73</v>
      </c>
      <c r="N20" s="261">
        <f t="shared" si="11"/>
        <v>17178.685874999999</v>
      </c>
      <c r="O20" s="261">
        <f t="shared" si="12"/>
        <v>47368.635681249994</v>
      </c>
      <c r="P20" s="261">
        <f t="shared" si="13"/>
        <v>0</v>
      </c>
      <c r="Q20" s="261">
        <f t="shared" si="14"/>
        <v>64833.051556249993</v>
      </c>
      <c r="R20" s="261">
        <f>Q20-Q10</f>
        <v>6370.1856145833299</v>
      </c>
      <c r="S20" s="272">
        <f>R20/Q10</f>
        <v>0.10896122713072948</v>
      </c>
      <c r="T20" s="273"/>
      <c r="U20" s="261">
        <v>0</v>
      </c>
      <c r="V20" s="261">
        <f t="shared" si="15"/>
        <v>0</v>
      </c>
      <c r="W20" s="261">
        <f t="shared" si="16"/>
        <v>0</v>
      </c>
      <c r="X20" s="263">
        <f t="shared" si="17"/>
        <v>64833.05</v>
      </c>
      <c r="Y20" s="261">
        <f>X20-V10</f>
        <v>6370.18</v>
      </c>
      <c r="Z20" s="272">
        <f>Y20/V10</f>
        <v>0.1089611235301996</v>
      </c>
      <c r="AB20" s="57"/>
      <c r="AE20" s="251"/>
      <c r="AF20" s="255"/>
    </row>
    <row r="21" spans="1:32">
      <c r="G21"/>
      <c r="H21" s="262"/>
      <c r="J21" s="275"/>
      <c r="Z21" s="268"/>
      <c r="AA21" s="276"/>
    </row>
    <row r="22" spans="1:32" ht="14.45" customHeight="1">
      <c r="G22"/>
      <c r="H22" s="262"/>
      <c r="K22" s="284" t="s">
        <v>876</v>
      </c>
      <c r="L22" s="813" t="s">
        <v>857</v>
      </c>
      <c r="M22" s="814"/>
      <c r="N22" s="814"/>
      <c r="O22" s="815"/>
      <c r="P22" s="296"/>
      <c r="Z22" s="268"/>
    </row>
    <row r="23" spans="1:32" ht="14.45" customHeight="1">
      <c r="G23"/>
      <c r="J23" s="275"/>
      <c r="L23" s="810" t="s">
        <v>859</v>
      </c>
      <c r="M23" s="816" t="s">
        <v>860</v>
      </c>
      <c r="N23" s="808" t="s">
        <v>861</v>
      </c>
      <c r="O23" s="808" t="s">
        <v>610</v>
      </c>
      <c r="P23" s="808" t="s">
        <v>862</v>
      </c>
      <c r="Q23" s="810" t="s">
        <v>863</v>
      </c>
      <c r="U23" s="811" t="s">
        <v>864</v>
      </c>
      <c r="V23" s="811" t="s">
        <v>865</v>
      </c>
      <c r="AA23" s="251"/>
      <c r="AD23" s="255"/>
      <c r="AE23" s="251"/>
    </row>
    <row r="24" spans="1:32" ht="15" customHeight="1">
      <c r="J24" s="277"/>
      <c r="K24"/>
      <c r="L24" s="810"/>
      <c r="M24" s="817"/>
      <c r="N24" s="809"/>
      <c r="O24" s="809"/>
      <c r="P24" s="809"/>
      <c r="Q24" s="810"/>
      <c r="T24" s="251"/>
      <c r="U24" s="812"/>
      <c r="V24" s="812"/>
      <c r="W24"/>
      <c r="X24"/>
      <c r="Y24"/>
      <c r="AA24" s="251"/>
      <c r="AD24" s="255"/>
      <c r="AE24" s="251"/>
    </row>
    <row r="25" spans="1:32">
      <c r="J25" s="275"/>
      <c r="K25" s="56" t="s">
        <v>482</v>
      </c>
      <c r="L25" s="282">
        <f>'[19]Billing by Service Agreement 1'!$D$31</f>
        <v>49398.5</v>
      </c>
      <c r="M25" s="261">
        <f>VLOOKUP(M23,$G$5:$I$5,2,0)</f>
        <v>225</v>
      </c>
      <c r="N25" s="261">
        <f>$H$8*L25</f>
        <v>6164.9327999999996</v>
      </c>
      <c r="O25" s="261">
        <f>$H$10*L25</f>
        <v>21760.039250000002</v>
      </c>
      <c r="P25" s="261">
        <f>L25*$H$9</f>
        <v>-795.31584999999995</v>
      </c>
      <c r="Q25" s="261">
        <f>SUM(M25:P25)</f>
        <v>27354.656200000001</v>
      </c>
      <c r="R25"/>
      <c r="S25"/>
      <c r="T25"/>
      <c r="U25" s="261">
        <v>0</v>
      </c>
      <c r="V25" s="263">
        <f>ROUND(SUM(Q25,U25:U25),2)</f>
        <v>27354.66</v>
      </c>
      <c r="W25"/>
      <c r="X25"/>
      <c r="Y25"/>
      <c r="Z25" s="251"/>
      <c r="AA25" s="251"/>
      <c r="AB25" s="255"/>
      <c r="AE25" s="251"/>
    </row>
    <row r="26" spans="1:32">
      <c r="J26" s="275"/>
      <c r="K26" s="56" t="s">
        <v>866</v>
      </c>
      <c r="L26" s="282">
        <f>'[19]Billing by Service Agreement 1'!$E$31</f>
        <v>97158.25</v>
      </c>
      <c r="M26" s="261">
        <f>VLOOKUP($M$23,$G$5:$I$5,2,0)</f>
        <v>225</v>
      </c>
      <c r="N26" s="261">
        <f t="shared" ref="N26:N28" si="19">$H$8*L26</f>
        <v>12125.3496</v>
      </c>
      <c r="O26" s="261">
        <f t="shared" ref="O26:O28" si="20">$H$10*L26</f>
        <v>42798.209125000001</v>
      </c>
      <c r="P26" s="261">
        <f t="shared" ref="P26:P29" si="21">L26*$H$9</f>
        <v>-1564.2478249999999</v>
      </c>
      <c r="Q26" s="261">
        <f t="shared" ref="Q26:Q29" si="22">SUM(M26:P26)</f>
        <v>53584.310900000004</v>
      </c>
      <c r="R26"/>
      <c r="S26"/>
      <c r="T26"/>
      <c r="U26" s="261">
        <v>0</v>
      </c>
      <c r="V26" s="263">
        <f>ROUND(SUM(Q26,U26:U26),2)</f>
        <v>53584.31</v>
      </c>
      <c r="W26"/>
      <c r="X26"/>
      <c r="Y26"/>
      <c r="Z26" s="251"/>
      <c r="AA26" s="251"/>
      <c r="AB26" s="255"/>
      <c r="AE26" s="251"/>
    </row>
    <row r="27" spans="1:32">
      <c r="K27" s="56" t="s">
        <v>520</v>
      </c>
      <c r="L27" s="282">
        <f>'[19]Billing by Service Agreement 1'!$F$31</f>
        <v>302124.7</v>
      </c>
      <c r="M27" s="261">
        <f t="shared" ref="M27:M28" si="23">VLOOKUP($M$23,$G$5:$I$5,2,0)</f>
        <v>225</v>
      </c>
      <c r="N27" s="261">
        <f t="shared" si="19"/>
        <v>37705.162559999997</v>
      </c>
      <c r="O27" s="261">
        <f t="shared" si="20"/>
        <v>133085.93035000001</v>
      </c>
      <c r="P27" s="261">
        <f t="shared" si="21"/>
        <v>-4864.2076699999998</v>
      </c>
      <c r="Q27" s="261">
        <f t="shared" si="22"/>
        <v>166151.88524</v>
      </c>
      <c r="R27"/>
      <c r="S27"/>
      <c r="T27"/>
      <c r="U27" s="261">
        <v>0</v>
      </c>
      <c r="V27" s="263">
        <f>ROUND(SUM(Q27,U27:U27),2)</f>
        <v>166151.89000000001</v>
      </c>
      <c r="W27"/>
      <c r="X27"/>
      <c r="Y27"/>
      <c r="Z27" s="251"/>
      <c r="AA27" s="251"/>
      <c r="AB27" s="255"/>
      <c r="AE27" s="251"/>
    </row>
    <row r="28" spans="1:32" ht="14.45" customHeight="1">
      <c r="K28" s="56" t="s">
        <v>868</v>
      </c>
      <c r="L28" s="282">
        <f>'[19]Billing by Service Agreement 1'!$G$31</f>
        <v>451456.89999999967</v>
      </c>
      <c r="M28" s="261">
        <f t="shared" si="23"/>
        <v>225</v>
      </c>
      <c r="N28" s="261">
        <f t="shared" si="19"/>
        <v>56341.821119999957</v>
      </c>
      <c r="O28" s="261">
        <f t="shared" si="20"/>
        <v>198866.76444999987</v>
      </c>
      <c r="P28" s="261">
        <f t="shared" si="21"/>
        <v>-7268.4560899999942</v>
      </c>
      <c r="Q28" s="261">
        <f t="shared" si="22"/>
        <v>248165.12947999983</v>
      </c>
      <c r="R28"/>
      <c r="S28"/>
      <c r="T28"/>
      <c r="U28" s="261">
        <v>0</v>
      </c>
      <c r="V28" s="263">
        <f>ROUND(SUM(Q28,U28:U28),2)</f>
        <v>248165.13</v>
      </c>
      <c r="W28"/>
      <c r="X28"/>
      <c r="Y28"/>
      <c r="Z28" s="251"/>
      <c r="AA28" s="251"/>
      <c r="AB28" s="255"/>
      <c r="AE28" s="251"/>
    </row>
    <row r="29" spans="1:32" ht="14.45" customHeight="1">
      <c r="K29" s="267" t="s">
        <v>877</v>
      </c>
      <c r="L29" s="282">
        <f>'[19]Billing by Service Agreement 1'!$H$31</f>
        <v>120886.58333333333</v>
      </c>
      <c r="M29" s="261">
        <f>VLOOKUP(M23,$G$5:$I$5,2,0)</f>
        <v>225</v>
      </c>
      <c r="N29" s="261">
        <f>$H$8*L29</f>
        <v>15086.645599999998</v>
      </c>
      <c r="O29" s="261">
        <f>$H$10*L29</f>
        <v>53250.539958333335</v>
      </c>
      <c r="P29" s="261">
        <f t="shared" si="21"/>
        <v>-1946.2739916666665</v>
      </c>
      <c r="Q29" s="261">
        <f t="shared" si="22"/>
        <v>66615.911566666677</v>
      </c>
      <c r="R29"/>
      <c r="S29"/>
      <c r="T29"/>
      <c r="U29" s="261">
        <v>0</v>
      </c>
      <c r="V29" s="263">
        <f>ROUND(SUM(Q29,U29:U29),2)</f>
        <v>66615.91</v>
      </c>
      <c r="W29"/>
      <c r="X29"/>
      <c r="Y29"/>
      <c r="Z29" s="251"/>
      <c r="AA29" s="251"/>
      <c r="AB29" s="255"/>
      <c r="AE29" s="251"/>
    </row>
    <row r="30" spans="1:32">
      <c r="K30" s="240"/>
      <c r="L30"/>
      <c r="M30"/>
      <c r="N30"/>
      <c r="O30"/>
      <c r="P30" s="264"/>
      <c r="Q30"/>
      <c r="R30"/>
      <c r="S30"/>
      <c r="T30"/>
      <c r="U30"/>
      <c r="V30"/>
      <c r="W30"/>
      <c r="X30"/>
      <c r="Y30"/>
      <c r="Z30"/>
      <c r="AA30" s="251"/>
      <c r="AC30" s="255"/>
      <c r="AE30" s="251"/>
    </row>
    <row r="31" spans="1:32">
      <c r="K31" s="284" t="s">
        <v>876</v>
      </c>
      <c r="L31" s="813" t="s">
        <v>872</v>
      </c>
      <c r="M31" s="814"/>
      <c r="N31" s="814"/>
      <c r="O31" s="815"/>
      <c r="P31" s="296"/>
      <c r="R31"/>
      <c r="S31"/>
      <c r="T31"/>
      <c r="U31"/>
      <c r="V31"/>
      <c r="W31"/>
      <c r="X31"/>
      <c r="Y31"/>
      <c r="Z31"/>
      <c r="AA31" s="251"/>
      <c r="AC31" s="255"/>
      <c r="AE31" s="251"/>
    </row>
    <row r="32" spans="1:32">
      <c r="L32" s="810" t="s">
        <v>859</v>
      </c>
      <c r="M32" s="816" t="s">
        <v>860</v>
      </c>
      <c r="N32" s="808" t="s">
        <v>861</v>
      </c>
      <c r="O32" s="808" t="s">
        <v>610</v>
      </c>
      <c r="P32" s="808" t="s">
        <v>873</v>
      </c>
      <c r="Q32" s="810" t="s">
        <v>863</v>
      </c>
      <c r="R32" s="808" t="s">
        <v>874</v>
      </c>
      <c r="S32" s="808" t="s">
        <v>875</v>
      </c>
      <c r="U32" s="811" t="s">
        <v>864</v>
      </c>
      <c r="V32" s="811" t="s">
        <v>870</v>
      </c>
      <c r="W32" s="811" t="s">
        <v>871</v>
      </c>
      <c r="X32" s="811" t="s">
        <v>865</v>
      </c>
      <c r="Y32" s="808" t="s">
        <v>874</v>
      </c>
      <c r="Z32" s="808" t="s">
        <v>875</v>
      </c>
      <c r="AA32" s="251"/>
      <c r="AC32" s="255"/>
      <c r="AE32" s="251"/>
    </row>
    <row r="33" spans="11:31">
      <c r="K33"/>
      <c r="L33" s="810"/>
      <c r="M33" s="817"/>
      <c r="N33" s="809"/>
      <c r="O33" s="809"/>
      <c r="P33" s="809"/>
      <c r="Q33" s="810"/>
      <c r="R33" s="809"/>
      <c r="S33" s="809"/>
      <c r="U33" s="812"/>
      <c r="V33" s="812"/>
      <c r="W33" s="812"/>
      <c r="X33" s="812"/>
      <c r="Y33" s="809"/>
      <c r="Z33" s="809"/>
      <c r="AA33" s="251"/>
      <c r="AC33" s="255"/>
      <c r="AE33" s="251"/>
    </row>
    <row r="34" spans="11:31">
      <c r="K34" s="56" t="s">
        <v>482</v>
      </c>
      <c r="L34" s="282">
        <f>L25</f>
        <v>49398.5</v>
      </c>
      <c r="M34" s="261">
        <f>VLOOKUP($M$32,$G$5:$I$5,3,0)</f>
        <v>285.73</v>
      </c>
      <c r="N34" s="261">
        <f>$I$8*L34</f>
        <v>8002.5570000000007</v>
      </c>
      <c r="O34" s="261">
        <f>$I$10*L34</f>
        <v>22066.309949999999</v>
      </c>
      <c r="P34" s="261">
        <f>L34*$I$9</f>
        <v>0</v>
      </c>
      <c r="Q34" s="261">
        <f>SUM(M34:P34)</f>
        <v>30354.596949999999</v>
      </c>
      <c r="R34" s="261">
        <f>Q34-Q25</f>
        <v>2999.9407499999979</v>
      </c>
      <c r="S34" s="272">
        <f>R34/Q25</f>
        <v>0.10966837704215042</v>
      </c>
      <c r="T34"/>
      <c r="U34" s="261">
        <v>0</v>
      </c>
      <c r="V34" s="261">
        <f>L34*$I$12</f>
        <v>0</v>
      </c>
      <c r="W34" s="261">
        <f>Q34*$J$13</f>
        <v>0</v>
      </c>
      <c r="X34" s="263">
        <f>ROUND(SUM(Q34,U34:W34),2)</f>
        <v>30354.6</v>
      </c>
      <c r="Y34" s="261">
        <f>X34-V25</f>
        <v>2999.9399999999987</v>
      </c>
      <c r="Z34" s="272">
        <f>Y34/V25</f>
        <v>0.10966833438982604</v>
      </c>
    </row>
    <row r="35" spans="11:31">
      <c r="K35" s="56" t="s">
        <v>866</v>
      </c>
      <c r="L35" s="282">
        <f t="shared" ref="L35:L38" si="24">L26</f>
        <v>97158.25</v>
      </c>
      <c r="M35" s="261">
        <f t="shared" ref="M35:M38" si="25">VLOOKUP($M$32,$G$5:$I$5,3,0)</f>
        <v>285.73</v>
      </c>
      <c r="N35" s="261">
        <f t="shared" ref="N35:N38" si="26">$I$8*L35</f>
        <v>15739.636500000001</v>
      </c>
      <c r="O35" s="261">
        <f t="shared" ref="O35:O38" si="27">$I$10*L35</f>
        <v>43400.590274999995</v>
      </c>
      <c r="P35" s="261">
        <f t="shared" ref="P35:P38" si="28">L35*$I$9</f>
        <v>0</v>
      </c>
      <c r="Q35" s="261">
        <f t="shared" ref="Q35:Q38" si="29">SUM(M35:P35)</f>
        <v>59425.956774999999</v>
      </c>
      <c r="R35" s="261">
        <f t="shared" ref="R35:R38" si="30">Q35-Q26</f>
        <v>5841.6458749999947</v>
      </c>
      <c r="S35" s="272">
        <f t="shared" ref="S35:S38" si="31">R35/Q26</f>
        <v>0.10901784079862067</v>
      </c>
      <c r="T35"/>
      <c r="U35" s="261">
        <v>0</v>
      </c>
      <c r="V35" s="261">
        <f t="shared" ref="V35:V38" si="32">L35*$I$12</f>
        <v>0</v>
      </c>
      <c r="W35" s="261">
        <f t="shared" ref="W35:W38" si="33">Q35*$J$13</f>
        <v>0</v>
      </c>
      <c r="X35" s="263">
        <f>ROUND(SUM(Q35,U35:W35),2)</f>
        <v>59425.96</v>
      </c>
      <c r="Y35" s="261">
        <f>X35-V26</f>
        <v>5841.6500000000015</v>
      </c>
      <c r="Z35" s="272">
        <f>Y35/V26</f>
        <v>0.1090179196111698</v>
      </c>
    </row>
    <row r="36" spans="11:31" ht="15" customHeight="1">
      <c r="K36" s="56" t="s">
        <v>520</v>
      </c>
      <c r="L36" s="282">
        <f t="shared" si="24"/>
        <v>302124.7</v>
      </c>
      <c r="M36" s="261">
        <f t="shared" si="25"/>
        <v>285.73</v>
      </c>
      <c r="N36" s="261">
        <f t="shared" si="26"/>
        <v>48944.201400000005</v>
      </c>
      <c r="O36" s="261">
        <f t="shared" si="27"/>
        <v>134959.10349000001</v>
      </c>
      <c r="P36" s="261">
        <f t="shared" si="28"/>
        <v>0</v>
      </c>
      <c r="Q36" s="261">
        <f t="shared" si="29"/>
        <v>184189.03489000001</v>
      </c>
      <c r="R36" s="261">
        <f t="shared" si="30"/>
        <v>18037.149650000007</v>
      </c>
      <c r="S36" s="272">
        <f t="shared" si="31"/>
        <v>0.10855820037158193</v>
      </c>
      <c r="T36"/>
      <c r="U36" s="261">
        <v>0</v>
      </c>
      <c r="V36" s="261">
        <f t="shared" si="32"/>
        <v>0</v>
      </c>
      <c r="W36" s="261">
        <f t="shared" si="33"/>
        <v>0</v>
      </c>
      <c r="X36" s="263">
        <f t="shared" ref="X36:X38" si="34">ROUND(SUM(Q36,U36:W36),2)</f>
        <v>184189.03</v>
      </c>
      <c r="Y36" s="261">
        <f>X36-V27</f>
        <v>18037.139999999985</v>
      </c>
      <c r="Z36" s="272">
        <f>Y36/V27</f>
        <v>0.10855813918216629</v>
      </c>
    </row>
    <row r="37" spans="11:31">
      <c r="K37" s="56" t="s">
        <v>868</v>
      </c>
      <c r="L37" s="282">
        <f t="shared" si="24"/>
        <v>451456.89999999967</v>
      </c>
      <c r="M37" s="261">
        <f t="shared" si="25"/>
        <v>285.73</v>
      </c>
      <c r="N37" s="261">
        <f t="shared" si="26"/>
        <v>73136.017799999943</v>
      </c>
      <c r="O37" s="261">
        <f t="shared" si="27"/>
        <v>201665.79722999985</v>
      </c>
      <c r="P37" s="261">
        <f t="shared" si="28"/>
        <v>0</v>
      </c>
      <c r="Q37" s="261">
        <f t="shared" si="29"/>
        <v>275087.5450299998</v>
      </c>
      <c r="R37" s="261">
        <f t="shared" si="30"/>
        <v>26922.415549999976</v>
      </c>
      <c r="S37" s="272">
        <f t="shared" si="31"/>
        <v>0.10848589246366989</v>
      </c>
      <c r="T37"/>
      <c r="U37" s="261">
        <v>0</v>
      </c>
      <c r="V37" s="261">
        <f t="shared" si="32"/>
        <v>0</v>
      </c>
      <c r="W37" s="261">
        <f t="shared" si="33"/>
        <v>0</v>
      </c>
      <c r="X37" s="263">
        <f t="shared" si="34"/>
        <v>275087.55</v>
      </c>
      <c r="Y37" s="261">
        <f>X37-V28</f>
        <v>26922.419999999984</v>
      </c>
      <c r="Z37" s="272">
        <f>Y37/V28</f>
        <v>0.10848591016795947</v>
      </c>
      <c r="AA37" s="251"/>
      <c r="AC37" s="255"/>
      <c r="AE37" s="251"/>
    </row>
    <row r="38" spans="11:31" ht="15.75" customHeight="1">
      <c r="K38" s="267" t="s">
        <v>877</v>
      </c>
      <c r="L38" s="282">
        <f t="shared" si="24"/>
        <v>120886.58333333333</v>
      </c>
      <c r="M38" s="261">
        <f t="shared" si="25"/>
        <v>285.73</v>
      </c>
      <c r="N38" s="261">
        <f t="shared" si="26"/>
        <v>19583.626499999998</v>
      </c>
      <c r="O38" s="261">
        <f t="shared" si="27"/>
        <v>54000.036774999993</v>
      </c>
      <c r="P38" s="261">
        <f t="shared" si="28"/>
        <v>0</v>
      </c>
      <c r="Q38" s="261">
        <f t="shared" si="29"/>
        <v>73869.393274999995</v>
      </c>
      <c r="R38" s="261">
        <f t="shared" si="30"/>
        <v>7253.4817083333182</v>
      </c>
      <c r="S38" s="272">
        <f t="shared" si="31"/>
        <v>0.10888512275440844</v>
      </c>
      <c r="T38"/>
      <c r="U38" s="261">
        <v>0</v>
      </c>
      <c r="V38" s="261">
        <f t="shared" si="32"/>
        <v>0</v>
      </c>
      <c r="W38" s="261">
        <f t="shared" si="33"/>
        <v>0</v>
      </c>
      <c r="X38" s="263">
        <f t="shared" si="34"/>
        <v>73869.39</v>
      </c>
      <c r="Y38" s="261">
        <f>X38-V29</f>
        <v>7253.4799999999959</v>
      </c>
      <c r="Z38" s="272">
        <f>Y38/V29</f>
        <v>0.10888509967063417</v>
      </c>
      <c r="AA38" s="251"/>
      <c r="AC38" s="255"/>
      <c r="AE38" s="251"/>
    </row>
    <row r="39" spans="11:31">
      <c r="K39"/>
      <c r="L39"/>
      <c r="M39"/>
      <c r="N39"/>
      <c r="O39"/>
      <c r="P39" s="268"/>
      <c r="Q39"/>
      <c r="R39"/>
      <c r="S39"/>
      <c r="T39"/>
      <c r="U39"/>
      <c r="V39"/>
      <c r="W39"/>
      <c r="X39"/>
      <c r="Y39"/>
      <c r="Z39"/>
      <c r="AA39" s="251"/>
      <c r="AC39" s="255"/>
      <c r="AE39" s="251"/>
    </row>
    <row r="40" spans="11:31">
      <c r="K40" s="284" t="s">
        <v>878</v>
      </c>
      <c r="L40" s="813" t="s">
        <v>857</v>
      </c>
      <c r="M40" s="814"/>
      <c r="N40" s="814"/>
      <c r="O40" s="815"/>
      <c r="P40" s="296"/>
      <c r="R40"/>
      <c r="S40"/>
      <c r="T40"/>
      <c r="U40"/>
      <c r="V40"/>
      <c r="W40"/>
      <c r="X40"/>
      <c r="Y40"/>
      <c r="Z40"/>
      <c r="AA40" s="251"/>
      <c r="AC40" s="255"/>
      <c r="AE40" s="251"/>
    </row>
    <row r="41" spans="11:31">
      <c r="L41" s="810" t="s">
        <v>859</v>
      </c>
      <c r="M41" s="816" t="s">
        <v>860</v>
      </c>
      <c r="N41" s="808" t="s">
        <v>861</v>
      </c>
      <c r="O41" s="808" t="s">
        <v>610</v>
      </c>
      <c r="P41" s="808" t="s">
        <v>862</v>
      </c>
      <c r="Q41" s="810" t="s">
        <v>863</v>
      </c>
      <c r="R41"/>
      <c r="S41"/>
      <c r="U41" s="811" t="s">
        <v>864</v>
      </c>
      <c r="V41" s="811" t="s">
        <v>865</v>
      </c>
      <c r="W41"/>
      <c r="X41"/>
      <c r="Y41" s="251"/>
      <c r="Z41" s="251"/>
      <c r="AA41" s="251"/>
      <c r="AB41" s="255"/>
      <c r="AE41" s="251"/>
    </row>
    <row r="42" spans="11:31">
      <c r="K42"/>
      <c r="L42" s="810"/>
      <c r="M42" s="817"/>
      <c r="N42" s="809"/>
      <c r="O42" s="809"/>
      <c r="P42" s="809"/>
      <c r="Q42" s="810"/>
      <c r="R42"/>
      <c r="S42"/>
      <c r="U42" s="812"/>
      <c r="V42" s="812"/>
      <c r="W42"/>
      <c r="X42"/>
      <c r="Y42" s="251"/>
      <c r="Z42" s="251"/>
      <c r="AA42" s="251"/>
      <c r="AB42" s="255"/>
      <c r="AE42" s="251"/>
    </row>
    <row r="43" spans="11:31">
      <c r="K43" s="56" t="s">
        <v>482</v>
      </c>
      <c r="L43" s="282">
        <f>'[19]Billing by Service Agreement 1'!$D$30</f>
        <v>27201.5</v>
      </c>
      <c r="M43" s="261">
        <f>VLOOKUP($M$32,$G$5:$I$5,2,0)</f>
        <v>225</v>
      </c>
      <c r="N43" s="261">
        <f>$H$8*L43</f>
        <v>3394.7471999999998</v>
      </c>
      <c r="O43" s="261">
        <f>$H$10*L43</f>
        <v>11982.260749999999</v>
      </c>
      <c r="P43" s="261">
        <f>L43*$H$9</f>
        <v>-437.94414999999998</v>
      </c>
      <c r="Q43" s="261">
        <f>SUM(M43:P43)</f>
        <v>15164.0638</v>
      </c>
      <c r="R43"/>
      <c r="S43"/>
      <c r="T43"/>
      <c r="U43" s="261">
        <v>0</v>
      </c>
      <c r="V43" s="263">
        <f>ROUND(SUM(Q43,U43:U43),2)</f>
        <v>15164.06</v>
      </c>
      <c r="W43"/>
      <c r="X43"/>
      <c r="Y43" s="251"/>
      <c r="Z43" s="251"/>
      <c r="AA43" s="251"/>
      <c r="AB43" s="255"/>
      <c r="AE43" s="251"/>
    </row>
    <row r="44" spans="11:31">
      <c r="K44" s="56" t="s">
        <v>866</v>
      </c>
      <c r="L44" s="282">
        <f>'[19]Billing by Service Agreement 1'!$E$30</f>
        <v>58016.75</v>
      </c>
      <c r="M44" s="261">
        <f t="shared" ref="M44:M46" si="35">VLOOKUP($M$32,$G$5:$I$5,2,0)</f>
        <v>225</v>
      </c>
      <c r="N44" s="261">
        <f t="shared" ref="N44:N46" si="36">$H$8*L44</f>
        <v>7240.4903999999997</v>
      </c>
      <c r="O44" s="261">
        <f t="shared" ref="O44:O46" si="37">$H$10*L44</f>
        <v>25556.378375</v>
      </c>
      <c r="P44" s="261">
        <f t="shared" ref="P44:P47" si="38">L44*$H$9</f>
        <v>-934.06967499999996</v>
      </c>
      <c r="Q44" s="261">
        <f t="shared" ref="Q44:Q47" si="39">SUM(M44:P44)</f>
        <v>32087.799100000004</v>
      </c>
      <c r="R44"/>
      <c r="S44"/>
      <c r="T44"/>
      <c r="U44" s="261">
        <v>0</v>
      </c>
      <c r="V44" s="263">
        <f>ROUND(SUM(Q44,U44:U44),2)</f>
        <v>32087.8</v>
      </c>
      <c r="W44"/>
      <c r="X44"/>
      <c r="Y44" s="251"/>
      <c r="Z44" s="251"/>
      <c r="AA44" s="251"/>
      <c r="AB44" s="255"/>
      <c r="AE44" s="251"/>
    </row>
    <row r="45" spans="11:31">
      <c r="K45" s="56" t="s">
        <v>520</v>
      </c>
      <c r="L45" s="282">
        <f>'[19]Billing by Service Agreement 1'!$F$30</f>
        <v>264801.19999999995</v>
      </c>
      <c r="M45" s="261">
        <f t="shared" si="35"/>
        <v>225</v>
      </c>
      <c r="N45" s="261">
        <f t="shared" si="36"/>
        <v>33047.189759999994</v>
      </c>
      <c r="O45" s="261">
        <f t="shared" si="37"/>
        <v>116644.92859999998</v>
      </c>
      <c r="P45" s="261">
        <f t="shared" si="38"/>
        <v>-4263.2993199999992</v>
      </c>
      <c r="Q45" s="261">
        <f t="shared" si="39"/>
        <v>145653.81903999997</v>
      </c>
      <c r="R45"/>
      <c r="S45"/>
      <c r="T45"/>
      <c r="U45" s="261">
        <v>0</v>
      </c>
      <c r="V45" s="263">
        <f>ROUND(SUM(Q45,U45:U45),2)</f>
        <v>145653.82</v>
      </c>
      <c r="W45"/>
      <c r="X45"/>
      <c r="Z45" s="251"/>
      <c r="AA45" s="251"/>
      <c r="AB45" s="255"/>
      <c r="AE45" s="251"/>
    </row>
    <row r="46" spans="11:31">
      <c r="K46" s="56" t="s">
        <v>868</v>
      </c>
      <c r="L46" s="282">
        <f>'[19]Billing by Service Agreement 1'!$G$30</f>
        <v>306161.09999999998</v>
      </c>
      <c r="M46" s="261">
        <f t="shared" si="35"/>
        <v>225</v>
      </c>
      <c r="N46" s="261">
        <f t="shared" si="36"/>
        <v>38208.905279999992</v>
      </c>
      <c r="O46" s="261">
        <f t="shared" si="37"/>
        <v>134863.96455</v>
      </c>
      <c r="P46" s="261">
        <f t="shared" si="38"/>
        <v>-4929.1937099999996</v>
      </c>
      <c r="Q46" s="261">
        <f t="shared" si="39"/>
        <v>168368.67611999999</v>
      </c>
      <c r="R46"/>
      <c r="S46"/>
      <c r="T46"/>
      <c r="U46" s="261">
        <v>0</v>
      </c>
      <c r="V46" s="263">
        <f>ROUND(SUM(Q46,U46:U46),2)</f>
        <v>168368.68</v>
      </c>
      <c r="W46"/>
      <c r="X46"/>
      <c r="AA46" s="251"/>
      <c r="AD46" s="255"/>
      <c r="AE46" s="251"/>
    </row>
    <row r="47" spans="11:31">
      <c r="K47" s="267" t="s">
        <v>877</v>
      </c>
      <c r="L47" s="282">
        <f>'[19]Billing by Service Agreement 1'!$H$30</f>
        <v>91195.958333333328</v>
      </c>
      <c r="M47" s="261">
        <f>VLOOKUP(M41,$G$5:$I$5,2,0)</f>
        <v>225</v>
      </c>
      <c r="N47" s="261">
        <f>$H$8*L47</f>
        <v>11381.255599999999</v>
      </c>
      <c r="O47" s="261">
        <f>$H$10*L47</f>
        <v>40171.819645833333</v>
      </c>
      <c r="P47" s="261">
        <f t="shared" si="38"/>
        <v>-1468.2549291666667</v>
      </c>
      <c r="Q47" s="261">
        <f t="shared" si="39"/>
        <v>50309.820316666664</v>
      </c>
      <c r="R47"/>
      <c r="S47"/>
      <c r="T47"/>
      <c r="U47" s="261">
        <v>0</v>
      </c>
      <c r="V47" s="263">
        <f>ROUND(SUM(Q47,U47:U47),2)</f>
        <v>50309.82</v>
      </c>
      <c r="W47"/>
      <c r="X47"/>
      <c r="AA47" s="251"/>
      <c r="AD47" s="255"/>
      <c r="AE47" s="251"/>
    </row>
    <row r="48" spans="11:31">
      <c r="K48"/>
      <c r="L48"/>
      <c r="M48"/>
      <c r="N48"/>
      <c r="O48"/>
      <c r="P48" s="264"/>
      <c r="Q48"/>
      <c r="R48"/>
      <c r="S48"/>
      <c r="T48"/>
      <c r="U48"/>
      <c r="V48"/>
      <c r="W48"/>
      <c r="X48"/>
      <c r="Y48"/>
      <c r="Z48"/>
    </row>
    <row r="49" spans="10:31" ht="15" customHeight="1">
      <c r="K49" s="284" t="s">
        <v>878</v>
      </c>
      <c r="L49" s="813" t="s">
        <v>872</v>
      </c>
      <c r="M49" s="814"/>
      <c r="N49" s="814"/>
      <c r="O49" s="815"/>
      <c r="P49" s="296"/>
      <c r="R49"/>
      <c r="S49"/>
      <c r="T49"/>
      <c r="U49"/>
      <c r="V49"/>
      <c r="W49"/>
      <c r="X49"/>
      <c r="Y49"/>
      <c r="Z49"/>
      <c r="AA49" s="251"/>
      <c r="AC49" s="255"/>
      <c r="AE49" s="251"/>
    </row>
    <row r="50" spans="10:31">
      <c r="L50" s="810" t="s">
        <v>859</v>
      </c>
      <c r="M50" s="816" t="s">
        <v>860</v>
      </c>
      <c r="N50" s="808" t="s">
        <v>861</v>
      </c>
      <c r="O50" s="808" t="s">
        <v>610</v>
      </c>
      <c r="P50" s="808" t="s">
        <v>873</v>
      </c>
      <c r="Q50" s="810" t="s">
        <v>863</v>
      </c>
      <c r="R50" s="808" t="s">
        <v>874</v>
      </c>
      <c r="S50" s="808" t="s">
        <v>875</v>
      </c>
      <c r="U50" s="811" t="s">
        <v>864</v>
      </c>
      <c r="V50" s="811" t="s">
        <v>870</v>
      </c>
      <c r="W50" s="811" t="s">
        <v>871</v>
      </c>
      <c r="X50" s="811" t="s">
        <v>865</v>
      </c>
      <c r="Y50" s="808" t="s">
        <v>874</v>
      </c>
      <c r="Z50" s="808" t="s">
        <v>875</v>
      </c>
      <c r="AA50" s="251"/>
      <c r="AC50" s="255"/>
      <c r="AE50" s="251"/>
    </row>
    <row r="51" spans="10:31">
      <c r="K51"/>
      <c r="L51" s="810"/>
      <c r="M51" s="817"/>
      <c r="N51" s="809"/>
      <c r="O51" s="809"/>
      <c r="P51" s="809"/>
      <c r="Q51" s="810"/>
      <c r="R51" s="809"/>
      <c r="S51" s="809"/>
      <c r="U51" s="812"/>
      <c r="V51" s="812"/>
      <c r="W51" s="812"/>
      <c r="X51" s="812"/>
      <c r="Y51" s="809"/>
      <c r="Z51" s="809"/>
      <c r="AA51" s="251"/>
      <c r="AC51" s="255"/>
      <c r="AE51" s="251"/>
    </row>
    <row r="52" spans="10:31">
      <c r="J52" s="278"/>
      <c r="K52" s="56" t="s">
        <v>482</v>
      </c>
      <c r="L52" s="282">
        <f>L43</f>
        <v>27201.5</v>
      </c>
      <c r="M52" s="261">
        <f>VLOOKUP($M$32,$G$5:$I$5,3,0)</f>
        <v>285.73</v>
      </c>
      <c r="N52" s="261">
        <f>$I$8*L52</f>
        <v>4406.643</v>
      </c>
      <c r="O52" s="261">
        <f>$H$10*L52</f>
        <v>11982.260749999999</v>
      </c>
      <c r="P52" s="261">
        <f>L52*$I$9</f>
        <v>0</v>
      </c>
      <c r="Q52" s="261">
        <f>SUM(M52:P52)</f>
        <v>16674.633750000001</v>
      </c>
      <c r="R52" s="261">
        <f>Q52-Q43</f>
        <v>1510.569950000001</v>
      </c>
      <c r="S52" s="272">
        <f>R52/Q43</f>
        <v>9.9615114386421996E-2</v>
      </c>
      <c r="T52"/>
      <c r="U52" s="261">
        <v>0</v>
      </c>
      <c r="V52" s="261">
        <f>L52*$I$12</f>
        <v>0</v>
      </c>
      <c r="W52" s="261">
        <f>Q52*$J$13</f>
        <v>0</v>
      </c>
      <c r="X52" s="263">
        <f>ROUND(SUM(Q52,U52:W52),2)</f>
        <v>16674.63</v>
      </c>
      <c r="Y52" s="261">
        <f>X52-V43</f>
        <v>1510.5700000000015</v>
      </c>
      <c r="Z52" s="272">
        <f>Y52/V43</f>
        <v>9.9615142646494514E-2</v>
      </c>
      <c r="AA52" s="251"/>
      <c r="AC52" s="255"/>
      <c r="AE52" s="251"/>
    </row>
    <row r="53" spans="10:31">
      <c r="K53" s="56" t="s">
        <v>866</v>
      </c>
      <c r="L53" s="282">
        <f t="shared" ref="L53:L56" si="40">L44</f>
        <v>58016.75</v>
      </c>
      <c r="M53" s="261">
        <f t="shared" ref="M53:M56" si="41">VLOOKUP($M$32,$G$5:$I$5,3,0)</f>
        <v>285.73</v>
      </c>
      <c r="N53" s="261">
        <f t="shared" ref="N53:N56" si="42">$I$8*L53</f>
        <v>9398.7134999999998</v>
      </c>
      <c r="O53" s="261">
        <f t="shared" ref="O53:O55" si="43">$H$10*L53</f>
        <v>25556.378375</v>
      </c>
      <c r="P53" s="261">
        <f t="shared" ref="P53:P56" si="44">L53*$I$9</f>
        <v>0</v>
      </c>
      <c r="Q53" s="261">
        <f t="shared" ref="Q53:Q56" si="45">SUM(M53:P53)</f>
        <v>35240.821875000001</v>
      </c>
      <c r="R53" s="261">
        <f t="shared" ref="R53:R56" si="46">Q53-Q44</f>
        <v>3153.0227749999976</v>
      </c>
      <c r="S53" s="272">
        <f t="shared" ref="S53:S56" si="47">R53/Q44</f>
        <v>9.82623571399759E-2</v>
      </c>
      <c r="T53"/>
      <c r="U53" s="261">
        <v>0</v>
      </c>
      <c r="V53" s="261">
        <f t="shared" ref="V53:V56" si="48">L53*$I$12</f>
        <v>0</v>
      </c>
      <c r="W53" s="261">
        <f t="shared" ref="W53:W56" si="49">Q53*$J$13</f>
        <v>0</v>
      </c>
      <c r="X53" s="263">
        <f>ROUND(SUM(Q53,U53:W53),2)</f>
        <v>35240.82</v>
      </c>
      <c r="Y53" s="261">
        <f>X53-V44</f>
        <v>3153.0200000000004</v>
      </c>
      <c r="Z53" s="272">
        <f>Y53/V44</f>
        <v>9.826226790244269E-2</v>
      </c>
      <c r="AA53" s="251"/>
      <c r="AC53" s="255"/>
      <c r="AE53" s="251"/>
    </row>
    <row r="54" spans="10:31">
      <c r="K54" s="56" t="s">
        <v>520</v>
      </c>
      <c r="L54" s="282">
        <f t="shared" si="40"/>
        <v>264801.19999999995</v>
      </c>
      <c r="M54" s="261">
        <f t="shared" si="41"/>
        <v>285.73</v>
      </c>
      <c r="N54" s="261">
        <f t="shared" si="42"/>
        <v>42897.794399999992</v>
      </c>
      <c r="O54" s="261">
        <f t="shared" si="43"/>
        <v>116644.92859999998</v>
      </c>
      <c r="P54" s="261">
        <f t="shared" si="44"/>
        <v>0</v>
      </c>
      <c r="Q54" s="261">
        <f t="shared" si="45"/>
        <v>159828.45299999998</v>
      </c>
      <c r="R54" s="261">
        <f t="shared" si="46"/>
        <v>14174.633960000006</v>
      </c>
      <c r="S54" s="272">
        <f t="shared" si="47"/>
        <v>9.7317283222812842E-2</v>
      </c>
      <c r="T54"/>
      <c r="U54" s="261">
        <v>0</v>
      </c>
      <c r="V54" s="261">
        <f t="shared" si="48"/>
        <v>0</v>
      </c>
      <c r="W54" s="261">
        <f t="shared" si="49"/>
        <v>0</v>
      </c>
      <c r="X54" s="263">
        <f t="shared" ref="X54:X56" si="50">ROUND(SUM(Q54,U54:W54),2)</f>
        <v>159828.45000000001</v>
      </c>
      <c r="Y54" s="261">
        <f>X54-V45</f>
        <v>14174.630000000005</v>
      </c>
      <c r="Z54" s="272">
        <f>Y54/V45</f>
        <v>9.7317255393645039E-2</v>
      </c>
      <c r="AA54" s="251"/>
      <c r="AC54" s="255"/>
      <c r="AE54" s="251"/>
    </row>
    <row r="55" spans="10:31">
      <c r="K55" s="56" t="s">
        <v>868</v>
      </c>
      <c r="L55" s="282">
        <f t="shared" si="40"/>
        <v>306161.09999999998</v>
      </c>
      <c r="M55" s="261">
        <f t="shared" si="41"/>
        <v>285.73</v>
      </c>
      <c r="N55" s="261">
        <f t="shared" si="42"/>
        <v>49598.0982</v>
      </c>
      <c r="O55" s="261">
        <f t="shared" si="43"/>
        <v>134863.96455</v>
      </c>
      <c r="P55" s="261">
        <f t="shared" si="44"/>
        <v>0</v>
      </c>
      <c r="Q55" s="261">
        <f t="shared" si="45"/>
        <v>184747.79275000002</v>
      </c>
      <c r="R55" s="261">
        <f t="shared" si="46"/>
        <v>16379.116630000033</v>
      </c>
      <c r="S55" s="272">
        <f t="shared" si="47"/>
        <v>9.7281258054950095E-2</v>
      </c>
      <c r="T55"/>
      <c r="U55" s="261">
        <v>0</v>
      </c>
      <c r="V55" s="261">
        <f t="shared" si="48"/>
        <v>0</v>
      </c>
      <c r="W55" s="261">
        <f t="shared" si="49"/>
        <v>0</v>
      </c>
      <c r="X55" s="263">
        <f t="shared" si="50"/>
        <v>184747.79</v>
      </c>
      <c r="Y55" s="261">
        <f>X55-V46</f>
        <v>16379.110000000015</v>
      </c>
      <c r="Z55" s="272">
        <f>Y55/V46</f>
        <v>9.7281216435265841E-2</v>
      </c>
      <c r="AA55" s="251"/>
      <c r="AC55" s="255"/>
      <c r="AE55" s="251"/>
    </row>
    <row r="56" spans="10:31">
      <c r="K56" s="267" t="s">
        <v>877</v>
      </c>
      <c r="L56" s="282">
        <f t="shared" si="40"/>
        <v>91195.958333333328</v>
      </c>
      <c r="M56" s="261">
        <f t="shared" si="41"/>
        <v>285.73</v>
      </c>
      <c r="N56" s="261">
        <f t="shared" si="42"/>
        <v>14773.74525</v>
      </c>
      <c r="O56" s="261">
        <f>$H$10*L56</f>
        <v>40171.819645833333</v>
      </c>
      <c r="P56" s="261">
        <f t="shared" si="44"/>
        <v>0</v>
      </c>
      <c r="Q56" s="261">
        <f t="shared" si="45"/>
        <v>55231.294895833329</v>
      </c>
      <c r="R56" s="261">
        <f t="shared" si="46"/>
        <v>4921.4745791666646</v>
      </c>
      <c r="S56" s="272">
        <f t="shared" si="47"/>
        <v>9.7823338429540677E-2</v>
      </c>
      <c r="T56"/>
      <c r="U56" s="261">
        <v>0</v>
      </c>
      <c r="V56" s="261">
        <f t="shared" si="48"/>
        <v>0</v>
      </c>
      <c r="W56" s="261">
        <f t="shared" si="49"/>
        <v>0</v>
      </c>
      <c r="X56" s="263">
        <f t="shared" si="50"/>
        <v>55231.29</v>
      </c>
      <c r="Y56" s="261">
        <f>X56-V47</f>
        <v>4921.4700000000012</v>
      </c>
      <c r="Z56" s="272">
        <f>Y56/V47</f>
        <v>9.7823248025932133E-2</v>
      </c>
      <c r="AA56" s="251"/>
      <c r="AC56" s="255"/>
      <c r="AE56" s="251"/>
    </row>
    <row r="57" spans="10:31"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 s="251"/>
      <c r="AC57" s="255"/>
      <c r="AE57" s="251"/>
    </row>
    <row r="58" spans="10:31"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 s="251"/>
      <c r="AC58" s="255"/>
      <c r="AE58" s="251"/>
    </row>
    <row r="59" spans="10:31"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0:31"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0:31" ht="15" customHeight="1"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 s="251"/>
      <c r="AC61" s="255"/>
      <c r="AE61" s="251"/>
    </row>
    <row r="62" spans="10:31" ht="21.75" customHeight="1"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 s="251"/>
      <c r="AC62" s="255"/>
      <c r="AE62" s="251"/>
    </row>
    <row r="63" spans="10:31"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 s="251"/>
      <c r="AC63" s="255"/>
      <c r="AE63" s="251"/>
    </row>
    <row r="64" spans="10:31"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 s="251"/>
      <c r="AC64" s="255"/>
      <c r="AE64" s="251"/>
    </row>
    <row r="65" spans="11:31"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 s="251"/>
      <c r="AC65" s="255"/>
      <c r="AE65" s="251"/>
    </row>
    <row r="66" spans="11:31"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 s="251"/>
      <c r="AC66" s="255"/>
      <c r="AE66" s="251"/>
    </row>
    <row r="67" spans="11:31"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 s="251"/>
      <c r="AC67" s="255"/>
      <c r="AE67" s="251"/>
    </row>
    <row r="68" spans="11:31"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 s="251"/>
      <c r="AC68" s="255"/>
      <c r="AE68" s="251"/>
    </row>
    <row r="69" spans="11:31"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 s="251"/>
      <c r="AC69" s="255"/>
      <c r="AE69" s="251"/>
    </row>
    <row r="70" spans="11:31"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 s="251"/>
      <c r="AC70" s="255"/>
      <c r="AE70" s="251"/>
    </row>
  </sheetData>
  <mergeCells count="73">
    <mergeCell ref="K1:S1"/>
    <mergeCell ref="L3:O3"/>
    <mergeCell ref="L4:L5"/>
    <mergeCell ref="M4:M5"/>
    <mergeCell ref="N4:N5"/>
    <mergeCell ref="O4:O5"/>
    <mergeCell ref="Q4:Q5"/>
    <mergeCell ref="P4:P5"/>
    <mergeCell ref="Z14:Z15"/>
    <mergeCell ref="U4:U5"/>
    <mergeCell ref="V4:V5"/>
    <mergeCell ref="L13:O13"/>
    <mergeCell ref="L14:L15"/>
    <mergeCell ref="M14:M15"/>
    <mergeCell ref="N14:N15"/>
    <mergeCell ref="O14:O15"/>
    <mergeCell ref="Q14:Q15"/>
    <mergeCell ref="R14:R15"/>
    <mergeCell ref="S14:S15"/>
    <mergeCell ref="U14:U15"/>
    <mergeCell ref="V14:V15"/>
    <mergeCell ref="W14:W15"/>
    <mergeCell ref="X14:X15"/>
    <mergeCell ref="Y14:Y15"/>
    <mergeCell ref="L22:O22"/>
    <mergeCell ref="L23:L24"/>
    <mergeCell ref="M23:M24"/>
    <mergeCell ref="N23:N24"/>
    <mergeCell ref="O23:O24"/>
    <mergeCell ref="U23:U24"/>
    <mergeCell ref="V23:V24"/>
    <mergeCell ref="L31:O31"/>
    <mergeCell ref="L32:L33"/>
    <mergeCell ref="M32:M33"/>
    <mergeCell ref="N32:N33"/>
    <mergeCell ref="O32:O33"/>
    <mergeCell ref="Q32:Q33"/>
    <mergeCell ref="R32:R33"/>
    <mergeCell ref="Q23:Q24"/>
    <mergeCell ref="Q50:Q51"/>
    <mergeCell ref="Z32:Z33"/>
    <mergeCell ref="L40:O40"/>
    <mergeCell ref="L41:L42"/>
    <mergeCell ref="M41:M42"/>
    <mergeCell ref="N41:N42"/>
    <mergeCell ref="O41:O42"/>
    <mergeCell ref="Q41:Q42"/>
    <mergeCell ref="U41:U42"/>
    <mergeCell ref="V41:V42"/>
    <mergeCell ref="S32:S33"/>
    <mergeCell ref="U32:U33"/>
    <mergeCell ref="V32:V33"/>
    <mergeCell ref="W32:W33"/>
    <mergeCell ref="X32:X33"/>
    <mergeCell ref="Y32:Y33"/>
    <mergeCell ref="L49:O49"/>
    <mergeCell ref="L50:L51"/>
    <mergeCell ref="M50:M51"/>
    <mergeCell ref="N50:N51"/>
    <mergeCell ref="O50:O51"/>
    <mergeCell ref="Y50:Y51"/>
    <mergeCell ref="Z50:Z51"/>
    <mergeCell ref="R50:R51"/>
    <mergeCell ref="S50:S51"/>
    <mergeCell ref="U50:U51"/>
    <mergeCell ref="V50:V51"/>
    <mergeCell ref="W50:W51"/>
    <mergeCell ref="X50:X51"/>
    <mergeCell ref="P14:P15"/>
    <mergeCell ref="P23:P24"/>
    <mergeCell ref="P32:P33"/>
    <mergeCell ref="P41:P42"/>
    <mergeCell ref="P50:P51"/>
  </mergeCells>
  <conditionalFormatting sqref="I12">
    <cfRule type="containsBlanks" dxfId="114" priority="1">
      <formula>LEN(TRIM(I12))=0</formula>
    </cfRule>
  </conditionalFormatting>
  <printOptions horizontalCentered="1"/>
  <pageMargins left="0.45" right="0.45" top="1.25" bottom="0.75" header="0.5" footer="0.3"/>
  <pageSetup scale="86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0" max="25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D2462-8EA5-473B-8E0A-87C9624D7133}">
  <sheetPr codeName="Sheet50">
    <tabColor theme="9" tint="0.79998168889431442"/>
  </sheetPr>
  <dimension ref="A1:M56"/>
  <sheetViews>
    <sheetView zoomScale="80" zoomScaleNormal="80" workbookViewId="0"/>
  </sheetViews>
  <sheetFormatPr defaultRowHeight="15"/>
  <cols>
    <col min="1" max="1" width="25" customWidth="1"/>
    <col min="2" max="2" width="9.4257812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customWidth="1"/>
    <col min="8" max="8" width="23.28515625" style="163" bestFit="1" customWidth="1"/>
  </cols>
  <sheetData>
    <row r="1" spans="1:13">
      <c r="A1" s="681" t="str">
        <f>VLOOKUP(B2,'Rate Codes'!$A$1:$C$20,3,0)</f>
        <v>Residential Gas Service</v>
      </c>
      <c r="J1" s="682" t="s">
        <v>516</v>
      </c>
      <c r="K1" s="682"/>
      <c r="L1" s="682" t="s">
        <v>898</v>
      </c>
      <c r="M1" s="682" t="s">
        <v>48</v>
      </c>
    </row>
    <row r="2" spans="1:13">
      <c r="A2" t="s">
        <v>899</v>
      </c>
      <c r="B2" t="s">
        <v>516</v>
      </c>
      <c r="J2" s="682" t="s">
        <v>900</v>
      </c>
      <c r="K2" s="683">
        <f>'GRRES Billed'!E52</f>
        <v>1804456</v>
      </c>
      <c r="L2" s="683">
        <f>VLOOKUP($J1,Summary!$B:$P,2,0)</f>
        <v>1804456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5751</v>
      </c>
      <c r="J3" s="682" t="s">
        <v>902</v>
      </c>
      <c r="K3" s="683">
        <f>'GRRES Billed'!F52</f>
        <v>81711283</v>
      </c>
      <c r="L3" s="683">
        <f>VLOOKUP($J1,Summary!$B:$P,3,0)</f>
        <v>81711283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 s="684">
        <v>0</v>
      </c>
      <c r="B7" s="684">
        <v>4</v>
      </c>
      <c r="C7">
        <f>366243-791</f>
        <v>365452</v>
      </c>
      <c r="D7">
        <f>192262-796</f>
        <v>191466</v>
      </c>
      <c r="E7">
        <f>D7</f>
        <v>191466</v>
      </c>
      <c r="F7">
        <f>C7</f>
        <v>365452</v>
      </c>
      <c r="G7" s="163">
        <f t="shared" ref="G7:G52" si="0">E7/MAX($E$7:$E$52)</f>
        <v>0.10610732542106874</v>
      </c>
      <c r="H7" s="163">
        <f t="shared" ref="H7:H52" si="1">F7/MAX($F$7:$F$52)</f>
        <v>4.4724790332811197E-3</v>
      </c>
    </row>
    <row r="8" spans="1:13">
      <c r="A8" s="684">
        <v>5</v>
      </c>
      <c r="B8" s="684">
        <v>9</v>
      </c>
      <c r="C8">
        <v>1592359</v>
      </c>
      <c r="D8">
        <v>228752</v>
      </c>
      <c r="E8">
        <f>E7+D8</f>
        <v>420218</v>
      </c>
      <c r="F8">
        <f>F7+C8</f>
        <v>1957811</v>
      </c>
      <c r="G8" s="163">
        <f t="shared" si="0"/>
        <v>0.23287794216096153</v>
      </c>
      <c r="H8" s="163">
        <f t="shared" si="1"/>
        <v>2.3960105974593495E-2</v>
      </c>
    </row>
    <row r="9" spans="1:13">
      <c r="A9" s="684">
        <v>10</v>
      </c>
      <c r="B9" s="684">
        <v>14</v>
      </c>
      <c r="C9">
        <v>2335156</v>
      </c>
      <c r="D9">
        <v>197737</v>
      </c>
      <c r="E9">
        <f>E8+D9</f>
        <v>617955</v>
      </c>
      <c r="F9">
        <f t="shared" ref="F9:F52" si="2">F8+C9</f>
        <v>4292967</v>
      </c>
      <c r="G9" s="163">
        <f t="shared" si="0"/>
        <v>0.34246055320827995</v>
      </c>
      <c r="H9" s="163">
        <f t="shared" si="1"/>
        <v>5.2538240037180668E-2</v>
      </c>
    </row>
    <row r="10" spans="1:13">
      <c r="A10" s="684">
        <v>15</v>
      </c>
      <c r="B10" s="684">
        <v>19</v>
      </c>
      <c r="C10">
        <v>2651663</v>
      </c>
      <c r="D10">
        <v>157276</v>
      </c>
      <c r="E10">
        <f t="shared" ref="E10:E52" si="3">E9+D10</f>
        <v>775231</v>
      </c>
      <c r="F10">
        <f t="shared" si="2"/>
        <v>6944630</v>
      </c>
      <c r="G10" s="163">
        <f t="shared" si="0"/>
        <v>0.42962033986974468</v>
      </c>
      <c r="H10" s="163">
        <f t="shared" si="1"/>
        <v>8.4989853849192401E-2</v>
      </c>
    </row>
    <row r="11" spans="1:13">
      <c r="A11" s="684">
        <v>20</v>
      </c>
      <c r="B11" s="684">
        <v>24</v>
      </c>
      <c r="C11">
        <v>2486361</v>
      </c>
      <c r="D11">
        <v>113458</v>
      </c>
      <c r="E11">
        <f t="shared" si="3"/>
        <v>888689</v>
      </c>
      <c r="F11">
        <f t="shared" si="2"/>
        <v>9430991</v>
      </c>
      <c r="G11" s="163">
        <f t="shared" si="0"/>
        <v>0.49249690765527115</v>
      </c>
      <c r="H11" s="163">
        <f t="shared" si="1"/>
        <v>0.1154184667495675</v>
      </c>
    </row>
    <row r="12" spans="1:13">
      <c r="A12" s="684">
        <v>25</v>
      </c>
      <c r="B12" s="684">
        <v>29</v>
      </c>
      <c r="C12">
        <v>2401315</v>
      </c>
      <c r="D12">
        <v>89147</v>
      </c>
      <c r="E12">
        <f t="shared" si="3"/>
        <v>977836</v>
      </c>
      <c r="F12">
        <f t="shared" si="2"/>
        <v>11832306</v>
      </c>
      <c r="G12" s="163">
        <f t="shared" si="0"/>
        <v>0.54190071689196084</v>
      </c>
      <c r="H12" s="163">
        <f t="shared" si="1"/>
        <v>0.14480626867650578</v>
      </c>
    </row>
    <row r="13" spans="1:13">
      <c r="A13" s="684">
        <v>30</v>
      </c>
      <c r="B13" s="684">
        <v>34</v>
      </c>
      <c r="C13">
        <v>2307146</v>
      </c>
      <c r="D13">
        <v>72276</v>
      </c>
      <c r="E13">
        <f t="shared" si="3"/>
        <v>1050112</v>
      </c>
      <c r="F13">
        <f t="shared" si="2"/>
        <v>14139452</v>
      </c>
      <c r="G13" s="163">
        <f t="shared" si="0"/>
        <v>0.58195489388491606</v>
      </c>
      <c r="H13" s="163">
        <f t="shared" si="1"/>
        <v>0.17304161042239419</v>
      </c>
    </row>
    <row r="14" spans="1:13">
      <c r="A14" s="684">
        <v>35</v>
      </c>
      <c r="B14" s="684">
        <v>39</v>
      </c>
      <c r="C14">
        <v>2245689</v>
      </c>
      <c r="D14">
        <v>60837</v>
      </c>
      <c r="E14">
        <f t="shared" si="3"/>
        <v>1110949</v>
      </c>
      <c r="F14">
        <f t="shared" si="2"/>
        <v>16385141</v>
      </c>
      <c r="G14" s="163">
        <f t="shared" si="0"/>
        <v>0.61566976418377617</v>
      </c>
      <c r="H14" s="163">
        <f t="shared" si="1"/>
        <v>0.20052482837651686</v>
      </c>
    </row>
    <row r="15" spans="1:13">
      <c r="A15" s="684">
        <v>40</v>
      </c>
      <c r="B15" s="684">
        <v>44</v>
      </c>
      <c r="C15">
        <v>2286719</v>
      </c>
      <c r="D15">
        <v>54519</v>
      </c>
      <c r="E15">
        <f t="shared" si="3"/>
        <v>1165468</v>
      </c>
      <c r="F15">
        <f t="shared" si="2"/>
        <v>18671860</v>
      </c>
      <c r="G15" s="163">
        <f t="shared" si="0"/>
        <v>0.64588330222515822</v>
      </c>
      <c r="H15" s="163">
        <f t="shared" si="1"/>
        <v>0.22851018016691771</v>
      </c>
    </row>
    <row r="16" spans="1:13">
      <c r="A16" s="684">
        <v>45</v>
      </c>
      <c r="B16" s="684">
        <v>49</v>
      </c>
      <c r="C16">
        <v>2324460</v>
      </c>
      <c r="D16">
        <v>49481</v>
      </c>
      <c r="E16">
        <f t="shared" si="3"/>
        <v>1214949</v>
      </c>
      <c r="F16">
        <f t="shared" si="2"/>
        <v>20996320</v>
      </c>
      <c r="G16" s="163">
        <f t="shared" si="0"/>
        <v>0.67330486307230542</v>
      </c>
      <c r="H16" s="163">
        <f t="shared" si="1"/>
        <v>0.25695741431449559</v>
      </c>
    </row>
    <row r="17" spans="1:8">
      <c r="A17" s="684">
        <v>50</v>
      </c>
      <c r="B17" s="684">
        <v>54</v>
      </c>
      <c r="C17">
        <v>2370072</v>
      </c>
      <c r="D17">
        <v>45587</v>
      </c>
      <c r="E17">
        <f t="shared" si="3"/>
        <v>1260536</v>
      </c>
      <c r="F17">
        <f t="shared" si="2"/>
        <v>23366392</v>
      </c>
      <c r="G17" s="163">
        <f t="shared" si="0"/>
        <v>0.69856843281299186</v>
      </c>
      <c r="H17" s="163">
        <f t="shared" si="1"/>
        <v>0.28596285778550312</v>
      </c>
    </row>
    <row r="18" spans="1:8">
      <c r="A18" s="684">
        <v>55</v>
      </c>
      <c r="B18" s="684">
        <v>59</v>
      </c>
      <c r="C18">
        <v>2442148</v>
      </c>
      <c r="D18">
        <v>42856</v>
      </c>
      <c r="E18">
        <f t="shared" si="3"/>
        <v>1303392</v>
      </c>
      <c r="F18">
        <f t="shared" si="2"/>
        <v>25808540</v>
      </c>
      <c r="G18" s="163">
        <f t="shared" si="0"/>
        <v>0.72231852702421118</v>
      </c>
      <c r="H18" s="163">
        <f t="shared" si="1"/>
        <v>0.3158503826209656</v>
      </c>
    </row>
    <row r="19" spans="1:8">
      <c r="A19" s="684">
        <v>60</v>
      </c>
      <c r="B19" s="684">
        <v>64</v>
      </c>
      <c r="C19">
        <v>2496464</v>
      </c>
      <c r="D19">
        <v>40289</v>
      </c>
      <c r="E19">
        <f t="shared" si="3"/>
        <v>1343681</v>
      </c>
      <c r="F19">
        <f t="shared" si="2"/>
        <v>28305004</v>
      </c>
      <c r="G19" s="163">
        <f t="shared" si="0"/>
        <v>0.74464603182344158</v>
      </c>
      <c r="H19" s="163">
        <f t="shared" si="1"/>
        <v>0.34640263817666406</v>
      </c>
    </row>
    <row r="20" spans="1:8">
      <c r="A20" s="684">
        <v>65</v>
      </c>
      <c r="B20" s="684">
        <v>69</v>
      </c>
      <c r="C20">
        <v>2613977</v>
      </c>
      <c r="D20">
        <v>39028</v>
      </c>
      <c r="E20">
        <f t="shared" si="3"/>
        <v>1382709</v>
      </c>
      <c r="F20">
        <f t="shared" si="2"/>
        <v>30918981</v>
      </c>
      <c r="G20" s="163">
        <f t="shared" si="0"/>
        <v>0.76627471104864842</v>
      </c>
      <c r="H20" s="163">
        <f t="shared" si="1"/>
        <v>0.37839304273315594</v>
      </c>
    </row>
    <row r="21" spans="1:8">
      <c r="A21" s="684">
        <v>70</v>
      </c>
      <c r="B21" s="684">
        <v>74</v>
      </c>
      <c r="C21">
        <v>2610253</v>
      </c>
      <c r="D21">
        <v>36263</v>
      </c>
      <c r="E21">
        <f t="shared" si="3"/>
        <v>1418972</v>
      </c>
      <c r="F21">
        <f t="shared" si="2"/>
        <v>33529234</v>
      </c>
      <c r="G21" s="163">
        <f t="shared" si="0"/>
        <v>0.78637107250052096</v>
      </c>
      <c r="H21" s="163">
        <f t="shared" si="1"/>
        <v>0.41033787218834883</v>
      </c>
    </row>
    <row r="22" spans="1:8">
      <c r="A22" s="684">
        <v>75</v>
      </c>
      <c r="B22" s="684">
        <v>79</v>
      </c>
      <c r="C22">
        <v>2674025</v>
      </c>
      <c r="D22">
        <v>34735</v>
      </c>
      <c r="E22">
        <f t="shared" si="3"/>
        <v>1453707</v>
      </c>
      <c r="F22">
        <f t="shared" si="2"/>
        <v>36203259</v>
      </c>
      <c r="G22" s="163">
        <f t="shared" si="0"/>
        <v>0.80562064134564659</v>
      </c>
      <c r="H22" s="163">
        <f t="shared" si="1"/>
        <v>0.44306315689596992</v>
      </c>
    </row>
    <row r="23" spans="1:8">
      <c r="A23" s="684">
        <v>80</v>
      </c>
      <c r="B23" s="684">
        <v>84</v>
      </c>
      <c r="C23">
        <v>2670799</v>
      </c>
      <c r="D23">
        <v>32580</v>
      </c>
      <c r="E23">
        <f t="shared" si="3"/>
        <v>1486287</v>
      </c>
      <c r="F23">
        <f t="shared" si="2"/>
        <v>38874058</v>
      </c>
      <c r="G23" s="163">
        <f t="shared" si="0"/>
        <v>0.82367594443976466</v>
      </c>
      <c r="H23" s="163">
        <f t="shared" si="1"/>
        <v>0.47574896113184273</v>
      </c>
    </row>
    <row r="24" spans="1:8">
      <c r="A24" s="684">
        <v>85</v>
      </c>
      <c r="B24" s="684">
        <v>89</v>
      </c>
      <c r="C24">
        <v>2656952</v>
      </c>
      <c r="D24">
        <v>30546</v>
      </c>
      <c r="E24">
        <f t="shared" si="3"/>
        <v>1516833</v>
      </c>
      <c r="F24">
        <f t="shared" si="2"/>
        <v>41531010</v>
      </c>
      <c r="G24" s="163">
        <f t="shared" si="0"/>
        <v>0.84060403800369754</v>
      </c>
      <c r="H24" s="163">
        <f t="shared" si="1"/>
        <v>0.50826530284685412</v>
      </c>
    </row>
    <row r="25" spans="1:8">
      <c r="A25" s="684">
        <v>90</v>
      </c>
      <c r="B25" s="684">
        <v>94</v>
      </c>
      <c r="C25">
        <v>2586126</v>
      </c>
      <c r="D25">
        <v>28111</v>
      </c>
      <c r="E25">
        <f t="shared" si="3"/>
        <v>1544944</v>
      </c>
      <c r="F25">
        <f t="shared" si="2"/>
        <v>44117136</v>
      </c>
      <c r="G25" s="163">
        <f t="shared" si="0"/>
        <v>0.85618269439653838</v>
      </c>
      <c r="H25" s="163">
        <f t="shared" si="1"/>
        <v>0.5399148609623472</v>
      </c>
    </row>
    <row r="26" spans="1:8">
      <c r="A26" s="684">
        <v>95</v>
      </c>
      <c r="B26" s="684">
        <v>99</v>
      </c>
      <c r="C26">
        <v>2467385</v>
      </c>
      <c r="D26">
        <v>25445</v>
      </c>
      <c r="E26">
        <f t="shared" si="3"/>
        <v>1570389</v>
      </c>
      <c r="F26">
        <f t="shared" si="2"/>
        <v>46584521</v>
      </c>
      <c r="G26" s="163">
        <f t="shared" si="0"/>
        <v>0.8702838971967175</v>
      </c>
      <c r="H26" s="163">
        <f t="shared" si="1"/>
        <v>0.57011124155277304</v>
      </c>
    </row>
    <row r="27" spans="1:8">
      <c r="A27" s="684">
        <v>100</v>
      </c>
      <c r="B27" s="684">
        <v>104</v>
      </c>
      <c r="C27">
        <v>2375575</v>
      </c>
      <c r="D27">
        <v>23305</v>
      </c>
      <c r="E27">
        <f t="shared" si="3"/>
        <v>1593694</v>
      </c>
      <c r="F27">
        <f t="shared" si="2"/>
        <v>48960096</v>
      </c>
      <c r="G27" s="163">
        <f t="shared" si="0"/>
        <v>0.88319914700053648</v>
      </c>
      <c r="H27" s="163">
        <f t="shared" si="1"/>
        <v>0.59918403190413738</v>
      </c>
    </row>
    <row r="28" spans="1:8">
      <c r="A28" s="684">
        <v>105</v>
      </c>
      <c r="B28" s="684">
        <v>109</v>
      </c>
      <c r="C28">
        <v>2280907</v>
      </c>
      <c r="D28">
        <v>21330</v>
      </c>
      <c r="E28">
        <f t="shared" si="3"/>
        <v>1615024</v>
      </c>
      <c r="F28">
        <f t="shared" si="2"/>
        <v>51241003</v>
      </c>
      <c r="G28" s="163">
        <f t="shared" si="0"/>
        <v>0.89501988410911659</v>
      </c>
      <c r="H28" s="163">
        <f t="shared" si="1"/>
        <v>0.62709825520668916</v>
      </c>
    </row>
    <row r="29" spans="1:8">
      <c r="A29" s="684">
        <v>110</v>
      </c>
      <c r="B29" s="684">
        <v>114</v>
      </c>
      <c r="C29">
        <v>2149363</v>
      </c>
      <c r="D29">
        <v>19200</v>
      </c>
      <c r="E29">
        <f t="shared" si="3"/>
        <v>1634224</v>
      </c>
      <c r="F29">
        <f t="shared" si="2"/>
        <v>53390366</v>
      </c>
      <c r="G29" s="163">
        <f t="shared" si="0"/>
        <v>0.90566021005776809</v>
      </c>
      <c r="H29" s="163">
        <f t="shared" si="1"/>
        <v>0.65340261515658737</v>
      </c>
    </row>
    <row r="30" spans="1:8">
      <c r="A30" s="684">
        <v>115</v>
      </c>
      <c r="B30" s="684">
        <v>119</v>
      </c>
      <c r="C30">
        <v>2050760</v>
      </c>
      <c r="D30">
        <v>17538</v>
      </c>
      <c r="E30">
        <f t="shared" si="3"/>
        <v>1651762</v>
      </c>
      <c r="F30">
        <f t="shared" si="2"/>
        <v>55441126</v>
      </c>
      <c r="G30" s="163">
        <f t="shared" si="0"/>
        <v>0.91537948279148951</v>
      </c>
      <c r="H30" s="163">
        <f t="shared" si="1"/>
        <v>0.67850025069365272</v>
      </c>
    </row>
    <row r="31" spans="1:8">
      <c r="A31" s="684">
        <v>120</v>
      </c>
      <c r="B31" s="684">
        <v>124</v>
      </c>
      <c r="C31">
        <v>1932448</v>
      </c>
      <c r="D31">
        <v>15844</v>
      </c>
      <c r="E31">
        <f t="shared" si="3"/>
        <v>1667606</v>
      </c>
      <c r="F31">
        <f t="shared" si="2"/>
        <v>57373574</v>
      </c>
      <c r="G31" s="163">
        <f t="shared" si="0"/>
        <v>0.92415996843369974</v>
      </c>
      <c r="H31" s="163">
        <f t="shared" si="1"/>
        <v>0.70214995889857712</v>
      </c>
    </row>
    <row r="32" spans="1:8">
      <c r="A32" s="684">
        <v>125</v>
      </c>
      <c r="B32" s="684">
        <v>129</v>
      </c>
      <c r="C32">
        <v>1816937</v>
      </c>
      <c r="D32">
        <v>14307</v>
      </c>
      <c r="E32">
        <f t="shared" si="3"/>
        <v>1681913</v>
      </c>
      <c r="F32">
        <f t="shared" si="2"/>
        <v>59190511</v>
      </c>
      <c r="G32" s="163">
        <f t="shared" si="0"/>
        <v>0.93208867381637461</v>
      </c>
      <c r="H32" s="163">
        <f t="shared" si="1"/>
        <v>0.72438601900303046</v>
      </c>
    </row>
    <row r="33" spans="1:8">
      <c r="A33" s="684">
        <v>130</v>
      </c>
      <c r="B33" s="684">
        <v>134</v>
      </c>
      <c r="C33">
        <v>1619553</v>
      </c>
      <c r="D33">
        <v>12272</v>
      </c>
      <c r="E33">
        <f t="shared" si="3"/>
        <v>1694185</v>
      </c>
      <c r="F33">
        <f t="shared" si="2"/>
        <v>60810064</v>
      </c>
      <c r="G33" s="163">
        <f t="shared" si="0"/>
        <v>0.93888961548522099</v>
      </c>
      <c r="H33" s="163">
        <f t="shared" si="1"/>
        <v>0.74420645188009105</v>
      </c>
    </row>
    <row r="34" spans="1:8">
      <c r="A34" s="684">
        <v>135</v>
      </c>
      <c r="B34" s="684">
        <v>139</v>
      </c>
      <c r="C34">
        <v>1546843</v>
      </c>
      <c r="D34">
        <v>11299</v>
      </c>
      <c r="E34">
        <f t="shared" si="3"/>
        <v>1705484</v>
      </c>
      <c r="F34">
        <f t="shared" si="2"/>
        <v>62356907</v>
      </c>
      <c r="G34" s="163">
        <f t="shared" si="0"/>
        <v>0.94515133646927385</v>
      </c>
      <c r="H34" s="163">
        <f t="shared" si="1"/>
        <v>0.7631370443663209</v>
      </c>
    </row>
    <row r="35" spans="1:8">
      <c r="A35" s="684">
        <v>140</v>
      </c>
      <c r="B35" s="684">
        <v>144</v>
      </c>
      <c r="C35">
        <v>1453622</v>
      </c>
      <c r="D35">
        <v>10242</v>
      </c>
      <c r="E35">
        <f t="shared" si="3"/>
        <v>1715726</v>
      </c>
      <c r="F35">
        <f t="shared" si="2"/>
        <v>63810529</v>
      </c>
      <c r="G35" s="163">
        <f t="shared" si="0"/>
        <v>0.95082728534250771</v>
      </c>
      <c r="H35" s="163">
        <f t="shared" si="1"/>
        <v>0.78092677849642866</v>
      </c>
    </row>
    <row r="36" spans="1:8">
      <c r="A36" s="684">
        <v>145</v>
      </c>
      <c r="B36" s="684">
        <v>149</v>
      </c>
      <c r="C36">
        <v>1323429</v>
      </c>
      <c r="D36">
        <v>9007</v>
      </c>
      <c r="E36">
        <f t="shared" si="3"/>
        <v>1724733</v>
      </c>
      <c r="F36">
        <f t="shared" si="2"/>
        <v>65133958</v>
      </c>
      <c r="G36" s="163">
        <f t="shared" si="0"/>
        <v>0.95581881741644015</v>
      </c>
      <c r="H36" s="163">
        <f t="shared" si="1"/>
        <v>0.7971231830982265</v>
      </c>
    </row>
    <row r="37" spans="1:8">
      <c r="A37" s="684">
        <v>150</v>
      </c>
      <c r="B37" s="684">
        <v>154</v>
      </c>
      <c r="C37">
        <v>1209060</v>
      </c>
      <c r="D37">
        <v>7955</v>
      </c>
      <c r="E37">
        <f t="shared" si="3"/>
        <v>1732688</v>
      </c>
      <c r="F37">
        <f t="shared" si="2"/>
        <v>66343018</v>
      </c>
      <c r="G37" s="163">
        <f t="shared" si="0"/>
        <v>0.96022734829776957</v>
      </c>
      <c r="H37" s="163">
        <f t="shared" si="1"/>
        <v>0.81191991563759924</v>
      </c>
    </row>
    <row r="38" spans="1:8">
      <c r="A38" s="684">
        <v>155</v>
      </c>
      <c r="B38" s="684">
        <v>159</v>
      </c>
      <c r="C38">
        <v>1127551</v>
      </c>
      <c r="D38">
        <v>7185</v>
      </c>
      <c r="E38">
        <f t="shared" si="3"/>
        <v>1739873</v>
      </c>
      <c r="F38">
        <f t="shared" si="2"/>
        <v>67470569</v>
      </c>
      <c r="G38" s="163">
        <f t="shared" si="0"/>
        <v>0.96420915777386651</v>
      </c>
      <c r="H38" s="163">
        <f t="shared" si="1"/>
        <v>0.82571912375919987</v>
      </c>
    </row>
    <row r="39" spans="1:8">
      <c r="A39" s="684">
        <v>160</v>
      </c>
      <c r="B39" s="684">
        <v>164</v>
      </c>
      <c r="C39">
        <v>1029903</v>
      </c>
      <c r="D39">
        <v>6360</v>
      </c>
      <c r="E39">
        <f t="shared" si="3"/>
        <v>1746233</v>
      </c>
      <c r="F39">
        <f t="shared" si="2"/>
        <v>68500472</v>
      </c>
      <c r="G39" s="163">
        <f t="shared" si="0"/>
        <v>0.96773376574435732</v>
      </c>
      <c r="H39" s="163">
        <f t="shared" si="1"/>
        <v>0.83832329496037894</v>
      </c>
    </row>
    <row r="40" spans="1:8">
      <c r="A40" s="684">
        <v>165</v>
      </c>
      <c r="B40" s="684">
        <v>169</v>
      </c>
      <c r="C40">
        <v>972134</v>
      </c>
      <c r="D40">
        <v>5823</v>
      </c>
      <c r="E40">
        <f t="shared" si="3"/>
        <v>1752056</v>
      </c>
      <c r="F40">
        <f t="shared" si="2"/>
        <v>69472606</v>
      </c>
      <c r="G40" s="163">
        <f t="shared" si="0"/>
        <v>0.97096077709847173</v>
      </c>
      <c r="H40" s="163">
        <f t="shared" si="1"/>
        <v>0.85022047689546132</v>
      </c>
    </row>
    <row r="41" spans="1:8">
      <c r="A41" s="684">
        <v>170</v>
      </c>
      <c r="B41" s="684">
        <v>174</v>
      </c>
      <c r="C41">
        <v>850680</v>
      </c>
      <c r="D41">
        <v>4946</v>
      </c>
      <c r="E41">
        <f t="shared" si="3"/>
        <v>1757002</v>
      </c>
      <c r="F41">
        <f t="shared" si="2"/>
        <v>70323286</v>
      </c>
      <c r="G41" s="163">
        <f t="shared" si="0"/>
        <v>0.97370176939753583</v>
      </c>
      <c r="H41" s="163">
        <f t="shared" si="1"/>
        <v>0.8606312790364582</v>
      </c>
    </row>
    <row r="42" spans="1:8">
      <c r="A42" s="684">
        <v>175</v>
      </c>
      <c r="B42" s="684">
        <v>179</v>
      </c>
      <c r="C42">
        <v>790539</v>
      </c>
      <c r="D42">
        <v>4468</v>
      </c>
      <c r="E42">
        <f t="shared" si="3"/>
        <v>1761470</v>
      </c>
      <c r="F42">
        <f t="shared" si="2"/>
        <v>71113825</v>
      </c>
      <c r="G42" s="163">
        <f t="shared" si="0"/>
        <v>0.97617786191516998</v>
      </c>
      <c r="H42" s="163">
        <f t="shared" si="1"/>
        <v>0.87030606287261458</v>
      </c>
    </row>
    <row r="43" spans="1:8">
      <c r="A43" s="684">
        <v>180</v>
      </c>
      <c r="B43" s="684">
        <v>184</v>
      </c>
      <c r="C43">
        <v>720718</v>
      </c>
      <c r="D43">
        <v>3960</v>
      </c>
      <c r="E43">
        <f t="shared" si="3"/>
        <v>1765430</v>
      </c>
      <c r="F43">
        <f t="shared" si="2"/>
        <v>71834543</v>
      </c>
      <c r="G43" s="163">
        <f t="shared" si="0"/>
        <v>0.97837242914207934</v>
      </c>
      <c r="H43" s="163">
        <f t="shared" si="1"/>
        <v>0.87912636251226162</v>
      </c>
    </row>
    <row r="44" spans="1:8">
      <c r="A44" s="684">
        <v>185</v>
      </c>
      <c r="B44" s="684">
        <v>189</v>
      </c>
      <c r="C44">
        <v>666446</v>
      </c>
      <c r="D44">
        <v>3565</v>
      </c>
      <c r="E44">
        <f t="shared" si="3"/>
        <v>1768995</v>
      </c>
      <c r="F44">
        <f t="shared" si="2"/>
        <v>72500989</v>
      </c>
      <c r="G44" s="163">
        <f t="shared" si="0"/>
        <v>0.98034809382994104</v>
      </c>
      <c r="H44" s="163">
        <f t="shared" si="1"/>
        <v>0.88728246991299842</v>
      </c>
    </row>
    <row r="45" spans="1:8">
      <c r="A45" s="684">
        <v>190</v>
      </c>
      <c r="B45" s="684">
        <v>194</v>
      </c>
      <c r="C45">
        <v>631145</v>
      </c>
      <c r="D45">
        <v>3288</v>
      </c>
      <c r="E45">
        <f t="shared" si="3"/>
        <v>1772283</v>
      </c>
      <c r="F45">
        <f t="shared" si="2"/>
        <v>73132134</v>
      </c>
      <c r="G45" s="163">
        <f t="shared" si="0"/>
        <v>0.98217024964864752</v>
      </c>
      <c r="H45" s="163">
        <f t="shared" si="1"/>
        <v>0.89500655619371439</v>
      </c>
    </row>
    <row r="46" spans="1:8">
      <c r="A46" s="684">
        <v>195</v>
      </c>
      <c r="B46" s="684">
        <v>199</v>
      </c>
      <c r="C46">
        <v>576451</v>
      </c>
      <c r="D46">
        <v>2926</v>
      </c>
      <c r="E46">
        <f t="shared" si="3"/>
        <v>1775209</v>
      </c>
      <c r="F46">
        <f t="shared" si="2"/>
        <v>73708585</v>
      </c>
      <c r="G46" s="163">
        <f t="shared" si="0"/>
        <v>0.98379179098853065</v>
      </c>
      <c r="H46" s="163">
        <f t="shared" si="1"/>
        <v>0.90206128571007749</v>
      </c>
    </row>
    <row r="47" spans="1:8">
      <c r="A47" s="684">
        <v>200</v>
      </c>
      <c r="B47" s="684">
        <v>299</v>
      </c>
      <c r="C47">
        <v>5401294</v>
      </c>
      <c r="D47">
        <v>23069</v>
      </c>
      <c r="E47">
        <f t="shared" si="3"/>
        <v>1798278</v>
      </c>
      <c r="F47">
        <f t="shared" si="2"/>
        <v>79109879</v>
      </c>
      <c r="G47" s="163">
        <f t="shared" si="0"/>
        <v>0.99657625345256406</v>
      </c>
      <c r="H47" s="163">
        <f t="shared" si="1"/>
        <v>0.96816346648234619</v>
      </c>
    </row>
    <row r="48" spans="1:8">
      <c r="A48" s="684">
        <v>300</v>
      </c>
      <c r="B48" s="684">
        <v>399</v>
      </c>
      <c r="C48">
        <v>1343231</v>
      </c>
      <c r="D48">
        <v>3979</v>
      </c>
      <c r="E48">
        <f t="shared" si="3"/>
        <v>1802257</v>
      </c>
      <c r="F48">
        <f t="shared" si="2"/>
        <v>80453110</v>
      </c>
      <c r="G48" s="163">
        <f t="shared" si="0"/>
        <v>0.99878135016869352</v>
      </c>
      <c r="H48" s="163">
        <f t="shared" si="1"/>
        <v>0.98460221215716315</v>
      </c>
    </row>
    <row r="49" spans="1:8">
      <c r="A49" s="684">
        <v>400</v>
      </c>
      <c r="B49" s="684">
        <v>499</v>
      </c>
      <c r="C49">
        <v>525710</v>
      </c>
      <c r="D49">
        <v>1194</v>
      </c>
      <c r="E49">
        <f t="shared" si="3"/>
        <v>1803451</v>
      </c>
      <c r="F49">
        <f t="shared" si="2"/>
        <v>80978820</v>
      </c>
      <c r="G49" s="163">
        <f t="shared" si="0"/>
        <v>0.99944304543862528</v>
      </c>
      <c r="H49" s="163">
        <f t="shared" si="1"/>
        <v>0.9910359625610089</v>
      </c>
    </row>
    <row r="50" spans="1:8">
      <c r="A50" s="684">
        <v>500</v>
      </c>
      <c r="B50" s="684">
        <v>999</v>
      </c>
      <c r="C50">
        <v>562308</v>
      </c>
      <c r="D50">
        <v>894</v>
      </c>
      <c r="E50">
        <f t="shared" si="3"/>
        <v>1804345</v>
      </c>
      <c r="F50">
        <f t="shared" si="2"/>
        <v>81541128</v>
      </c>
      <c r="G50" s="163">
        <f t="shared" si="0"/>
        <v>0.99993848561560938</v>
      </c>
      <c r="H50" s="163">
        <f t="shared" si="1"/>
        <v>0.99791760704577359</v>
      </c>
    </row>
    <row r="51" spans="1:8">
      <c r="A51" s="684">
        <v>1000</v>
      </c>
      <c r="B51" s="684">
        <v>1999</v>
      </c>
      <c r="C51">
        <v>125670.99999999999</v>
      </c>
      <c r="D51">
        <v>95</v>
      </c>
      <c r="E51">
        <f t="shared" si="3"/>
        <v>1804440</v>
      </c>
      <c r="F51">
        <f t="shared" si="2"/>
        <v>81666799</v>
      </c>
      <c r="G51" s="163">
        <f t="shared" si="0"/>
        <v>0.9999911330617095</v>
      </c>
      <c r="H51" s="163">
        <f t="shared" si="1"/>
        <v>0.99945559537964912</v>
      </c>
    </row>
    <row r="52" spans="1:8">
      <c r="A52" s="684">
        <v>2000</v>
      </c>
      <c r="B52" s="684">
        <v>10000</v>
      </c>
      <c r="C52">
        <v>44484</v>
      </c>
      <c r="D52">
        <v>16</v>
      </c>
      <c r="E52">
        <f t="shared" si="3"/>
        <v>1804456</v>
      </c>
      <c r="F52">
        <f t="shared" si="2"/>
        <v>81711283</v>
      </c>
      <c r="G52" s="163">
        <f t="shared" si="0"/>
        <v>1</v>
      </c>
      <c r="H52" s="163">
        <f t="shared" si="1"/>
        <v>1</v>
      </c>
    </row>
    <row r="54" spans="1:8">
      <c r="A54" s="685"/>
      <c r="B54" s="686"/>
      <c r="D54" s="687" t="s">
        <v>912</v>
      </c>
      <c r="E54" s="688">
        <f>MAX(E6:E52)/12</f>
        <v>150371.33333333334</v>
      </c>
    </row>
    <row r="55" spans="1:8">
      <c r="A55" s="685"/>
      <c r="B55" s="686"/>
      <c r="D55" s="687" t="s">
        <v>913</v>
      </c>
      <c r="E55" s="688">
        <f>MAX(F6:F52)/E54/12</f>
        <v>45.283056500130783</v>
      </c>
    </row>
    <row r="56" spans="1:8">
      <c r="A56" s="689"/>
      <c r="B56" s="690"/>
      <c r="D56" s="691" t="s">
        <v>914</v>
      </c>
      <c r="E56" s="692">
        <f>VLOOKUP(B3,[17]!Percentiles_All_Bills,9,0)</f>
        <v>25</v>
      </c>
    </row>
  </sheetData>
  <conditionalFormatting sqref="M2:M3">
    <cfRule type="cellIs" dxfId="113" priority="1" operator="equal">
      <formula>0</formula>
    </cfRule>
    <cfRule type="cellIs" dxfId="112" priority="2" operator="lessThan">
      <formula>0</formula>
    </cfRule>
    <cfRule type="cellIs" dxfId="111" priority="3" operator="greaterThan">
      <formula>0</formula>
    </cfRule>
  </conditionalFormatting>
  <pageMargins left="0.7" right="0.7" top="0.75" bottom="0.75" header="0.3" footer="0.3"/>
  <pageSetup scale="54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D91A5-DF2C-478A-84D9-91F67D7E9DBB}">
  <sheetPr codeName="Sheet51">
    <tabColor theme="9" tint="0.79998168889431442"/>
  </sheetPr>
  <dimension ref="A1:M53"/>
  <sheetViews>
    <sheetView zoomScale="80" zoomScaleNormal="80" workbookViewId="0"/>
  </sheetViews>
  <sheetFormatPr defaultRowHeight="15"/>
  <cols>
    <col min="1" max="1" width="25" customWidth="1"/>
    <col min="2" max="2" width="11.14062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Residential CARES Gas Service</v>
      </c>
      <c r="J1" s="682" t="s">
        <v>518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518</v>
      </c>
      <c r="J2" s="682" t="s">
        <v>900</v>
      </c>
      <c r="K2" s="683">
        <f>'GRRESC Billed'!E49</f>
        <v>73604</v>
      </c>
      <c r="L2" s="683">
        <f>VLOOKUP($J1,Summary!$B:$P,2,0)</f>
        <v>73604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5752</v>
      </c>
      <c r="J3" s="682" t="s">
        <v>902</v>
      </c>
      <c r="K3" s="683">
        <f>'GRRESC Billed'!F49</f>
        <v>2710566</v>
      </c>
      <c r="L3" s="683">
        <f>VLOOKUP($J1,Summary!$B:$P,3,0)</f>
        <v>2710566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4</v>
      </c>
      <c r="C7">
        <v>15664</v>
      </c>
      <c r="D7">
        <f>6758-25</f>
        <v>6733</v>
      </c>
      <c r="E7">
        <f>D7</f>
        <v>6733</v>
      </c>
      <c r="F7">
        <f>C7</f>
        <v>15664</v>
      </c>
      <c r="G7" s="163">
        <f t="shared" ref="G7:G49" si="0">E7/MAX($E$7:$E$50)</f>
        <v>9.1476006738764201E-2</v>
      </c>
      <c r="H7" s="163">
        <f t="shared" ref="H7:H49" si="1">F7/MAX($F$7:$F$50)</f>
        <v>5.7788668492115671E-3</v>
      </c>
    </row>
    <row r="8" spans="1:13">
      <c r="A8">
        <v>5</v>
      </c>
      <c r="B8">
        <v>9</v>
      </c>
      <c r="C8">
        <v>82843</v>
      </c>
      <c r="D8">
        <v>11994</v>
      </c>
      <c r="E8">
        <f>E7+D8</f>
        <v>18727</v>
      </c>
      <c r="F8">
        <f>F7+C8</f>
        <v>98507</v>
      </c>
      <c r="G8" s="163">
        <f t="shared" si="0"/>
        <v>0.25442910711374384</v>
      </c>
      <c r="H8" s="163">
        <f t="shared" si="1"/>
        <v>3.6341856276511993E-2</v>
      </c>
    </row>
    <row r="9" spans="1:13">
      <c r="A9">
        <v>10</v>
      </c>
      <c r="B9">
        <v>14</v>
      </c>
      <c r="C9">
        <v>109594</v>
      </c>
      <c r="D9">
        <v>9269</v>
      </c>
      <c r="E9">
        <f>E8+D9</f>
        <v>27996</v>
      </c>
      <c r="F9">
        <f t="shared" ref="F9:F49" si="2">F8+C9</f>
        <v>208101</v>
      </c>
      <c r="G9" s="163">
        <f t="shared" si="0"/>
        <v>0.38035976305635566</v>
      </c>
      <c r="H9" s="163">
        <f t="shared" si="1"/>
        <v>7.6774002182569981E-2</v>
      </c>
    </row>
    <row r="10" spans="1:13">
      <c r="A10">
        <v>15</v>
      </c>
      <c r="B10">
        <v>19</v>
      </c>
      <c r="C10">
        <v>127017</v>
      </c>
      <c r="D10">
        <v>7526</v>
      </c>
      <c r="E10">
        <f t="shared" ref="E10:E49" si="3">E9+D10</f>
        <v>35522</v>
      </c>
      <c r="F10">
        <f t="shared" si="2"/>
        <v>335118</v>
      </c>
      <c r="G10" s="163">
        <f t="shared" si="0"/>
        <v>0.48260964078039237</v>
      </c>
      <c r="H10" s="163">
        <f t="shared" si="1"/>
        <v>0.12363395689313597</v>
      </c>
    </row>
    <row r="11" spans="1:13">
      <c r="A11">
        <v>20</v>
      </c>
      <c r="B11">
        <v>24</v>
      </c>
      <c r="C11">
        <v>103765</v>
      </c>
      <c r="D11">
        <v>4739</v>
      </c>
      <c r="E11">
        <f t="shared" si="3"/>
        <v>40261</v>
      </c>
      <c r="F11">
        <f t="shared" si="2"/>
        <v>438883</v>
      </c>
      <c r="G11" s="163">
        <f t="shared" si="0"/>
        <v>0.54699472854736153</v>
      </c>
      <c r="H11" s="163">
        <f t="shared" si="1"/>
        <v>0.16191562942942545</v>
      </c>
    </row>
    <row r="12" spans="1:13">
      <c r="A12">
        <v>25</v>
      </c>
      <c r="B12">
        <v>29</v>
      </c>
      <c r="C12">
        <v>99664</v>
      </c>
      <c r="D12">
        <v>3702</v>
      </c>
      <c r="E12">
        <f t="shared" si="3"/>
        <v>43963</v>
      </c>
      <c r="F12">
        <f t="shared" si="2"/>
        <v>538547</v>
      </c>
      <c r="G12" s="163">
        <f t="shared" si="0"/>
        <v>0.59729090810282048</v>
      </c>
      <c r="H12" s="163">
        <f t="shared" si="1"/>
        <v>0.19868433382548148</v>
      </c>
    </row>
    <row r="13" spans="1:13">
      <c r="A13">
        <v>30</v>
      </c>
      <c r="B13">
        <v>34</v>
      </c>
      <c r="C13">
        <v>94167</v>
      </c>
      <c r="D13">
        <v>2948</v>
      </c>
      <c r="E13">
        <f t="shared" si="3"/>
        <v>46911</v>
      </c>
      <c r="F13">
        <f t="shared" si="2"/>
        <v>632714</v>
      </c>
      <c r="G13" s="163">
        <f t="shared" si="0"/>
        <v>0.63734307918047928</v>
      </c>
      <c r="H13" s="163">
        <f t="shared" si="1"/>
        <v>0.23342504849540649</v>
      </c>
    </row>
    <row r="14" spans="1:13">
      <c r="A14">
        <v>35</v>
      </c>
      <c r="B14">
        <v>39</v>
      </c>
      <c r="C14">
        <v>91332</v>
      </c>
      <c r="D14">
        <v>2473</v>
      </c>
      <c r="E14">
        <f t="shared" si="3"/>
        <v>49384</v>
      </c>
      <c r="F14">
        <f t="shared" si="2"/>
        <v>724046</v>
      </c>
      <c r="G14" s="163">
        <f t="shared" si="0"/>
        <v>0.6709417966414869</v>
      </c>
      <c r="H14" s="163">
        <f t="shared" si="1"/>
        <v>0.2671198561481255</v>
      </c>
    </row>
    <row r="15" spans="1:13">
      <c r="A15">
        <v>40</v>
      </c>
      <c r="B15">
        <v>44</v>
      </c>
      <c r="C15">
        <v>98660</v>
      </c>
      <c r="D15">
        <v>2352</v>
      </c>
      <c r="E15">
        <f t="shared" si="3"/>
        <v>51736</v>
      </c>
      <c r="F15">
        <f t="shared" si="2"/>
        <v>822706</v>
      </c>
      <c r="G15" s="163">
        <f t="shared" si="0"/>
        <v>0.7028965817075159</v>
      </c>
      <c r="H15" s="163">
        <f t="shared" si="1"/>
        <v>0.30351815820016925</v>
      </c>
    </row>
    <row r="16" spans="1:13">
      <c r="A16">
        <v>45</v>
      </c>
      <c r="B16">
        <v>49</v>
      </c>
      <c r="C16">
        <v>94127</v>
      </c>
      <c r="D16">
        <v>2005</v>
      </c>
      <c r="E16">
        <f t="shared" si="3"/>
        <v>53741</v>
      </c>
      <c r="F16">
        <f t="shared" si="2"/>
        <v>916833</v>
      </c>
      <c r="G16" s="163">
        <f t="shared" si="0"/>
        <v>0.7301369490788544</v>
      </c>
      <c r="H16" s="163">
        <f t="shared" si="1"/>
        <v>0.33824411580459579</v>
      </c>
    </row>
    <row r="17" spans="1:8">
      <c r="A17">
        <v>50</v>
      </c>
      <c r="B17">
        <v>54</v>
      </c>
      <c r="C17">
        <v>101382</v>
      </c>
      <c r="D17">
        <v>1950</v>
      </c>
      <c r="E17">
        <f t="shared" si="3"/>
        <v>55691</v>
      </c>
      <c r="F17">
        <f t="shared" si="2"/>
        <v>1018215</v>
      </c>
      <c r="G17" s="163">
        <f t="shared" si="0"/>
        <v>0.75663007445247543</v>
      </c>
      <c r="H17" s="163">
        <f t="shared" si="1"/>
        <v>0.37564663616381228</v>
      </c>
    </row>
    <row r="18" spans="1:8">
      <c r="A18">
        <v>55</v>
      </c>
      <c r="B18">
        <v>59</v>
      </c>
      <c r="C18">
        <v>103891</v>
      </c>
      <c r="D18">
        <v>1824</v>
      </c>
      <c r="E18">
        <f t="shared" si="3"/>
        <v>57515</v>
      </c>
      <c r="F18">
        <f t="shared" si="2"/>
        <v>1122106</v>
      </c>
      <c r="G18" s="163">
        <f t="shared" si="0"/>
        <v>0.78141133634041626</v>
      </c>
      <c r="H18" s="163">
        <f t="shared" si="1"/>
        <v>0.41397479345642202</v>
      </c>
    </row>
    <row r="19" spans="1:8">
      <c r="A19">
        <v>60</v>
      </c>
      <c r="B19">
        <v>64</v>
      </c>
      <c r="C19">
        <v>105662</v>
      </c>
      <c r="D19">
        <v>1704</v>
      </c>
      <c r="E19">
        <f t="shared" si="3"/>
        <v>59219</v>
      </c>
      <c r="F19">
        <f t="shared" si="2"/>
        <v>1227768</v>
      </c>
      <c r="G19" s="163">
        <f t="shared" si="0"/>
        <v>0.80456225205151899</v>
      </c>
      <c r="H19" s="163">
        <f t="shared" si="1"/>
        <v>0.45295631982397772</v>
      </c>
    </row>
    <row r="20" spans="1:8">
      <c r="A20">
        <v>65</v>
      </c>
      <c r="B20">
        <v>69</v>
      </c>
      <c r="C20">
        <v>99651</v>
      </c>
      <c r="D20">
        <v>1489</v>
      </c>
      <c r="E20">
        <f t="shared" si="3"/>
        <v>60708</v>
      </c>
      <c r="F20">
        <f t="shared" si="2"/>
        <v>1327419</v>
      </c>
      <c r="G20" s="163">
        <f t="shared" si="0"/>
        <v>0.82479213086245318</v>
      </c>
      <c r="H20" s="163">
        <f t="shared" si="1"/>
        <v>0.48972022817374672</v>
      </c>
    </row>
    <row r="21" spans="1:8">
      <c r="A21">
        <v>70</v>
      </c>
      <c r="B21">
        <v>74</v>
      </c>
      <c r="C21">
        <v>107559</v>
      </c>
      <c r="D21">
        <v>1495</v>
      </c>
      <c r="E21">
        <f t="shared" si="3"/>
        <v>62203</v>
      </c>
      <c r="F21">
        <f t="shared" si="2"/>
        <v>1434978</v>
      </c>
      <c r="G21" s="163">
        <f t="shared" si="0"/>
        <v>0.84510352698222924</v>
      </c>
      <c r="H21" s="163">
        <f t="shared" si="1"/>
        <v>0.52940160837256867</v>
      </c>
    </row>
    <row r="22" spans="1:8">
      <c r="A22">
        <v>75</v>
      </c>
      <c r="B22">
        <v>79</v>
      </c>
      <c r="C22">
        <v>102617</v>
      </c>
      <c r="D22">
        <v>1334</v>
      </c>
      <c r="E22">
        <f t="shared" si="3"/>
        <v>63537</v>
      </c>
      <c r="F22">
        <f t="shared" si="2"/>
        <v>1537595</v>
      </c>
      <c r="G22" s="163">
        <f t="shared" si="0"/>
        <v>0.86322754198141405</v>
      </c>
      <c r="H22" s="163">
        <f t="shared" si="1"/>
        <v>0.5672597531290513</v>
      </c>
    </row>
    <row r="23" spans="1:8">
      <c r="A23">
        <v>80</v>
      </c>
      <c r="B23">
        <v>84</v>
      </c>
      <c r="C23">
        <v>102993</v>
      </c>
      <c r="D23">
        <v>1257</v>
      </c>
      <c r="E23">
        <f t="shared" si="3"/>
        <v>64794</v>
      </c>
      <c r="F23">
        <f t="shared" si="2"/>
        <v>1640588</v>
      </c>
      <c r="G23" s="163">
        <f t="shared" si="0"/>
        <v>0.88030541818379437</v>
      </c>
      <c r="H23" s="163">
        <f t="shared" si="1"/>
        <v>0.6052566143012198</v>
      </c>
    </row>
    <row r="24" spans="1:8">
      <c r="A24">
        <v>85</v>
      </c>
      <c r="B24">
        <v>89</v>
      </c>
      <c r="C24">
        <v>91481</v>
      </c>
      <c r="D24">
        <v>1051</v>
      </c>
      <c r="E24">
        <f t="shared" si="3"/>
        <v>65845</v>
      </c>
      <c r="F24">
        <f t="shared" si="2"/>
        <v>1732069</v>
      </c>
      <c r="G24" s="163">
        <f t="shared" si="0"/>
        <v>0.89458453344926903</v>
      </c>
      <c r="H24" s="163">
        <f t="shared" si="1"/>
        <v>0.63900639202292064</v>
      </c>
    </row>
    <row r="25" spans="1:8">
      <c r="A25">
        <v>90</v>
      </c>
      <c r="B25">
        <v>94</v>
      </c>
      <c r="C25">
        <v>86695</v>
      </c>
      <c r="D25">
        <v>943</v>
      </c>
      <c r="E25">
        <f t="shared" si="3"/>
        <v>66788</v>
      </c>
      <c r="F25">
        <f t="shared" si="2"/>
        <v>1818764</v>
      </c>
      <c r="G25" s="163">
        <f t="shared" si="0"/>
        <v>0.90739633715558932</v>
      </c>
      <c r="H25" s="163">
        <f t="shared" si="1"/>
        <v>0.67099048685772644</v>
      </c>
    </row>
    <row r="26" spans="1:8">
      <c r="A26">
        <v>95</v>
      </c>
      <c r="B26">
        <v>99</v>
      </c>
      <c r="C26">
        <v>85873</v>
      </c>
      <c r="D26">
        <v>886</v>
      </c>
      <c r="E26">
        <f t="shared" si="3"/>
        <v>67674</v>
      </c>
      <c r="F26">
        <f t="shared" si="2"/>
        <v>1904637</v>
      </c>
      <c r="G26" s="163">
        <f t="shared" si="0"/>
        <v>0.91943372642791155</v>
      </c>
      <c r="H26" s="163">
        <f t="shared" si="1"/>
        <v>0.70267132399653798</v>
      </c>
    </row>
    <row r="27" spans="1:8">
      <c r="A27">
        <v>100</v>
      </c>
      <c r="B27">
        <v>104</v>
      </c>
      <c r="C27">
        <v>78143</v>
      </c>
      <c r="D27">
        <v>766</v>
      </c>
      <c r="E27">
        <f t="shared" si="3"/>
        <v>68440</v>
      </c>
      <c r="F27">
        <f t="shared" si="2"/>
        <v>1982780</v>
      </c>
      <c r="G27" s="163">
        <f t="shared" si="0"/>
        <v>0.92984076952339545</v>
      </c>
      <c r="H27" s="163">
        <f t="shared" si="1"/>
        <v>0.73150035822776494</v>
      </c>
    </row>
    <row r="28" spans="1:8">
      <c r="A28">
        <v>105</v>
      </c>
      <c r="B28">
        <v>109</v>
      </c>
      <c r="C28">
        <v>71626</v>
      </c>
      <c r="D28">
        <v>670</v>
      </c>
      <c r="E28">
        <f t="shared" si="3"/>
        <v>69110</v>
      </c>
      <c r="F28">
        <f t="shared" si="2"/>
        <v>2054406</v>
      </c>
      <c r="G28" s="163">
        <f t="shared" si="0"/>
        <v>0.93894353567740885</v>
      </c>
      <c r="H28" s="163">
        <f t="shared" si="1"/>
        <v>0.75792509756264925</v>
      </c>
    </row>
    <row r="29" spans="1:8">
      <c r="A29">
        <v>110</v>
      </c>
      <c r="B29">
        <v>114</v>
      </c>
      <c r="C29">
        <v>66492</v>
      </c>
      <c r="D29">
        <v>594</v>
      </c>
      <c r="E29">
        <f t="shared" si="3"/>
        <v>69704</v>
      </c>
      <c r="F29">
        <f t="shared" si="2"/>
        <v>2120898</v>
      </c>
      <c r="G29" s="163">
        <f t="shared" si="0"/>
        <v>0.94701374925275805</v>
      </c>
      <c r="H29" s="163">
        <f t="shared" si="1"/>
        <v>0.78245576754080148</v>
      </c>
    </row>
    <row r="30" spans="1:8">
      <c r="A30">
        <v>115</v>
      </c>
      <c r="B30">
        <v>119</v>
      </c>
      <c r="C30">
        <v>59000</v>
      </c>
      <c r="D30">
        <v>505</v>
      </c>
      <c r="E30">
        <f t="shared" si="3"/>
        <v>70209</v>
      </c>
      <c r="F30">
        <f t="shared" si="2"/>
        <v>2179898</v>
      </c>
      <c r="G30" s="163">
        <f t="shared" si="0"/>
        <v>0.95387478941361881</v>
      </c>
      <c r="H30" s="163">
        <f t="shared" si="1"/>
        <v>0.80422243915108504</v>
      </c>
    </row>
    <row r="31" spans="1:8">
      <c r="A31">
        <v>120</v>
      </c>
      <c r="B31">
        <v>124</v>
      </c>
      <c r="C31">
        <v>59530</v>
      </c>
      <c r="D31">
        <v>488</v>
      </c>
      <c r="E31">
        <f t="shared" si="3"/>
        <v>70697</v>
      </c>
      <c r="F31">
        <f t="shared" si="2"/>
        <v>2239428</v>
      </c>
      <c r="G31" s="163">
        <f t="shared" si="0"/>
        <v>0.96050486386609424</v>
      </c>
      <c r="H31" s="163">
        <f t="shared" si="1"/>
        <v>0.8261846418792238</v>
      </c>
    </row>
    <row r="32" spans="1:8">
      <c r="A32">
        <v>125</v>
      </c>
      <c r="B32">
        <v>129</v>
      </c>
      <c r="C32">
        <v>50809</v>
      </c>
      <c r="D32">
        <v>400</v>
      </c>
      <c r="E32">
        <f t="shared" si="3"/>
        <v>71097</v>
      </c>
      <c r="F32">
        <f t="shared" si="2"/>
        <v>2290237</v>
      </c>
      <c r="G32" s="163">
        <f t="shared" si="0"/>
        <v>0.96593935112222162</v>
      </c>
      <c r="H32" s="163">
        <f t="shared" si="1"/>
        <v>0.84492943540205256</v>
      </c>
    </row>
    <row r="33" spans="1:8">
      <c r="A33">
        <v>130</v>
      </c>
      <c r="B33">
        <v>134</v>
      </c>
      <c r="C33">
        <v>44601</v>
      </c>
      <c r="D33">
        <v>338</v>
      </c>
      <c r="E33">
        <f t="shared" si="3"/>
        <v>71435</v>
      </c>
      <c r="F33">
        <f t="shared" si="2"/>
        <v>2334838</v>
      </c>
      <c r="G33" s="163">
        <f t="shared" si="0"/>
        <v>0.97053149285364926</v>
      </c>
      <c r="H33" s="163">
        <f t="shared" si="1"/>
        <v>0.8613839323595146</v>
      </c>
    </row>
    <row r="34" spans="1:8">
      <c r="A34">
        <v>135</v>
      </c>
      <c r="B34">
        <v>139</v>
      </c>
      <c r="C34">
        <v>38600</v>
      </c>
      <c r="D34">
        <v>282</v>
      </c>
      <c r="E34">
        <f t="shared" si="3"/>
        <v>71717</v>
      </c>
      <c r="F34">
        <f t="shared" si="2"/>
        <v>2373438</v>
      </c>
      <c r="G34" s="163">
        <f t="shared" si="0"/>
        <v>0.97436280636921901</v>
      </c>
      <c r="H34" s="163">
        <f t="shared" si="1"/>
        <v>0.87562450056556451</v>
      </c>
    </row>
    <row r="35" spans="1:8">
      <c r="A35">
        <v>140</v>
      </c>
      <c r="B35">
        <v>144</v>
      </c>
      <c r="C35">
        <v>30126</v>
      </c>
      <c r="D35">
        <v>212</v>
      </c>
      <c r="E35">
        <f t="shared" si="3"/>
        <v>71929</v>
      </c>
      <c r="F35">
        <f t="shared" si="2"/>
        <v>2403564</v>
      </c>
      <c r="G35" s="163">
        <f t="shared" si="0"/>
        <v>0.97724308461496656</v>
      </c>
      <c r="H35" s="163">
        <f t="shared" si="1"/>
        <v>0.88673878444575782</v>
      </c>
    </row>
    <row r="36" spans="1:8">
      <c r="A36">
        <v>145</v>
      </c>
      <c r="B36">
        <v>149</v>
      </c>
      <c r="C36">
        <v>31606</v>
      </c>
      <c r="D36">
        <v>215</v>
      </c>
      <c r="E36">
        <f t="shared" si="3"/>
        <v>72144</v>
      </c>
      <c r="F36">
        <f t="shared" si="2"/>
        <v>2435170</v>
      </c>
      <c r="G36" s="163">
        <f t="shared" si="0"/>
        <v>0.9801641215151351</v>
      </c>
      <c r="H36" s="163">
        <f t="shared" si="1"/>
        <v>0.89839907974939548</v>
      </c>
    </row>
    <row r="37" spans="1:8">
      <c r="A37">
        <v>150</v>
      </c>
      <c r="B37">
        <v>154</v>
      </c>
      <c r="C37">
        <v>31601</v>
      </c>
      <c r="D37">
        <v>208</v>
      </c>
      <c r="E37">
        <f t="shared" si="3"/>
        <v>72352</v>
      </c>
      <c r="F37">
        <f t="shared" si="2"/>
        <v>2466771</v>
      </c>
      <c r="G37" s="163">
        <f t="shared" si="0"/>
        <v>0.98299005488832125</v>
      </c>
      <c r="H37" s="163">
        <f t="shared" si="1"/>
        <v>0.91005753041984594</v>
      </c>
    </row>
    <row r="38" spans="1:8">
      <c r="A38">
        <v>155</v>
      </c>
      <c r="B38">
        <v>159</v>
      </c>
      <c r="C38">
        <v>25434</v>
      </c>
      <c r="D38">
        <v>162</v>
      </c>
      <c r="E38">
        <f t="shared" si="3"/>
        <v>72514</v>
      </c>
      <c r="F38">
        <f t="shared" si="2"/>
        <v>2492205</v>
      </c>
      <c r="G38" s="163">
        <f t="shared" si="0"/>
        <v>0.9851910222270529</v>
      </c>
      <c r="H38" s="163">
        <f t="shared" si="1"/>
        <v>0.91944081051706539</v>
      </c>
    </row>
    <row r="39" spans="1:8">
      <c r="A39">
        <v>160</v>
      </c>
      <c r="B39">
        <v>164</v>
      </c>
      <c r="C39">
        <v>19603</v>
      </c>
      <c r="D39">
        <v>121</v>
      </c>
      <c r="E39">
        <f t="shared" si="3"/>
        <v>72635</v>
      </c>
      <c r="F39">
        <f t="shared" si="2"/>
        <v>2511808</v>
      </c>
      <c r="G39" s="163">
        <f t="shared" si="0"/>
        <v>0.98683495462203141</v>
      </c>
      <c r="H39" s="163">
        <f t="shared" si="1"/>
        <v>0.92667287939124154</v>
      </c>
    </row>
    <row r="40" spans="1:8">
      <c r="A40">
        <v>165</v>
      </c>
      <c r="B40">
        <v>169</v>
      </c>
      <c r="C40">
        <v>20857</v>
      </c>
      <c r="D40">
        <v>125</v>
      </c>
      <c r="E40">
        <f t="shared" si="3"/>
        <v>72760</v>
      </c>
      <c r="F40">
        <f t="shared" si="2"/>
        <v>2532665</v>
      </c>
      <c r="G40" s="163">
        <f t="shared" si="0"/>
        <v>0.98853323188957121</v>
      </c>
      <c r="H40" s="163">
        <f t="shared" si="1"/>
        <v>0.93436758226879557</v>
      </c>
    </row>
    <row r="41" spans="1:8">
      <c r="A41">
        <v>170</v>
      </c>
      <c r="B41">
        <v>174</v>
      </c>
      <c r="C41">
        <v>17719</v>
      </c>
      <c r="D41">
        <v>103</v>
      </c>
      <c r="E41">
        <f t="shared" si="3"/>
        <v>72863</v>
      </c>
      <c r="F41">
        <f t="shared" si="2"/>
        <v>2550384</v>
      </c>
      <c r="G41" s="163">
        <f t="shared" si="0"/>
        <v>0.98993261235802399</v>
      </c>
      <c r="H41" s="163">
        <f t="shared" si="1"/>
        <v>0.94090459335799237</v>
      </c>
    </row>
    <row r="42" spans="1:8">
      <c r="A42">
        <v>175</v>
      </c>
      <c r="B42">
        <v>179</v>
      </c>
      <c r="C42">
        <v>17010</v>
      </c>
      <c r="D42">
        <v>96</v>
      </c>
      <c r="E42">
        <f t="shared" si="3"/>
        <v>72959</v>
      </c>
      <c r="F42">
        <f t="shared" si="2"/>
        <v>2567394</v>
      </c>
      <c r="G42" s="163">
        <f t="shared" si="0"/>
        <v>0.99123688929949461</v>
      </c>
      <c r="H42" s="163">
        <f t="shared" si="1"/>
        <v>0.94718003546122842</v>
      </c>
    </row>
    <row r="43" spans="1:8">
      <c r="A43">
        <v>180</v>
      </c>
      <c r="B43">
        <v>184</v>
      </c>
      <c r="C43">
        <v>15100</v>
      </c>
      <c r="D43">
        <v>83</v>
      </c>
      <c r="E43">
        <f t="shared" si="3"/>
        <v>73042</v>
      </c>
      <c r="F43">
        <f t="shared" si="2"/>
        <v>2582494</v>
      </c>
      <c r="G43" s="163">
        <f t="shared" si="0"/>
        <v>0.99236454540514107</v>
      </c>
      <c r="H43" s="163">
        <f t="shared" si="1"/>
        <v>0.95275082768691111</v>
      </c>
    </row>
    <row r="44" spans="1:8">
      <c r="A44">
        <v>185</v>
      </c>
      <c r="B44">
        <v>189</v>
      </c>
      <c r="C44">
        <v>11606</v>
      </c>
      <c r="D44">
        <v>62</v>
      </c>
      <c r="E44">
        <f t="shared" si="3"/>
        <v>73104</v>
      </c>
      <c r="F44">
        <f t="shared" si="2"/>
        <v>2594100</v>
      </c>
      <c r="G44" s="163">
        <f t="shared" si="0"/>
        <v>0.99320689092984082</v>
      </c>
      <c r="H44" s="163">
        <f t="shared" si="1"/>
        <v>0.95703259024130016</v>
      </c>
    </row>
    <row r="45" spans="1:8">
      <c r="A45">
        <v>190</v>
      </c>
      <c r="B45">
        <v>194</v>
      </c>
      <c r="C45">
        <v>12096</v>
      </c>
      <c r="D45">
        <v>63</v>
      </c>
      <c r="E45">
        <f t="shared" si="3"/>
        <v>73167</v>
      </c>
      <c r="F45">
        <f t="shared" si="2"/>
        <v>2606196</v>
      </c>
      <c r="G45" s="163">
        <f t="shared" si="0"/>
        <v>0.99406282267268087</v>
      </c>
      <c r="H45" s="163">
        <f t="shared" si="1"/>
        <v>0.96149512684804572</v>
      </c>
    </row>
    <row r="46" spans="1:8">
      <c r="A46">
        <v>195</v>
      </c>
      <c r="B46">
        <v>199</v>
      </c>
      <c r="C46">
        <v>10835</v>
      </c>
      <c r="D46">
        <v>55</v>
      </c>
      <c r="E46">
        <f t="shared" si="3"/>
        <v>73222</v>
      </c>
      <c r="F46">
        <f t="shared" si="2"/>
        <v>2617031</v>
      </c>
      <c r="G46" s="163">
        <f t="shared" si="0"/>
        <v>0.99481006467039834</v>
      </c>
      <c r="H46" s="163">
        <f t="shared" si="1"/>
        <v>0.96549244696495118</v>
      </c>
    </row>
    <row r="47" spans="1:8">
      <c r="A47">
        <v>200</v>
      </c>
      <c r="B47">
        <v>299</v>
      </c>
      <c r="C47">
        <v>77570</v>
      </c>
      <c r="D47">
        <v>335</v>
      </c>
      <c r="E47">
        <f t="shared" si="3"/>
        <v>73557</v>
      </c>
      <c r="F47">
        <f t="shared" si="2"/>
        <v>2694601</v>
      </c>
      <c r="G47" s="163">
        <f t="shared" si="0"/>
        <v>0.99936144774740499</v>
      </c>
      <c r="H47" s="163">
        <f t="shared" si="1"/>
        <v>0.99411008623291219</v>
      </c>
    </row>
    <row r="48" spans="1:8">
      <c r="A48">
        <v>300</v>
      </c>
      <c r="B48">
        <v>399</v>
      </c>
      <c r="C48">
        <v>13054</v>
      </c>
      <c r="D48">
        <v>40</v>
      </c>
      <c r="E48">
        <f t="shared" si="3"/>
        <v>73597</v>
      </c>
      <c r="F48">
        <f t="shared" si="2"/>
        <v>2707655</v>
      </c>
      <c r="G48" s="163">
        <f t="shared" si="0"/>
        <v>0.99990489647301772</v>
      </c>
      <c r="H48" s="163">
        <f t="shared" si="1"/>
        <v>0.99892605455834682</v>
      </c>
    </row>
    <row r="49" spans="1:8">
      <c r="A49">
        <v>400</v>
      </c>
      <c r="B49">
        <v>499</v>
      </c>
      <c r="C49">
        <v>2911</v>
      </c>
      <c r="D49">
        <v>7</v>
      </c>
      <c r="E49">
        <f t="shared" si="3"/>
        <v>73604</v>
      </c>
      <c r="F49">
        <f t="shared" si="2"/>
        <v>2710566</v>
      </c>
      <c r="G49" s="163">
        <f t="shared" si="0"/>
        <v>1</v>
      </c>
      <c r="H49" s="163">
        <f t="shared" si="1"/>
        <v>1</v>
      </c>
    </row>
    <row r="51" spans="1:8">
      <c r="A51" s="685"/>
      <c r="B51" s="685"/>
      <c r="C51" s="693" t="s">
        <v>912</v>
      </c>
      <c r="D51" s="694">
        <f>MAX(E6:E50)/12</f>
        <v>6133.666666666667</v>
      </c>
    </row>
    <row r="52" spans="1:8">
      <c r="A52" s="685"/>
      <c r="B52" s="685"/>
      <c r="C52" s="693" t="s">
        <v>913</v>
      </c>
      <c r="D52" s="694">
        <f>MAX(F6:F50)/D51/12</f>
        <v>36.826340959730452</v>
      </c>
    </row>
    <row r="53" spans="1:8">
      <c r="A53" s="689"/>
      <c r="B53" s="689"/>
      <c r="C53" s="695" t="s">
        <v>914</v>
      </c>
      <c r="D53" s="696">
        <f>VLOOKUP(B3,[17]!Percentiles_All_Bills,9,0)</f>
        <v>21</v>
      </c>
    </row>
  </sheetData>
  <conditionalFormatting sqref="M2:M3">
    <cfRule type="cellIs" dxfId="110" priority="1" operator="equal">
      <formula>0</formula>
    </cfRule>
    <cfRule type="cellIs" dxfId="109" priority="2" operator="lessThan">
      <formula>0</formula>
    </cfRule>
    <cfRule type="cellIs" dxfId="108" priority="3" operator="greaterThan">
      <formula>0</formula>
    </cfRule>
  </conditionalFormatting>
  <pageMargins left="0.7" right="0.7" top="0.75" bottom="0.75" header="0.3" footer="0.3"/>
  <pageSetup scale="50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EF2D3-EFC0-4E49-AC92-19346AD8B43C}">
  <sheetPr codeName="Sheet52">
    <tabColor theme="9" tint="0.79998168889431442"/>
  </sheetPr>
  <dimension ref="A1:M57"/>
  <sheetViews>
    <sheetView zoomScale="80" zoomScaleNormal="80" workbookViewId="0"/>
  </sheetViews>
  <sheetFormatPr defaultRowHeight="15"/>
  <cols>
    <col min="1" max="1" width="25" customWidth="1"/>
    <col min="2" max="2" width="9.14062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Small Volume Commercial Service</v>
      </c>
      <c r="J1" s="682" t="s">
        <v>521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521</v>
      </c>
      <c r="J2" s="682" t="s">
        <v>900</v>
      </c>
      <c r="K2" s="683">
        <f>'GGSVS Billed'!E53</f>
        <v>146178</v>
      </c>
      <c r="L2" s="683">
        <f>VLOOKUP($J1,Summary!$B:$P,2,0)</f>
        <v>146178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5753</v>
      </c>
      <c r="J3" s="682" t="s">
        <v>902</v>
      </c>
      <c r="K3" s="683">
        <f>'GGSVS Billed'!F53</f>
        <v>33936462</v>
      </c>
      <c r="L3" s="683">
        <f>VLOOKUP($J1,Summary!$B:$P,3,0)</f>
        <v>33936462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9</v>
      </c>
      <c r="C7" s="697">
        <v>97039.531810547254</v>
      </c>
      <c r="D7" s="697">
        <f>50596+10</f>
        <v>50606</v>
      </c>
      <c r="E7" s="697">
        <f>D7</f>
        <v>50606</v>
      </c>
      <c r="F7" s="697">
        <f>C7</f>
        <v>97039.531810547254</v>
      </c>
      <c r="G7" s="163">
        <f t="shared" ref="G7:G51" si="0">E7/MAX($E$7:$E$52)</f>
        <v>0.34620620771277871</v>
      </c>
      <c r="H7" s="163">
        <f t="shared" ref="H7:H51" si="1">F7/MAX($F$7:$F$52)</f>
        <v>2.8661887940608418E-3</v>
      </c>
    </row>
    <row r="8" spans="1:13">
      <c r="A8">
        <v>10</v>
      </c>
      <c r="B8">
        <v>19</v>
      </c>
      <c r="C8" s="697">
        <v>150587.9656871827</v>
      </c>
      <c r="D8" s="697">
        <v>10329</v>
      </c>
      <c r="E8" s="697">
        <f>E7+D8</f>
        <v>60935</v>
      </c>
      <c r="F8" s="697">
        <f>F7+C8</f>
        <v>247627.49749772996</v>
      </c>
      <c r="G8" s="163">
        <f t="shared" si="0"/>
        <v>0.41686905242418232</v>
      </c>
      <c r="H8" s="163">
        <f t="shared" si="1"/>
        <v>7.314000234615519E-3</v>
      </c>
    </row>
    <row r="9" spans="1:13">
      <c r="A9">
        <v>20</v>
      </c>
      <c r="B9">
        <v>29</v>
      </c>
      <c r="C9" s="697">
        <v>175339.35298237705</v>
      </c>
      <c r="D9" s="697">
        <v>6937</v>
      </c>
      <c r="E9" s="697">
        <f>E8+D9</f>
        <v>67872</v>
      </c>
      <c r="F9" s="697">
        <f t="shared" ref="F9:F53" si="2">F8+C9</f>
        <v>422966.85048010701</v>
      </c>
      <c r="G9" s="163">
        <f t="shared" si="0"/>
        <v>0.46432651720906049</v>
      </c>
      <c r="H9" s="163">
        <f t="shared" si="1"/>
        <v>1.2492876093756305E-2</v>
      </c>
    </row>
    <row r="10" spans="1:13">
      <c r="A10">
        <v>30</v>
      </c>
      <c r="B10">
        <v>39</v>
      </c>
      <c r="C10" s="697">
        <v>192043.20364015142</v>
      </c>
      <c r="D10" s="697">
        <v>5371</v>
      </c>
      <c r="E10" s="697">
        <f t="shared" ref="E10:E53" si="3">E9+D10</f>
        <v>73243</v>
      </c>
      <c r="F10" s="697">
        <f t="shared" si="2"/>
        <v>615010.05412025843</v>
      </c>
      <c r="G10" s="163">
        <f t="shared" si="0"/>
        <v>0.50107064916229405</v>
      </c>
      <c r="H10" s="163">
        <f t="shared" si="1"/>
        <v>1.8165121909240748E-2</v>
      </c>
    </row>
    <row r="11" spans="1:13">
      <c r="A11">
        <v>40</v>
      </c>
      <c r="B11">
        <v>49</v>
      </c>
      <c r="C11" s="697">
        <v>213439.01834002766</v>
      </c>
      <c r="D11" s="697">
        <v>4620</v>
      </c>
      <c r="E11" s="697">
        <f t="shared" si="3"/>
        <v>77863</v>
      </c>
      <c r="F11" s="697">
        <f t="shared" si="2"/>
        <v>828449.07246028609</v>
      </c>
      <c r="G11" s="163">
        <f t="shared" si="0"/>
        <v>0.53267703337825723</v>
      </c>
      <c r="H11" s="163">
        <f t="shared" si="1"/>
        <v>2.4469320942021346E-2</v>
      </c>
    </row>
    <row r="12" spans="1:13">
      <c r="A12">
        <v>50</v>
      </c>
      <c r="B12">
        <v>59</v>
      </c>
      <c r="C12" s="697">
        <v>230451.4273973715</v>
      </c>
      <c r="D12" s="697">
        <v>4058</v>
      </c>
      <c r="E12" s="697">
        <f t="shared" si="3"/>
        <v>81921</v>
      </c>
      <c r="F12" s="697">
        <f t="shared" si="2"/>
        <v>1058900.4998576576</v>
      </c>
      <c r="G12" s="163">
        <f t="shared" si="0"/>
        <v>0.56043865830214878</v>
      </c>
      <c r="H12" s="163">
        <f t="shared" si="1"/>
        <v>3.1276003604827435E-2</v>
      </c>
    </row>
    <row r="13" spans="1:13">
      <c r="A13">
        <v>60</v>
      </c>
      <c r="B13">
        <v>69</v>
      </c>
      <c r="C13" s="697">
        <v>238776.24962359341</v>
      </c>
      <c r="D13" s="697">
        <v>3558</v>
      </c>
      <c r="E13" s="697">
        <f t="shared" si="3"/>
        <v>85479</v>
      </c>
      <c r="F13" s="697">
        <f t="shared" si="2"/>
        <v>1297676.749481251</v>
      </c>
      <c r="G13" s="163">
        <f t="shared" si="0"/>
        <v>0.58477967887366344</v>
      </c>
      <c r="H13" s="163">
        <f t="shared" si="1"/>
        <v>3.8328570720414366E-2</v>
      </c>
    </row>
    <row r="14" spans="1:13">
      <c r="A14">
        <v>70</v>
      </c>
      <c r="B14">
        <v>79</v>
      </c>
      <c r="C14" s="697">
        <v>252262.12805342535</v>
      </c>
      <c r="D14" s="697">
        <v>3252</v>
      </c>
      <c r="E14" s="697">
        <f t="shared" si="3"/>
        <v>88731</v>
      </c>
      <c r="F14" s="697">
        <f t="shared" si="2"/>
        <v>1549938.8775346763</v>
      </c>
      <c r="G14" s="163">
        <f t="shared" si="0"/>
        <v>0.6070272895815233</v>
      </c>
      <c r="H14" s="163">
        <f t="shared" si="1"/>
        <v>4.5779460796886093E-2</v>
      </c>
    </row>
    <row r="15" spans="1:13">
      <c r="A15">
        <v>80</v>
      </c>
      <c r="B15">
        <v>89</v>
      </c>
      <c r="C15" s="697">
        <v>264967.22864110349</v>
      </c>
      <c r="D15" s="697">
        <v>3009</v>
      </c>
      <c r="E15" s="697">
        <f t="shared" si="3"/>
        <v>91740</v>
      </c>
      <c r="F15" s="697">
        <f t="shared" si="2"/>
        <v>1814906.1061757798</v>
      </c>
      <c r="G15" s="163">
        <f t="shared" si="0"/>
        <v>0.62761248657412794</v>
      </c>
      <c r="H15" s="163">
        <f t="shared" si="1"/>
        <v>5.3605612545094994E-2</v>
      </c>
    </row>
    <row r="16" spans="1:13">
      <c r="A16">
        <v>90</v>
      </c>
      <c r="B16">
        <v>99</v>
      </c>
      <c r="C16" s="697">
        <v>261920.21444535558</v>
      </c>
      <c r="D16" s="697">
        <v>2660</v>
      </c>
      <c r="E16" s="697">
        <f t="shared" si="3"/>
        <v>94400</v>
      </c>
      <c r="F16" s="697">
        <f t="shared" si="2"/>
        <v>2076826.3206211354</v>
      </c>
      <c r="G16" s="163">
        <f t="shared" si="0"/>
        <v>0.6458101017287734</v>
      </c>
      <c r="H16" s="163">
        <f t="shared" si="1"/>
        <v>6.1341766765695797E-2</v>
      </c>
    </row>
    <row r="17" spans="1:8">
      <c r="A17">
        <v>100</v>
      </c>
      <c r="B17">
        <v>109</v>
      </c>
      <c r="C17" s="697">
        <v>270770.41989246546</v>
      </c>
      <c r="D17" s="697">
        <v>2487</v>
      </c>
      <c r="E17" s="697">
        <f t="shared" si="3"/>
        <v>96887</v>
      </c>
      <c r="F17" s="697">
        <f t="shared" si="2"/>
        <v>2347596.7405136009</v>
      </c>
      <c r="G17" s="163">
        <f t="shared" si="0"/>
        <v>0.66282418777749652</v>
      </c>
      <c r="H17" s="163">
        <f t="shared" si="1"/>
        <v>6.9339323315887033E-2</v>
      </c>
    </row>
    <row r="18" spans="1:8">
      <c r="A18">
        <v>110</v>
      </c>
      <c r="B18">
        <v>119</v>
      </c>
      <c r="C18" s="697">
        <v>251996.30916190427</v>
      </c>
      <c r="D18" s="697">
        <v>2112</v>
      </c>
      <c r="E18" s="697">
        <f t="shared" si="3"/>
        <v>98999</v>
      </c>
      <c r="F18" s="697">
        <f t="shared" si="2"/>
        <v>2599593.0496755051</v>
      </c>
      <c r="G18" s="163">
        <f t="shared" si="0"/>
        <v>0.67727282056193683</v>
      </c>
      <c r="H18" s="163">
        <f t="shared" si="1"/>
        <v>7.6782362085639613E-2</v>
      </c>
    </row>
    <row r="19" spans="1:8">
      <c r="A19">
        <v>120</v>
      </c>
      <c r="B19">
        <v>129</v>
      </c>
      <c r="C19" s="697">
        <v>263194.06027060561</v>
      </c>
      <c r="D19" s="697">
        <v>2030</v>
      </c>
      <c r="E19" s="697">
        <f t="shared" si="3"/>
        <v>101029</v>
      </c>
      <c r="F19" s="697">
        <f t="shared" si="2"/>
        <v>2862787.1099461108</v>
      </c>
      <c r="G19" s="163">
        <f t="shared" si="0"/>
        <v>0.69116047423258742</v>
      </c>
      <c r="H19" s="163">
        <f t="shared" si="1"/>
        <v>8.45561409996161E-2</v>
      </c>
    </row>
    <row r="20" spans="1:8">
      <c r="A20">
        <v>130</v>
      </c>
      <c r="B20">
        <v>139</v>
      </c>
      <c r="C20" s="697">
        <v>257458.62677590316</v>
      </c>
      <c r="D20" s="697">
        <v>1837</v>
      </c>
      <c r="E20" s="697">
        <f t="shared" si="3"/>
        <v>102866</v>
      </c>
      <c r="F20" s="697">
        <f t="shared" si="2"/>
        <v>3120245.7367220139</v>
      </c>
      <c r="G20" s="163">
        <f t="shared" si="0"/>
        <v>0.70372777462322045</v>
      </c>
      <c r="H20" s="163">
        <f t="shared" si="1"/>
        <v>9.2160516425087616E-2</v>
      </c>
    </row>
    <row r="21" spans="1:8">
      <c r="A21">
        <v>140</v>
      </c>
      <c r="B21">
        <v>149</v>
      </c>
      <c r="C21" s="697">
        <v>254960.97162263468</v>
      </c>
      <c r="D21" s="697">
        <v>1694</v>
      </c>
      <c r="E21" s="697">
        <f t="shared" si="3"/>
        <v>104560</v>
      </c>
      <c r="F21" s="697">
        <f t="shared" si="2"/>
        <v>3375206.7083446486</v>
      </c>
      <c r="G21" s="163">
        <f t="shared" si="0"/>
        <v>0.71531678216907368</v>
      </c>
      <c r="H21" s="163">
        <f t="shared" si="1"/>
        <v>9.9691120356837346E-2</v>
      </c>
    </row>
    <row r="22" spans="1:8">
      <c r="A22">
        <v>150</v>
      </c>
      <c r="B22">
        <v>159</v>
      </c>
      <c r="C22" s="697">
        <v>239873.92528152093</v>
      </c>
      <c r="D22" s="697">
        <v>1491</v>
      </c>
      <c r="E22" s="697">
        <f t="shared" si="3"/>
        <v>106051</v>
      </c>
      <c r="F22" s="697">
        <f t="shared" si="2"/>
        <v>3615080.6336261695</v>
      </c>
      <c r="G22" s="163">
        <f t="shared" si="0"/>
        <v>0.72551702434786181</v>
      </c>
      <c r="H22" s="163">
        <f t="shared" si="1"/>
        <v>0.10677610875075863</v>
      </c>
    </row>
    <row r="23" spans="1:8">
      <c r="A23">
        <v>160</v>
      </c>
      <c r="B23">
        <v>169</v>
      </c>
      <c r="C23" s="697">
        <v>239996.93167053955</v>
      </c>
      <c r="D23" s="697">
        <v>1400</v>
      </c>
      <c r="E23" s="697">
        <f t="shared" si="3"/>
        <v>107451</v>
      </c>
      <c r="F23" s="697">
        <f t="shared" si="2"/>
        <v>3855077.5652967091</v>
      </c>
      <c r="G23" s="163">
        <f t="shared" si="0"/>
        <v>0.7350947165345173</v>
      </c>
      <c r="H23" s="163">
        <f t="shared" si="1"/>
        <v>0.11386473029837743</v>
      </c>
    </row>
    <row r="24" spans="1:8">
      <c r="A24">
        <v>170</v>
      </c>
      <c r="B24">
        <v>179</v>
      </c>
      <c r="C24" s="697">
        <v>239712.34909255803</v>
      </c>
      <c r="D24" s="697">
        <v>1318</v>
      </c>
      <c r="E24" s="697">
        <f t="shared" si="3"/>
        <v>108769</v>
      </c>
      <c r="F24" s="697">
        <f t="shared" si="2"/>
        <v>4094789.9143892671</v>
      </c>
      <c r="G24" s="163">
        <f t="shared" si="0"/>
        <v>0.74411142960738308</v>
      </c>
      <c r="H24" s="163">
        <f t="shared" si="1"/>
        <v>0.12094494632939103</v>
      </c>
    </row>
    <row r="25" spans="1:8">
      <c r="A25">
        <v>180</v>
      </c>
      <c r="B25">
        <v>189</v>
      </c>
      <c r="C25" s="697">
        <v>235724.02329271706</v>
      </c>
      <c r="D25" s="697">
        <v>1227</v>
      </c>
      <c r="E25" s="697">
        <f t="shared" si="3"/>
        <v>109996</v>
      </c>
      <c r="F25" s="697">
        <f t="shared" si="2"/>
        <v>4330513.9376819842</v>
      </c>
      <c r="G25" s="163">
        <f t="shared" si="0"/>
        <v>0.75250559268811612</v>
      </c>
      <c r="H25" s="163">
        <f t="shared" si="1"/>
        <v>0.12790736197017927</v>
      </c>
    </row>
    <row r="26" spans="1:8">
      <c r="A26">
        <v>190</v>
      </c>
      <c r="B26">
        <v>199</v>
      </c>
      <c r="C26" s="697">
        <v>231001.82886687201</v>
      </c>
      <c r="D26" s="697">
        <v>1140</v>
      </c>
      <c r="E26" s="697">
        <f t="shared" si="3"/>
        <v>111136</v>
      </c>
      <c r="F26" s="697">
        <f t="shared" si="2"/>
        <v>4561515.7665488562</v>
      </c>
      <c r="G26" s="163">
        <f t="shared" si="0"/>
        <v>0.76030457061153567</v>
      </c>
      <c r="H26" s="163">
        <f t="shared" si="1"/>
        <v>0.13473030145630965</v>
      </c>
    </row>
    <row r="27" spans="1:8">
      <c r="A27">
        <v>200</v>
      </c>
      <c r="B27">
        <v>249</v>
      </c>
      <c r="C27" s="697">
        <v>1114207.5081264349</v>
      </c>
      <c r="D27" s="697">
        <v>4783</v>
      </c>
      <c r="E27" s="697">
        <f t="shared" si="3"/>
        <v>115919</v>
      </c>
      <c r="F27" s="697">
        <f t="shared" si="2"/>
        <v>5675723.274675291</v>
      </c>
      <c r="G27" s="163">
        <f t="shared" si="0"/>
        <v>0.79302607184637386</v>
      </c>
      <c r="H27" s="163">
        <f t="shared" si="1"/>
        <v>0.16763986948972981</v>
      </c>
    </row>
    <row r="28" spans="1:8">
      <c r="A28">
        <v>250</v>
      </c>
      <c r="B28">
        <v>299</v>
      </c>
      <c r="C28" s="697">
        <v>1109531.1804897161</v>
      </c>
      <c r="D28" s="697">
        <v>3885</v>
      </c>
      <c r="E28" s="697">
        <f t="shared" si="3"/>
        <v>119804</v>
      </c>
      <c r="F28" s="697">
        <f t="shared" si="2"/>
        <v>6785254.4551650072</v>
      </c>
      <c r="G28" s="163">
        <f t="shared" si="0"/>
        <v>0.81960416766434296</v>
      </c>
      <c r="H28" s="163">
        <f t="shared" si="1"/>
        <v>0.20041131610376914</v>
      </c>
    </row>
    <row r="29" spans="1:8">
      <c r="A29">
        <v>300</v>
      </c>
      <c r="B29">
        <v>349</v>
      </c>
      <c r="C29" s="697">
        <v>1018455.3736924678</v>
      </c>
      <c r="D29" s="697">
        <v>3020</v>
      </c>
      <c r="E29" s="697">
        <f t="shared" si="3"/>
        <v>122824</v>
      </c>
      <c r="F29" s="697">
        <f t="shared" si="2"/>
        <v>7803709.828857475</v>
      </c>
      <c r="G29" s="163">
        <f t="shared" si="0"/>
        <v>0.84026461795269991</v>
      </c>
      <c r="H29" s="163">
        <f t="shared" si="1"/>
        <v>0.23049272029919954</v>
      </c>
    </row>
    <row r="30" spans="1:8">
      <c r="A30">
        <v>350</v>
      </c>
      <c r="B30">
        <v>399</v>
      </c>
      <c r="C30" s="697">
        <v>1024732.8692404618</v>
      </c>
      <c r="D30" s="697">
        <v>2630</v>
      </c>
      <c r="E30" s="697">
        <f t="shared" si="3"/>
        <v>125454</v>
      </c>
      <c r="F30" s="697">
        <f t="shared" si="2"/>
        <v>8828442.6980979368</v>
      </c>
      <c r="G30" s="163">
        <f t="shared" si="0"/>
        <v>0.85825699684620282</v>
      </c>
      <c r="H30" s="163">
        <f t="shared" si="1"/>
        <v>0.26075953849095418</v>
      </c>
    </row>
    <row r="31" spans="1:8">
      <c r="A31">
        <v>400</v>
      </c>
      <c r="B31">
        <v>449</v>
      </c>
      <c r="C31" s="697">
        <v>959557.20432059467</v>
      </c>
      <c r="D31" s="697">
        <v>2172</v>
      </c>
      <c r="E31" s="697">
        <f t="shared" si="3"/>
        <v>127626</v>
      </c>
      <c r="F31" s="697">
        <f t="shared" si="2"/>
        <v>9787999.9024185315</v>
      </c>
      <c r="G31" s="163">
        <f t="shared" si="0"/>
        <v>0.87311610215292834</v>
      </c>
      <c r="H31" s="163">
        <f t="shared" si="1"/>
        <v>0.28910130864348815</v>
      </c>
    </row>
    <row r="32" spans="1:8">
      <c r="A32">
        <v>450</v>
      </c>
      <c r="B32">
        <v>499</v>
      </c>
      <c r="C32" s="697">
        <v>946984.49196516536</v>
      </c>
      <c r="D32" s="697">
        <v>1919</v>
      </c>
      <c r="E32" s="697">
        <f t="shared" si="3"/>
        <v>129545</v>
      </c>
      <c r="F32" s="697">
        <f t="shared" si="2"/>
        <v>10734984.394383697</v>
      </c>
      <c r="G32" s="163">
        <f t="shared" si="0"/>
        <v>0.8862443816573512</v>
      </c>
      <c r="H32" s="163">
        <f t="shared" si="1"/>
        <v>0.31707172738292549</v>
      </c>
    </row>
    <row r="33" spans="1:8">
      <c r="A33">
        <v>500</v>
      </c>
      <c r="B33">
        <v>599</v>
      </c>
      <c r="C33" s="697">
        <v>1712861.8822154608</v>
      </c>
      <c r="D33" s="697">
        <v>3002</v>
      </c>
      <c r="E33" s="697">
        <f t="shared" si="3"/>
        <v>132547</v>
      </c>
      <c r="F33" s="697">
        <f t="shared" si="2"/>
        <v>12447846.276599158</v>
      </c>
      <c r="G33" s="163">
        <f t="shared" si="0"/>
        <v>0.90678169018902255</v>
      </c>
      <c r="H33" s="163">
        <f t="shared" si="1"/>
        <v>0.36766333104157289</v>
      </c>
    </row>
    <row r="34" spans="1:8">
      <c r="A34">
        <v>600</v>
      </c>
      <c r="B34">
        <v>699</v>
      </c>
      <c r="C34" s="697">
        <v>1537591.3294167705</v>
      </c>
      <c r="D34" s="697">
        <v>2282</v>
      </c>
      <c r="E34" s="697">
        <f t="shared" si="3"/>
        <v>134829</v>
      </c>
      <c r="F34" s="697">
        <f t="shared" si="2"/>
        <v>13985437.606015928</v>
      </c>
      <c r="G34" s="163">
        <f t="shared" si="0"/>
        <v>0.92239332845327116</v>
      </c>
      <c r="H34" s="163">
        <f t="shared" si="1"/>
        <v>0.41307809094399506</v>
      </c>
    </row>
    <row r="35" spans="1:8">
      <c r="A35">
        <v>700</v>
      </c>
      <c r="B35">
        <v>799</v>
      </c>
      <c r="C35" s="697">
        <v>1351594.2025249433</v>
      </c>
      <c r="D35" s="697">
        <v>1734</v>
      </c>
      <c r="E35" s="697">
        <f t="shared" si="3"/>
        <v>136563</v>
      </c>
      <c r="F35" s="697">
        <f t="shared" si="2"/>
        <v>15337031.808540871</v>
      </c>
      <c r="G35" s="163">
        <f t="shared" si="0"/>
        <v>0.93425598434731449</v>
      </c>
      <c r="H35" s="163">
        <f t="shared" si="1"/>
        <v>0.45299918377199583</v>
      </c>
    </row>
    <row r="36" spans="1:8">
      <c r="A36">
        <v>800</v>
      </c>
      <c r="B36">
        <v>899</v>
      </c>
      <c r="C36" s="697">
        <v>1252682.4717764612</v>
      </c>
      <c r="D36" s="697">
        <v>1419</v>
      </c>
      <c r="E36" s="697">
        <f t="shared" si="3"/>
        <v>137982</v>
      </c>
      <c r="F36" s="697">
        <f t="shared" si="2"/>
        <v>16589714.280317333</v>
      </c>
      <c r="G36" s="163">
        <f t="shared" si="0"/>
        <v>0.94396365949936034</v>
      </c>
      <c r="H36" s="163">
        <f t="shared" si="1"/>
        <v>0.48999878997508228</v>
      </c>
    </row>
    <row r="37" spans="1:8">
      <c r="A37">
        <v>900</v>
      </c>
      <c r="B37">
        <v>999</v>
      </c>
      <c r="C37" s="697">
        <v>1105225.9568741061</v>
      </c>
      <c r="D37" s="697">
        <v>1120</v>
      </c>
      <c r="E37" s="697">
        <f t="shared" si="3"/>
        <v>139102</v>
      </c>
      <c r="F37" s="697">
        <f t="shared" si="2"/>
        <v>17694940.237191439</v>
      </c>
      <c r="G37" s="163">
        <f t="shared" si="0"/>
        <v>0.95162581324868478</v>
      </c>
      <c r="H37" s="163">
        <f t="shared" si="1"/>
        <v>0.52264307620970973</v>
      </c>
    </row>
    <row r="38" spans="1:8">
      <c r="A38">
        <v>1000</v>
      </c>
      <c r="B38">
        <v>1499</v>
      </c>
      <c r="C38" s="697">
        <v>4109077.4192017578</v>
      </c>
      <c r="D38" s="697">
        <v>3273</v>
      </c>
      <c r="E38" s="697">
        <f t="shared" si="3"/>
        <v>142375</v>
      </c>
      <c r="F38" s="697">
        <f t="shared" si="2"/>
        <v>21804017.656393196</v>
      </c>
      <c r="G38" s="163">
        <f t="shared" si="0"/>
        <v>0.9740170893393445</v>
      </c>
      <c r="H38" s="163">
        <f t="shared" si="1"/>
        <v>0.64401002257789519</v>
      </c>
    </row>
    <row r="39" spans="1:8">
      <c r="A39">
        <v>1500</v>
      </c>
      <c r="B39">
        <v>1999</v>
      </c>
      <c r="C39" s="697">
        <v>2519490.8721764609</v>
      </c>
      <c r="D39" s="697">
        <v>1403</v>
      </c>
      <c r="E39" s="697">
        <f t="shared" si="3"/>
        <v>143778</v>
      </c>
      <c r="F39" s="697">
        <f t="shared" si="2"/>
        <v>24323508.528569657</v>
      </c>
      <c r="G39" s="163">
        <f t="shared" si="0"/>
        <v>0.98361530515211426</v>
      </c>
      <c r="H39" s="163">
        <f t="shared" si="1"/>
        <v>0.71842646265995525</v>
      </c>
    </row>
    <row r="40" spans="1:8">
      <c r="A40">
        <v>2000</v>
      </c>
      <c r="B40">
        <v>2999</v>
      </c>
      <c r="C40" s="697">
        <v>2951195.3459849171</v>
      </c>
      <c r="D40" s="697">
        <v>1178</v>
      </c>
      <c r="E40" s="697">
        <f t="shared" si="3"/>
        <v>144956</v>
      </c>
      <c r="F40" s="697">
        <f t="shared" si="2"/>
        <v>27274703.874554574</v>
      </c>
      <c r="G40" s="163">
        <f t="shared" si="0"/>
        <v>0.9916742490063144</v>
      </c>
      <c r="H40" s="163">
        <f t="shared" si="1"/>
        <v>0.80559385590604571</v>
      </c>
    </row>
    <row r="41" spans="1:8">
      <c r="A41">
        <v>3000</v>
      </c>
      <c r="B41">
        <v>3999</v>
      </c>
      <c r="C41" s="697">
        <v>1665470.0223518535</v>
      </c>
      <c r="D41" s="697">
        <v>461</v>
      </c>
      <c r="E41" s="697">
        <f t="shared" si="3"/>
        <v>145417</v>
      </c>
      <c r="F41" s="697">
        <f t="shared" si="2"/>
        <v>28940173.896906428</v>
      </c>
      <c r="G41" s="163">
        <f t="shared" si="0"/>
        <v>0.99482804621920606</v>
      </c>
      <c r="H41" s="163">
        <f t="shared" si="1"/>
        <v>0.85478567933970229</v>
      </c>
    </row>
    <row r="42" spans="1:8">
      <c r="A42">
        <v>4000</v>
      </c>
      <c r="B42">
        <v>4999</v>
      </c>
      <c r="C42" s="697">
        <v>1337028.3696966022</v>
      </c>
      <c r="D42" s="697">
        <v>290</v>
      </c>
      <c r="E42" s="697">
        <f t="shared" si="3"/>
        <v>145707</v>
      </c>
      <c r="F42" s="697">
        <f t="shared" si="2"/>
        <v>30277202.26660303</v>
      </c>
      <c r="G42" s="163">
        <f t="shared" si="0"/>
        <v>0.99681199674358467</v>
      </c>
      <c r="H42" s="163">
        <f t="shared" si="1"/>
        <v>0.89427655134893147</v>
      </c>
    </row>
    <row r="43" spans="1:8">
      <c r="A43">
        <v>5000</v>
      </c>
      <c r="B43">
        <v>5999</v>
      </c>
      <c r="C43" s="697">
        <v>954451.39674934</v>
      </c>
      <c r="D43" s="697">
        <v>167</v>
      </c>
      <c r="E43" s="697">
        <f t="shared" si="3"/>
        <v>145874</v>
      </c>
      <c r="F43" s="697">
        <f t="shared" si="2"/>
        <v>31231653.66335237</v>
      </c>
      <c r="G43" s="163">
        <f t="shared" si="0"/>
        <v>0.99795447859727859</v>
      </c>
      <c r="H43" s="163">
        <f t="shared" si="1"/>
        <v>0.92246751483358147</v>
      </c>
    </row>
    <row r="44" spans="1:8">
      <c r="A44">
        <v>6000</v>
      </c>
      <c r="B44">
        <v>6999</v>
      </c>
      <c r="C44" s="697">
        <v>624778.63777690753</v>
      </c>
      <c r="D44" s="697">
        <v>93</v>
      </c>
      <c r="E44" s="697">
        <f t="shared" si="3"/>
        <v>145967</v>
      </c>
      <c r="F44" s="697">
        <f t="shared" si="2"/>
        <v>31856432.301129278</v>
      </c>
      <c r="G44" s="163">
        <f t="shared" si="0"/>
        <v>0.99859071100682073</v>
      </c>
      <c r="H44" s="163">
        <f t="shared" si="1"/>
        <v>0.94092116456739172</v>
      </c>
    </row>
    <row r="45" spans="1:8">
      <c r="A45">
        <v>7000</v>
      </c>
      <c r="B45">
        <v>7999</v>
      </c>
      <c r="C45" s="697">
        <v>475019.40157504752</v>
      </c>
      <c r="D45" s="697">
        <v>61</v>
      </c>
      <c r="E45" s="697">
        <f t="shared" si="3"/>
        <v>146028</v>
      </c>
      <c r="F45" s="697">
        <f t="shared" si="2"/>
        <v>32331451.702704325</v>
      </c>
      <c r="G45" s="163">
        <f t="shared" si="0"/>
        <v>0.9990080247378107</v>
      </c>
      <c r="H45" s="163">
        <f t="shared" si="1"/>
        <v>0.95495148046394784</v>
      </c>
    </row>
    <row r="46" spans="1:8">
      <c r="A46">
        <v>8000</v>
      </c>
      <c r="B46">
        <v>8999</v>
      </c>
      <c r="C46" s="697">
        <v>381232.24208428711</v>
      </c>
      <c r="D46" s="697">
        <v>43</v>
      </c>
      <c r="E46" s="697">
        <f t="shared" si="3"/>
        <v>146071</v>
      </c>
      <c r="F46" s="697">
        <f t="shared" si="2"/>
        <v>32712683.944788612</v>
      </c>
      <c r="G46" s="163">
        <f t="shared" si="0"/>
        <v>0.99930219671211507</v>
      </c>
      <c r="H46" s="163">
        <f t="shared" si="1"/>
        <v>0.96621167061335989</v>
      </c>
    </row>
    <row r="47" spans="1:8">
      <c r="A47">
        <v>9000</v>
      </c>
      <c r="B47">
        <v>9999</v>
      </c>
      <c r="C47" s="697">
        <v>443537.06297572702</v>
      </c>
      <c r="D47" s="697">
        <v>45</v>
      </c>
      <c r="E47" s="697">
        <f t="shared" si="3"/>
        <v>146116</v>
      </c>
      <c r="F47" s="697">
        <f t="shared" si="2"/>
        <v>33156221.007764339</v>
      </c>
      <c r="G47" s="163">
        <f t="shared" si="0"/>
        <v>0.99961005110382906</v>
      </c>
      <c r="H47" s="163">
        <f t="shared" si="1"/>
        <v>0.97931211468942569</v>
      </c>
    </row>
    <row r="48" spans="1:8">
      <c r="A48">
        <v>10000</v>
      </c>
      <c r="B48">
        <v>10999</v>
      </c>
      <c r="C48" s="697">
        <v>230347.18469481915</v>
      </c>
      <c r="D48" s="697">
        <v>21</v>
      </c>
      <c r="E48" s="697">
        <f t="shared" si="3"/>
        <v>146137</v>
      </c>
      <c r="F48" s="697">
        <f t="shared" si="2"/>
        <v>33386568.192459159</v>
      </c>
      <c r="G48" s="163">
        <f t="shared" si="0"/>
        <v>0.99975371648662881</v>
      </c>
      <c r="H48" s="163">
        <f t="shared" si="1"/>
        <v>0.98611571840842049</v>
      </c>
    </row>
    <row r="49" spans="1:8">
      <c r="A49">
        <v>11000</v>
      </c>
      <c r="B49">
        <v>11999</v>
      </c>
      <c r="C49" s="697">
        <v>165497.79943395033</v>
      </c>
      <c r="D49" s="697">
        <v>14</v>
      </c>
      <c r="E49" s="697">
        <f t="shared" si="3"/>
        <v>146151</v>
      </c>
      <c r="F49" s="697">
        <f t="shared" si="2"/>
        <v>33552065.991893109</v>
      </c>
      <c r="G49" s="163">
        <f t="shared" si="0"/>
        <v>0.99984949340849538</v>
      </c>
      <c r="H49" s="163">
        <f t="shared" si="1"/>
        <v>0.99100391118232423</v>
      </c>
    </row>
    <row r="50" spans="1:8">
      <c r="A50">
        <v>12000</v>
      </c>
      <c r="B50">
        <v>12999</v>
      </c>
      <c r="C50" s="697">
        <v>76873.78100084886</v>
      </c>
      <c r="D50" s="697">
        <v>6</v>
      </c>
      <c r="E50" s="697">
        <f t="shared" si="3"/>
        <v>146157</v>
      </c>
      <c r="F50" s="697">
        <f t="shared" si="2"/>
        <v>33628939.772893958</v>
      </c>
      <c r="G50" s="163">
        <f t="shared" si="0"/>
        <v>0.99989054066072391</v>
      </c>
      <c r="H50" s="163">
        <f t="shared" si="1"/>
        <v>0.99327447829606386</v>
      </c>
    </row>
    <row r="51" spans="1:8">
      <c r="A51">
        <v>13000</v>
      </c>
      <c r="B51">
        <v>13999</v>
      </c>
      <c r="C51" s="697">
        <v>182504.9963561669</v>
      </c>
      <c r="D51" s="697">
        <v>13</v>
      </c>
      <c r="E51" s="697">
        <f t="shared" si="3"/>
        <v>146170</v>
      </c>
      <c r="F51" s="697">
        <f t="shared" si="2"/>
        <v>33811444.769250125</v>
      </c>
      <c r="G51" s="163">
        <f t="shared" si="0"/>
        <v>0.99997947637388573</v>
      </c>
      <c r="H51" s="163">
        <f t="shared" si="1"/>
        <v>0.99866500075280251</v>
      </c>
    </row>
    <row r="52" spans="1:8">
      <c r="A52">
        <v>14000</v>
      </c>
      <c r="B52">
        <v>14999</v>
      </c>
      <c r="C52" s="697">
        <v>45198.593401774764</v>
      </c>
      <c r="D52" s="697">
        <v>3</v>
      </c>
      <c r="E52" s="697">
        <f t="shared" si="3"/>
        <v>146173</v>
      </c>
      <c r="F52" s="697">
        <f t="shared" si="2"/>
        <v>33856643.362651899</v>
      </c>
      <c r="G52" s="163">
        <f t="shared" ref="G52:G53" si="4">E52/MAX($E$7:$E$52)</f>
        <v>1</v>
      </c>
      <c r="H52" s="163">
        <f t="shared" ref="H52:H53" si="5">F52/MAX($F$7:$F$52)</f>
        <v>1</v>
      </c>
    </row>
    <row r="53" spans="1:8">
      <c r="A53">
        <v>15000</v>
      </c>
      <c r="B53">
        <v>15999</v>
      </c>
      <c r="C53" s="697">
        <v>79818.637348100543</v>
      </c>
      <c r="D53" s="697">
        <v>5</v>
      </c>
      <c r="E53" s="697">
        <f t="shared" si="3"/>
        <v>146178</v>
      </c>
      <c r="F53" s="697">
        <f t="shared" si="2"/>
        <v>33936462</v>
      </c>
      <c r="G53" s="163">
        <f t="shared" si="4"/>
        <v>1.0000342060435237</v>
      </c>
      <c r="H53" s="163">
        <f t="shared" si="5"/>
        <v>1.0023575472764128</v>
      </c>
    </row>
    <row r="54" spans="1:8">
      <c r="D54" s="697"/>
      <c r="E54" s="697"/>
      <c r="F54" s="697"/>
    </row>
    <row r="55" spans="1:8">
      <c r="A55" s="685"/>
      <c r="C55" s="687" t="s">
        <v>912</v>
      </c>
      <c r="D55" s="688">
        <f>MAX(E6:E52)/12</f>
        <v>12181.083333333334</v>
      </c>
    </row>
    <row r="56" spans="1:8">
      <c r="A56" s="685"/>
      <c r="C56" s="687" t="s">
        <v>913</v>
      </c>
      <c r="D56" s="688">
        <f>MAX(F6:F52)/D55/12</f>
        <v>231.62036328632439</v>
      </c>
    </row>
    <row r="57" spans="1:8">
      <c r="A57" s="689"/>
      <c r="B57" s="689"/>
      <c r="C57" s="695" t="s">
        <v>914</v>
      </c>
      <c r="D57" s="696">
        <f>VLOOKUP(B3,[17]!Percentiles_All_Bills,9,0)</f>
        <v>39</v>
      </c>
    </row>
  </sheetData>
  <conditionalFormatting sqref="M2:M3">
    <cfRule type="cellIs" dxfId="107" priority="1" operator="equal">
      <formula>0</formula>
    </cfRule>
    <cfRule type="cellIs" dxfId="106" priority="2" operator="lessThan">
      <formula>0</formula>
    </cfRule>
    <cfRule type="cellIs" dxfId="105" priority="3" operator="greaterThan">
      <formula>0</formula>
    </cfRule>
  </conditionalFormatting>
  <pageMargins left="0.7" right="0.7" top="0.75" bottom="0.75" header="0.3" footer="0.3"/>
  <pageSetup scale="50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C6C89-02CE-42B0-A1FB-6C68AE46539B}">
  <sheetPr codeName="Sheet53">
    <tabColor theme="9" tint="0.79998168889431442"/>
  </sheetPr>
  <dimension ref="A1:M14"/>
  <sheetViews>
    <sheetView zoomScale="80" zoomScaleNormal="80" workbookViewId="0"/>
  </sheetViews>
  <sheetFormatPr defaultRowHeight="15"/>
  <cols>
    <col min="1" max="1" width="25" customWidth="1"/>
    <col min="2" max="2" width="8.4257812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Irrigation Service</v>
      </c>
      <c r="J1" s="682" t="s">
        <v>541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541</v>
      </c>
      <c r="J2" s="682" t="s">
        <v>900</v>
      </c>
      <c r="K2" s="683">
        <f>'GGIRS Billed'!E10</f>
        <v>47</v>
      </c>
      <c r="L2" s="683">
        <f>VLOOKUP($J1,Summary!$B:$P,2,0)</f>
        <v>47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5755</v>
      </c>
      <c r="J3" s="682" t="s">
        <v>902</v>
      </c>
      <c r="K3" s="683">
        <f>'GGIRS Billed'!F10</f>
        <v>7495</v>
      </c>
      <c r="L3" s="683">
        <f>VLOOKUP($J1,Summary!$B:$P,3,0)</f>
        <v>7495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 s="684">
        <v>0</v>
      </c>
      <c r="B7" s="684">
        <v>99</v>
      </c>
      <c r="C7">
        <f>379+905</f>
        <v>1284</v>
      </c>
      <c r="D7">
        <f>41+1</f>
        <v>42</v>
      </c>
      <c r="E7">
        <f>D7</f>
        <v>42</v>
      </c>
      <c r="F7">
        <f>C7</f>
        <v>1284</v>
      </c>
      <c r="G7" s="163">
        <f>E7/MAX($E$7:$E$11)</f>
        <v>0.8936170212765957</v>
      </c>
      <c r="H7" s="163">
        <f>F7/MAX($F$7:$F$11)</f>
        <v>0.17131420947298198</v>
      </c>
    </row>
    <row r="8" spans="1:13">
      <c r="A8" s="684">
        <v>100</v>
      </c>
      <c r="B8" s="684">
        <v>199</v>
      </c>
      <c r="C8">
        <v>107</v>
      </c>
      <c r="D8">
        <v>1</v>
      </c>
      <c r="E8">
        <f>E7+D8</f>
        <v>43</v>
      </c>
      <c r="F8">
        <f>F7+C8</f>
        <v>1391</v>
      </c>
      <c r="G8" s="163">
        <f>E8/MAX($E$7:$E$11)</f>
        <v>0.91489361702127658</v>
      </c>
      <c r="H8" s="163">
        <f>F8/MAX($F$7:$F$11)</f>
        <v>0.18559039359573049</v>
      </c>
    </row>
    <row r="9" spans="1:13">
      <c r="A9" s="684">
        <v>300</v>
      </c>
      <c r="B9" s="684">
        <v>399</v>
      </c>
      <c r="C9">
        <v>396</v>
      </c>
      <c r="D9">
        <v>1</v>
      </c>
      <c r="E9">
        <f>E8+D9</f>
        <v>44</v>
      </c>
      <c r="F9">
        <f t="shared" ref="F9:F10" si="0">F8+C9</f>
        <v>1787</v>
      </c>
      <c r="G9" s="163">
        <f>E9/MAX($E$7:$E$11)</f>
        <v>0.93617021276595747</v>
      </c>
      <c r="H9" s="163">
        <f>F9/MAX($F$7:$F$11)</f>
        <v>0.23842561707805204</v>
      </c>
    </row>
    <row r="10" spans="1:13">
      <c r="A10" s="684">
        <v>1199</v>
      </c>
      <c r="B10" s="684">
        <v>5399</v>
      </c>
      <c r="C10">
        <v>5708</v>
      </c>
      <c r="D10">
        <v>3</v>
      </c>
      <c r="E10">
        <f t="shared" ref="E10" si="1">E9+D10</f>
        <v>47</v>
      </c>
      <c r="F10">
        <f t="shared" si="0"/>
        <v>7495</v>
      </c>
      <c r="G10" s="163">
        <f>E10/MAX($E$7:$E$11)</f>
        <v>1</v>
      </c>
      <c r="H10" s="163">
        <f>F10/MAX($F$7:$F$11)</f>
        <v>1</v>
      </c>
    </row>
    <row r="12" spans="1:13">
      <c r="A12" s="685"/>
      <c r="B12" s="685"/>
      <c r="C12" s="693" t="s">
        <v>912</v>
      </c>
      <c r="D12" s="694">
        <f>MAX(E6:E11)/12</f>
        <v>3.9166666666666665</v>
      </c>
    </row>
    <row r="13" spans="1:13">
      <c r="A13" s="685"/>
      <c r="B13" s="685"/>
      <c r="C13" s="693" t="s">
        <v>913</v>
      </c>
      <c r="D13" s="694">
        <f>MAX(F6:F11)/D12/12</f>
        <v>159.46808510638297</v>
      </c>
    </row>
    <row r="14" spans="1:13">
      <c r="A14" s="689"/>
      <c r="B14" s="689"/>
      <c r="C14" s="695" t="s">
        <v>914</v>
      </c>
      <c r="D14" s="696">
        <f>VLOOKUP(B3,[17]!Percentiles_All_Bills,9,0)</f>
        <v>0</v>
      </c>
    </row>
  </sheetData>
  <conditionalFormatting sqref="M2:M3">
    <cfRule type="cellIs" dxfId="104" priority="1" operator="equal">
      <formula>0</formula>
    </cfRule>
    <cfRule type="cellIs" dxfId="103" priority="2" operator="lessThan">
      <formula>0</formula>
    </cfRule>
    <cfRule type="cellIs" dxfId="102" priority="3" operator="greaterThan">
      <formula>0</formula>
    </cfRule>
  </conditionalFormatting>
  <pageMargins left="0.7" right="0.7" top="0.75" bottom="0.75" header="0.3" footer="0.3"/>
  <pageSetup scale="48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59423-DA03-44FD-AAA5-F291EF208223}">
  <sheetPr codeName="Sheet54">
    <tabColor theme="9" tint="0.79998168889431442"/>
  </sheetPr>
  <dimension ref="A1:M35"/>
  <sheetViews>
    <sheetView zoomScale="80" zoomScaleNormal="80" workbookViewId="0"/>
  </sheetViews>
  <sheetFormatPr defaultRowHeight="15"/>
  <cols>
    <col min="1" max="1" width="25" customWidth="1"/>
    <col min="2" max="2" width="8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Small Volume Industrial Service</v>
      </c>
      <c r="J1" s="682" t="s">
        <v>536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536</v>
      </c>
      <c r="J2" s="682" t="s">
        <v>900</v>
      </c>
      <c r="K2" s="683">
        <f>'GISVS Billed'!E31</f>
        <v>267</v>
      </c>
      <c r="L2" s="683">
        <f>VLOOKUP($J1,Summary!$B:$P,2,0)</f>
        <v>267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5758</v>
      </c>
      <c r="J3" s="682" t="s">
        <v>902</v>
      </c>
      <c r="K3" s="683">
        <f>'GISVS Billed'!F31</f>
        <v>883556</v>
      </c>
      <c r="L3" s="683">
        <f>VLOOKUP($J1,Summary!$B:$P,3,0)</f>
        <v>883556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249</v>
      </c>
      <c r="C7">
        <v>11658.972476117946</v>
      </c>
      <c r="D7">
        <f>111+24</f>
        <v>135</v>
      </c>
      <c r="E7">
        <f>D7</f>
        <v>135</v>
      </c>
      <c r="F7">
        <f>C7</f>
        <v>11658.972476117946</v>
      </c>
      <c r="G7" s="163">
        <f t="shared" ref="G7:G31" si="0">E7/MAX($E$7:$E$32)</f>
        <v>0.5056179775280899</v>
      </c>
      <c r="H7" s="163">
        <f t="shared" ref="H7:H31" si="1">F7/MAX($F$7:$F$32)</f>
        <v>1.3195510500882735E-2</v>
      </c>
    </row>
    <row r="8" spans="1:13">
      <c r="A8">
        <v>250</v>
      </c>
      <c r="B8">
        <v>499</v>
      </c>
      <c r="C8">
        <v>11376.459594336033</v>
      </c>
      <c r="D8">
        <v>19</v>
      </c>
      <c r="E8">
        <f>E7+D8</f>
        <v>154</v>
      </c>
      <c r="F8">
        <f>F7+C8</f>
        <v>23035.432070453979</v>
      </c>
      <c r="G8" s="163">
        <f t="shared" si="0"/>
        <v>0.57677902621722843</v>
      </c>
      <c r="H8" s="163">
        <f t="shared" si="1"/>
        <v>2.6071275697809735E-2</v>
      </c>
    </row>
    <row r="9" spans="1:13">
      <c r="A9">
        <v>500</v>
      </c>
      <c r="B9">
        <v>749</v>
      </c>
      <c r="C9">
        <v>3405.3434459948548</v>
      </c>
      <c r="D9">
        <v>4</v>
      </c>
      <c r="E9">
        <f>E8+D9</f>
        <v>158</v>
      </c>
      <c r="F9">
        <f t="shared" ref="F9:F31" si="2">F8+C9</f>
        <v>26440.775516448834</v>
      </c>
      <c r="G9" s="163">
        <f t="shared" si="0"/>
        <v>0.59176029962546817</v>
      </c>
      <c r="H9" s="163">
        <f t="shared" si="1"/>
        <v>2.9925409953018071E-2</v>
      </c>
    </row>
    <row r="10" spans="1:13">
      <c r="A10">
        <v>750</v>
      </c>
      <c r="B10">
        <v>999</v>
      </c>
      <c r="C10">
        <v>8006.0505369486491</v>
      </c>
      <c r="D10">
        <v>6</v>
      </c>
      <c r="E10">
        <f t="shared" ref="E10:E31" si="3">E9+D10</f>
        <v>164</v>
      </c>
      <c r="F10">
        <f t="shared" si="2"/>
        <v>34446.826053397483</v>
      </c>
      <c r="G10" s="163">
        <f t="shared" si="0"/>
        <v>0.61423220973782766</v>
      </c>
      <c r="H10" s="163">
        <f t="shared" si="1"/>
        <v>3.8986579292537751E-2</v>
      </c>
    </row>
    <row r="11" spans="1:13">
      <c r="A11">
        <v>1000</v>
      </c>
      <c r="B11">
        <v>1499</v>
      </c>
      <c r="C11">
        <v>17435.297688035149</v>
      </c>
      <c r="D11">
        <v>9</v>
      </c>
      <c r="E11">
        <f t="shared" si="3"/>
        <v>173</v>
      </c>
      <c r="F11">
        <f t="shared" si="2"/>
        <v>51882.123741432632</v>
      </c>
      <c r="G11" s="163">
        <f t="shared" si="0"/>
        <v>0.64794007490636707</v>
      </c>
      <c r="H11" s="163">
        <f t="shared" si="1"/>
        <v>5.8719677916773391E-2</v>
      </c>
    </row>
    <row r="12" spans="1:13">
      <c r="A12">
        <v>1500</v>
      </c>
      <c r="B12">
        <v>1999</v>
      </c>
      <c r="C12">
        <v>29686.635884018382</v>
      </c>
      <c r="D12">
        <v>11</v>
      </c>
      <c r="E12">
        <f t="shared" si="3"/>
        <v>184</v>
      </c>
      <c r="F12">
        <f t="shared" si="2"/>
        <v>81568.759625451014</v>
      </c>
      <c r="G12" s="163">
        <f t="shared" si="0"/>
        <v>0.68913857677902624</v>
      </c>
      <c r="H12" s="163">
        <f t="shared" si="1"/>
        <v>9.2318720743734428E-2</v>
      </c>
    </row>
    <row r="13" spans="1:13">
      <c r="A13">
        <v>2000</v>
      </c>
      <c r="B13">
        <v>2499</v>
      </c>
      <c r="C13">
        <v>13780.856862404718</v>
      </c>
      <c r="D13">
        <v>4</v>
      </c>
      <c r="E13">
        <f t="shared" si="3"/>
        <v>188</v>
      </c>
      <c r="F13">
        <f t="shared" si="2"/>
        <v>95349.616487855732</v>
      </c>
      <c r="G13" s="163">
        <f t="shared" si="0"/>
        <v>0.70411985018726597</v>
      </c>
      <c r="H13" s="163">
        <f t="shared" si="1"/>
        <v>0.10791575914583312</v>
      </c>
    </row>
    <row r="14" spans="1:13">
      <c r="A14">
        <v>2500</v>
      </c>
      <c r="B14">
        <v>2999</v>
      </c>
      <c r="C14">
        <v>33289.434569968333</v>
      </c>
      <c r="D14">
        <v>8</v>
      </c>
      <c r="E14">
        <f t="shared" si="3"/>
        <v>196</v>
      </c>
      <c r="F14">
        <f t="shared" si="2"/>
        <v>128639.05105782406</v>
      </c>
      <c r="G14" s="163">
        <f t="shared" si="0"/>
        <v>0.73408239700374533</v>
      </c>
      <c r="H14" s="163">
        <f t="shared" si="1"/>
        <v>0.1455924141286167</v>
      </c>
    </row>
    <row r="15" spans="1:13">
      <c r="A15">
        <v>3000</v>
      </c>
      <c r="B15">
        <v>3499</v>
      </c>
      <c r="C15">
        <v>29557.53053481695</v>
      </c>
      <c r="D15">
        <v>6</v>
      </c>
      <c r="E15">
        <f t="shared" si="3"/>
        <v>202</v>
      </c>
      <c r="F15">
        <f t="shared" si="2"/>
        <v>158196.58159264101</v>
      </c>
      <c r="G15" s="163">
        <f t="shared" si="0"/>
        <v>0.75655430711610483</v>
      </c>
      <c r="H15" s="163">
        <f t="shared" si="1"/>
        <v>0.17904533678979148</v>
      </c>
    </row>
    <row r="16" spans="1:13">
      <c r="A16">
        <v>3500</v>
      </c>
      <c r="B16">
        <v>3999</v>
      </c>
      <c r="C16">
        <v>38942.72997852898</v>
      </c>
      <c r="D16">
        <v>7</v>
      </c>
      <c r="E16">
        <f t="shared" si="3"/>
        <v>209</v>
      </c>
      <c r="F16">
        <f t="shared" si="2"/>
        <v>197139.31157116999</v>
      </c>
      <c r="G16" s="163">
        <f t="shared" si="0"/>
        <v>0.78277153558052437</v>
      </c>
      <c r="H16" s="163">
        <f t="shared" si="1"/>
        <v>0.22312033597323769</v>
      </c>
    </row>
    <row r="17" spans="1:8">
      <c r="A17">
        <v>4000</v>
      </c>
      <c r="B17">
        <v>4499</v>
      </c>
      <c r="C17">
        <v>83415.725562261767</v>
      </c>
      <c r="D17">
        <v>13</v>
      </c>
      <c r="E17">
        <f t="shared" si="3"/>
        <v>222</v>
      </c>
      <c r="F17">
        <f t="shared" si="2"/>
        <v>280555.03713343176</v>
      </c>
      <c r="G17" s="163">
        <f t="shared" si="0"/>
        <v>0.8314606741573034</v>
      </c>
      <c r="H17" s="163">
        <f t="shared" si="1"/>
        <v>0.31752943461810201</v>
      </c>
    </row>
    <row r="18" spans="1:8">
      <c r="A18">
        <v>4500</v>
      </c>
      <c r="B18">
        <v>4999</v>
      </c>
      <c r="C18">
        <v>28603.669837187743</v>
      </c>
      <c r="D18">
        <v>4</v>
      </c>
      <c r="E18">
        <f t="shared" si="3"/>
        <v>226</v>
      </c>
      <c r="F18">
        <f t="shared" si="2"/>
        <v>309158.7069706195</v>
      </c>
      <c r="G18" s="163">
        <f t="shared" si="0"/>
        <v>0.84644194756554303</v>
      </c>
      <c r="H18" s="163">
        <f t="shared" si="1"/>
        <v>0.3499027871132328</v>
      </c>
    </row>
    <row r="19" spans="1:8">
      <c r="A19">
        <v>5000</v>
      </c>
      <c r="B19">
        <v>5499</v>
      </c>
      <c r="C19">
        <v>24496.600846121786</v>
      </c>
      <c r="D19">
        <v>3</v>
      </c>
      <c r="E19">
        <f t="shared" si="3"/>
        <v>229</v>
      </c>
      <c r="F19">
        <f t="shared" si="2"/>
        <v>333655.30781674129</v>
      </c>
      <c r="G19" s="163">
        <f t="shared" si="0"/>
        <v>0.85767790262172283</v>
      </c>
      <c r="H19" s="163">
        <f t="shared" si="1"/>
        <v>0.37762779927558782</v>
      </c>
    </row>
    <row r="20" spans="1:8">
      <c r="A20">
        <v>5500</v>
      </c>
      <c r="B20">
        <v>5999</v>
      </c>
      <c r="C20">
        <v>16952.291793375683</v>
      </c>
      <c r="D20">
        <v>2</v>
      </c>
      <c r="E20">
        <f t="shared" si="3"/>
        <v>231</v>
      </c>
      <c r="F20">
        <f t="shared" si="2"/>
        <v>350607.59961011697</v>
      </c>
      <c r="G20" s="163">
        <f t="shared" si="0"/>
        <v>0.8651685393258427</v>
      </c>
      <c r="H20" s="163">
        <f t="shared" si="1"/>
        <v>0.39681423657370551</v>
      </c>
    </row>
    <row r="21" spans="1:8">
      <c r="A21">
        <v>6000</v>
      </c>
      <c r="B21">
        <v>6499</v>
      </c>
      <c r="C21">
        <v>37390.428015189769</v>
      </c>
      <c r="D21">
        <v>4</v>
      </c>
      <c r="E21">
        <f t="shared" si="3"/>
        <v>235</v>
      </c>
      <c r="F21">
        <f t="shared" si="2"/>
        <v>387998.02762530674</v>
      </c>
      <c r="G21" s="163">
        <f t="shared" si="0"/>
        <v>0.88014981273408244</v>
      </c>
      <c r="H21" s="163">
        <f t="shared" si="1"/>
        <v>0.43913235564616926</v>
      </c>
    </row>
    <row r="22" spans="1:8">
      <c r="A22">
        <v>6500</v>
      </c>
      <c r="B22">
        <v>6999</v>
      </c>
      <c r="C22">
        <v>30382.285883244826</v>
      </c>
      <c r="D22">
        <v>3</v>
      </c>
      <c r="E22">
        <f t="shared" si="3"/>
        <v>238</v>
      </c>
      <c r="F22">
        <f t="shared" si="2"/>
        <v>418380.31350855157</v>
      </c>
      <c r="G22" s="163">
        <f t="shared" si="0"/>
        <v>0.89138576779026213</v>
      </c>
      <c r="H22" s="163">
        <f t="shared" si="1"/>
        <v>0.473518728307602</v>
      </c>
    </row>
    <row r="23" spans="1:8">
      <c r="A23">
        <v>8000</v>
      </c>
      <c r="B23">
        <v>8499</v>
      </c>
      <c r="C23">
        <v>24605.960671327484</v>
      </c>
      <c r="D23">
        <v>2</v>
      </c>
      <c r="E23">
        <f t="shared" si="3"/>
        <v>240</v>
      </c>
      <c r="F23">
        <f t="shared" si="2"/>
        <v>442986.27417987905</v>
      </c>
      <c r="G23" s="163">
        <f t="shared" si="0"/>
        <v>0.898876404494382</v>
      </c>
      <c r="H23" s="163">
        <f t="shared" si="1"/>
        <v>0.5013675128456816</v>
      </c>
    </row>
    <row r="24" spans="1:8">
      <c r="A24">
        <v>8500</v>
      </c>
      <c r="B24">
        <v>8999</v>
      </c>
      <c r="C24">
        <v>66516.594795027922</v>
      </c>
      <c r="D24">
        <v>5</v>
      </c>
      <c r="E24">
        <f t="shared" si="3"/>
        <v>245</v>
      </c>
      <c r="F24">
        <f t="shared" si="2"/>
        <v>509502.86897490697</v>
      </c>
      <c r="G24" s="163">
        <f t="shared" si="0"/>
        <v>0.91760299625468167</v>
      </c>
      <c r="H24" s="163">
        <f t="shared" si="1"/>
        <v>0.57665034131951676</v>
      </c>
    </row>
    <row r="25" spans="1:8">
      <c r="A25">
        <v>9000</v>
      </c>
      <c r="B25">
        <v>9499</v>
      </c>
      <c r="C25">
        <v>69956.872629629797</v>
      </c>
      <c r="D25">
        <v>5</v>
      </c>
      <c r="E25">
        <f t="shared" si="3"/>
        <v>250</v>
      </c>
      <c r="F25">
        <f t="shared" si="2"/>
        <v>579459.74160453677</v>
      </c>
      <c r="G25" s="163">
        <f t="shared" si="0"/>
        <v>0.93632958801498123</v>
      </c>
      <c r="H25" s="163">
        <f t="shared" si="1"/>
        <v>0.6558268424463608</v>
      </c>
    </row>
    <row r="26" spans="1:8">
      <c r="A26">
        <v>9500</v>
      </c>
      <c r="B26">
        <v>9999</v>
      </c>
      <c r="C26">
        <v>44179.850496722618</v>
      </c>
      <c r="D26">
        <v>3</v>
      </c>
      <c r="E26">
        <f t="shared" si="3"/>
        <v>253</v>
      </c>
      <c r="F26">
        <f t="shared" si="2"/>
        <v>623639.59210125939</v>
      </c>
      <c r="G26" s="163">
        <f t="shared" si="0"/>
        <v>0.94756554307116103</v>
      </c>
      <c r="H26" s="163">
        <f t="shared" si="1"/>
        <v>0.70582916317840561</v>
      </c>
    </row>
    <row r="27" spans="1:8">
      <c r="A27">
        <v>10000</v>
      </c>
      <c r="B27">
        <v>10999</v>
      </c>
      <c r="C27">
        <v>46285.027131936396</v>
      </c>
      <c r="D27">
        <v>3</v>
      </c>
      <c r="E27">
        <f t="shared" si="3"/>
        <v>256</v>
      </c>
      <c r="F27">
        <f t="shared" si="2"/>
        <v>669924.61923319579</v>
      </c>
      <c r="G27" s="163">
        <f t="shared" si="0"/>
        <v>0.95880149812734083</v>
      </c>
      <c r="H27" s="163">
        <f t="shared" si="1"/>
        <v>0.7582141021431531</v>
      </c>
    </row>
    <row r="28" spans="1:8">
      <c r="A28">
        <v>11000</v>
      </c>
      <c r="B28">
        <v>11999</v>
      </c>
      <c r="C28">
        <v>68287.61640877882</v>
      </c>
      <c r="D28">
        <v>4</v>
      </c>
      <c r="E28">
        <f t="shared" si="3"/>
        <v>260</v>
      </c>
      <c r="F28">
        <f t="shared" si="2"/>
        <v>738212.23564197461</v>
      </c>
      <c r="G28" s="163">
        <f t="shared" si="0"/>
        <v>0.97378277153558057</v>
      </c>
      <c r="H28" s="163">
        <f t="shared" si="1"/>
        <v>0.83550135547942017</v>
      </c>
    </row>
    <row r="29" spans="1:8">
      <c r="A29">
        <v>12000</v>
      </c>
      <c r="B29">
        <v>12999</v>
      </c>
      <c r="C29">
        <v>76369.611268787179</v>
      </c>
      <c r="D29">
        <v>4</v>
      </c>
      <c r="E29">
        <f t="shared" si="3"/>
        <v>264</v>
      </c>
      <c r="F29">
        <f t="shared" si="2"/>
        <v>814581.84691076179</v>
      </c>
      <c r="G29" s="163">
        <f t="shared" si="0"/>
        <v>0.9887640449438202</v>
      </c>
      <c r="H29" s="163">
        <f t="shared" si="1"/>
        <v>0.92193573119390482</v>
      </c>
    </row>
    <row r="30" spans="1:8">
      <c r="A30">
        <v>13000</v>
      </c>
      <c r="B30">
        <v>14999</v>
      </c>
      <c r="C30">
        <v>22611.662747780792</v>
      </c>
      <c r="D30">
        <v>1</v>
      </c>
      <c r="E30">
        <f t="shared" si="3"/>
        <v>265</v>
      </c>
      <c r="F30">
        <f t="shared" si="2"/>
        <v>837193.50965854258</v>
      </c>
      <c r="G30" s="163">
        <f t="shared" si="0"/>
        <v>0.99250936329588013</v>
      </c>
      <c r="H30" s="163">
        <f t="shared" si="1"/>
        <v>0.94752738893578059</v>
      </c>
    </row>
    <row r="31" spans="1:8">
      <c r="A31">
        <v>15000</v>
      </c>
      <c r="B31">
        <v>15999</v>
      </c>
      <c r="C31">
        <v>46362.490341457422</v>
      </c>
      <c r="D31">
        <v>2</v>
      </c>
      <c r="E31">
        <f t="shared" si="3"/>
        <v>267</v>
      </c>
      <c r="F31">
        <f t="shared" si="2"/>
        <v>883556</v>
      </c>
      <c r="G31" s="163">
        <f t="shared" si="0"/>
        <v>1</v>
      </c>
      <c r="H31" s="163">
        <f t="shared" si="1"/>
        <v>1</v>
      </c>
    </row>
    <row r="33" spans="1:4">
      <c r="A33" s="685"/>
      <c r="B33" s="685"/>
      <c r="C33" s="693" t="s">
        <v>912</v>
      </c>
      <c r="D33" s="694">
        <f>MAX(E6:E32)/12</f>
        <v>22.25</v>
      </c>
    </row>
    <row r="34" spans="1:4">
      <c r="A34" s="685"/>
      <c r="B34" s="685"/>
      <c r="C34" s="698" t="s">
        <v>913</v>
      </c>
      <c r="D34" s="694">
        <f>MAX(F6:F32)/D33/12</f>
        <v>3309.1985018726591</v>
      </c>
    </row>
    <row r="35" spans="1:4">
      <c r="A35" s="689"/>
      <c r="B35" s="689"/>
      <c r="C35" s="695" t="s">
        <v>914</v>
      </c>
      <c r="D35" s="696">
        <f>VLOOKUP(B3,[17]!Percentiles_All_Bills,9,0)</f>
        <v>656</v>
      </c>
    </row>
  </sheetData>
  <conditionalFormatting sqref="M2:M3">
    <cfRule type="cellIs" dxfId="101" priority="1" operator="equal">
      <formula>0</formula>
    </cfRule>
    <cfRule type="cellIs" dxfId="100" priority="2" operator="lessThan">
      <formula>0</formula>
    </cfRule>
    <cfRule type="cellIs" dxfId="99" priority="3" operator="greaterThan">
      <formula>0</formula>
    </cfRule>
  </conditionalFormatting>
  <pageMargins left="0.7" right="0.7" top="0.75" bottom="0.75" header="0.3" footer="0.3"/>
  <pageSetup scale="50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30C59-B192-4B31-A957-DC012D866C20}">
  <sheetPr codeName="Sheet55">
    <tabColor theme="9" tint="0.79998168889431442"/>
  </sheetPr>
  <dimension ref="A1:M21"/>
  <sheetViews>
    <sheetView zoomScale="80" zoomScaleNormal="80" workbookViewId="0"/>
  </sheetViews>
  <sheetFormatPr defaultRowHeight="15"/>
  <cols>
    <col min="1" max="1" width="25" customWidth="1"/>
    <col min="2" max="2" width="7.710937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Large Volume Industrial Service</v>
      </c>
      <c r="J1" s="682" t="s">
        <v>522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522</v>
      </c>
      <c r="J2" s="682" t="s">
        <v>900</v>
      </c>
      <c r="K2" s="683">
        <f>'GILVS Billed'!E16</f>
        <v>86</v>
      </c>
      <c r="L2" s="683">
        <f>VLOOKUP($J1,Summary!$B:$P,2,0)</f>
        <v>86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5759</v>
      </c>
      <c r="J3" s="682" t="s">
        <v>902</v>
      </c>
      <c r="K3" s="683">
        <f>'GILVS Billed'!F16</f>
        <v>1699928</v>
      </c>
      <c r="L3" s="683">
        <f>VLOOKUP($J1,Summary!$B:$P,3,0)</f>
        <v>1699928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499</v>
      </c>
      <c r="C7" s="697">
        <v>2390.5346939287342</v>
      </c>
      <c r="D7" s="697">
        <f>11+6</f>
        <v>17</v>
      </c>
      <c r="E7" s="697">
        <f>D7</f>
        <v>17</v>
      </c>
      <c r="F7" s="697">
        <f>C7</f>
        <v>2390.5346939287342</v>
      </c>
      <c r="G7" s="163">
        <f t="shared" ref="G7:G16" si="0">E7/MAX($E$7:$E$17)</f>
        <v>0.19767441860465115</v>
      </c>
      <c r="H7" s="163">
        <f t="shared" ref="H7:H16" si="1">F7/MAX($F$7:$F$17)</f>
        <v>1.4062564378778009E-3</v>
      </c>
    </row>
    <row r="8" spans="1:13">
      <c r="A8">
        <v>500</v>
      </c>
      <c r="B8">
        <v>1999</v>
      </c>
      <c r="C8" s="697">
        <v>7088.3667803415501</v>
      </c>
      <c r="D8" s="697">
        <v>6</v>
      </c>
      <c r="E8" s="697">
        <f>E7+D8</f>
        <v>23</v>
      </c>
      <c r="F8" s="697">
        <f>F7+C8</f>
        <v>9478.9014742702839</v>
      </c>
      <c r="G8" s="163">
        <f t="shared" si="0"/>
        <v>0.26744186046511625</v>
      </c>
      <c r="H8" s="163">
        <f t="shared" si="1"/>
        <v>5.5760605591944389E-3</v>
      </c>
    </row>
    <row r="9" spans="1:13">
      <c r="A9">
        <v>2000</v>
      </c>
      <c r="B9">
        <v>2999</v>
      </c>
      <c r="C9" s="697">
        <v>5158.6825114844269</v>
      </c>
      <c r="D9" s="697">
        <v>2</v>
      </c>
      <c r="E9" s="697">
        <f>E8+D9</f>
        <v>25</v>
      </c>
      <c r="F9" s="697">
        <f t="shared" ref="F9:F16" si="2">F8+C9</f>
        <v>14637.583985754711</v>
      </c>
      <c r="G9" s="163">
        <f t="shared" si="0"/>
        <v>0.29069767441860467</v>
      </c>
      <c r="H9" s="163">
        <f t="shared" si="1"/>
        <v>8.6107082098504824E-3</v>
      </c>
    </row>
    <row r="10" spans="1:13">
      <c r="A10">
        <v>5000</v>
      </c>
      <c r="B10">
        <v>9999</v>
      </c>
      <c r="C10" s="697">
        <v>19669.380366988138</v>
      </c>
      <c r="D10" s="697">
        <v>2</v>
      </c>
      <c r="E10" s="697">
        <f t="shared" ref="E10:E16" si="3">E9+D10</f>
        <v>27</v>
      </c>
      <c r="F10" s="697">
        <f t="shared" si="2"/>
        <v>34306.964352742849</v>
      </c>
      <c r="G10" s="163">
        <f t="shared" si="0"/>
        <v>0.31395348837209303</v>
      </c>
      <c r="H10" s="163">
        <f t="shared" si="1"/>
        <v>2.0181422008898522E-2</v>
      </c>
    </row>
    <row r="11" spans="1:13">
      <c r="A11">
        <v>10000</v>
      </c>
      <c r="B11">
        <v>14999</v>
      </c>
      <c r="C11" s="697">
        <v>255892.78151074334</v>
      </c>
      <c r="D11" s="697">
        <v>20</v>
      </c>
      <c r="E11" s="697">
        <f t="shared" si="3"/>
        <v>47</v>
      </c>
      <c r="F11" s="697">
        <f t="shared" si="2"/>
        <v>290199.7458634862</v>
      </c>
      <c r="G11" s="163">
        <f t="shared" si="0"/>
        <v>0.54651162790697672</v>
      </c>
      <c r="H11" s="163">
        <f t="shared" si="1"/>
        <v>0.17071296305695666</v>
      </c>
    </row>
    <row r="12" spans="1:13">
      <c r="A12">
        <v>15000</v>
      </c>
      <c r="B12">
        <v>19999</v>
      </c>
      <c r="C12" s="697">
        <v>100877.51881666656</v>
      </c>
      <c r="D12" s="697">
        <v>6</v>
      </c>
      <c r="E12" s="697">
        <f t="shared" si="3"/>
        <v>53</v>
      </c>
      <c r="F12" s="697">
        <f t="shared" si="2"/>
        <v>391077.26468015276</v>
      </c>
      <c r="G12" s="163">
        <f t="shared" si="0"/>
        <v>0.61627906976744184</v>
      </c>
      <c r="H12" s="163">
        <f t="shared" si="1"/>
        <v>0.23005519332592483</v>
      </c>
    </row>
    <row r="13" spans="1:13">
      <c r="A13">
        <v>20000</v>
      </c>
      <c r="B13">
        <v>29999</v>
      </c>
      <c r="C13" s="697">
        <v>265218.40453967033</v>
      </c>
      <c r="D13" s="697">
        <v>12</v>
      </c>
      <c r="E13" s="697">
        <f t="shared" si="3"/>
        <v>65</v>
      </c>
      <c r="F13" s="697">
        <f t="shared" si="2"/>
        <v>656295.66921982309</v>
      </c>
      <c r="G13" s="163">
        <f t="shared" si="0"/>
        <v>0.7558139534883721</v>
      </c>
      <c r="H13" s="163">
        <f t="shared" si="1"/>
        <v>0.38607262732293551</v>
      </c>
    </row>
    <row r="14" spans="1:13">
      <c r="A14">
        <v>30000</v>
      </c>
      <c r="B14">
        <v>49999</v>
      </c>
      <c r="C14" s="697">
        <v>561200.0975864341</v>
      </c>
      <c r="D14" s="697">
        <v>14</v>
      </c>
      <c r="E14" s="697">
        <f t="shared" si="3"/>
        <v>79</v>
      </c>
      <c r="F14" s="697">
        <f t="shared" si="2"/>
        <v>1217495.7668062572</v>
      </c>
      <c r="G14" s="163">
        <f t="shared" si="0"/>
        <v>0.91860465116279066</v>
      </c>
      <c r="H14" s="163">
        <f t="shared" si="1"/>
        <v>0.71620431383344307</v>
      </c>
    </row>
    <row r="15" spans="1:13">
      <c r="A15">
        <v>50000</v>
      </c>
      <c r="B15">
        <v>59999</v>
      </c>
      <c r="C15" s="697">
        <v>104731.81190917129</v>
      </c>
      <c r="D15" s="697">
        <v>2</v>
      </c>
      <c r="E15" s="697">
        <f t="shared" si="3"/>
        <v>81</v>
      </c>
      <c r="F15" s="697">
        <f t="shared" si="2"/>
        <v>1322227.5787154285</v>
      </c>
      <c r="G15" s="163">
        <f t="shared" si="0"/>
        <v>0.94186046511627908</v>
      </c>
      <c r="H15" s="163">
        <f t="shared" si="1"/>
        <v>0.77781387136127444</v>
      </c>
    </row>
    <row r="16" spans="1:13">
      <c r="A16">
        <v>60000</v>
      </c>
      <c r="B16">
        <v>99999</v>
      </c>
      <c r="C16" s="697">
        <v>377700.42128457152</v>
      </c>
      <c r="D16" s="697">
        <v>5</v>
      </c>
      <c r="E16" s="697">
        <f t="shared" si="3"/>
        <v>86</v>
      </c>
      <c r="F16" s="697">
        <f t="shared" si="2"/>
        <v>1699928</v>
      </c>
      <c r="G16" s="163">
        <f t="shared" si="0"/>
        <v>1</v>
      </c>
      <c r="H16" s="163">
        <f t="shared" si="1"/>
        <v>1</v>
      </c>
    </row>
    <row r="17" spans="1:6">
      <c r="E17" s="697"/>
      <c r="F17" s="697"/>
    </row>
    <row r="19" spans="1:6">
      <c r="A19" s="685"/>
      <c r="B19" s="698"/>
      <c r="C19" s="693" t="s">
        <v>912</v>
      </c>
      <c r="D19" s="694">
        <f>MAX(E6:E17)/12</f>
        <v>7.166666666666667</v>
      </c>
    </row>
    <row r="20" spans="1:6">
      <c r="A20" s="685"/>
      <c r="B20" s="698"/>
      <c r="C20" s="693" t="s">
        <v>913</v>
      </c>
      <c r="D20" s="694">
        <f>MAX(F6:F17)/D19/12</f>
        <v>19766.60465116279</v>
      </c>
    </row>
    <row r="21" spans="1:6">
      <c r="A21" s="689"/>
      <c r="B21" s="699"/>
      <c r="C21" s="695" t="s">
        <v>914</v>
      </c>
      <c r="D21" s="696">
        <f>VLOOKUP(B3,[17]!Percentiles_All_Bills,9,0)</f>
        <v>13945</v>
      </c>
    </row>
  </sheetData>
  <conditionalFormatting sqref="M2:M3">
    <cfRule type="cellIs" dxfId="98" priority="1" operator="equal">
      <formula>0</formula>
    </cfRule>
    <cfRule type="cellIs" dxfId="97" priority="2" operator="lessThan">
      <formula>0</formula>
    </cfRule>
    <cfRule type="cellIs" dxfId="96" priority="3" operator="greaterThan">
      <formula>0</formula>
    </cfRule>
  </conditionalFormatting>
  <pageMargins left="0.7" right="0.7" top="0.75" bottom="0.75" header="0.3" footer="0.3"/>
  <pageSetup scale="48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522CD-E2BA-42F8-AC66-2AE02F6F42D9}">
  <sheetPr codeName="Sheet56">
    <tabColor theme="9" tint="0.79998168889431442"/>
  </sheetPr>
  <dimension ref="A1:M24"/>
  <sheetViews>
    <sheetView zoomScale="80" zoomScaleNormal="80" workbookViewId="0"/>
  </sheetViews>
  <sheetFormatPr defaultRowHeight="15"/>
  <cols>
    <col min="1" max="1" width="25" customWidth="1"/>
    <col min="2" max="2" width="9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Large Volume Commercial Service</v>
      </c>
      <c r="J1" s="682" t="s">
        <v>535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535</v>
      </c>
      <c r="J2" s="682" t="s">
        <v>900</v>
      </c>
      <c r="K2" s="683">
        <f>'GGLVS Billed'!E20</f>
        <v>314</v>
      </c>
      <c r="L2" s="683">
        <f>VLOOKUP($J1,Summary!$B:$P,2,0)</f>
        <v>314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5754</v>
      </c>
      <c r="J3" s="682" t="s">
        <v>902</v>
      </c>
      <c r="K3" s="683">
        <f>'GGLVS Billed'!F20</f>
        <v>1168672</v>
      </c>
      <c r="L3" s="683">
        <f>VLOOKUP($J1,Summary!$B:$P,3,0)</f>
        <v>1168672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 s="684">
        <v>0</v>
      </c>
      <c r="B7" s="684">
        <v>249</v>
      </c>
      <c r="C7">
        <v>5106</v>
      </c>
      <c r="D7">
        <v>97</v>
      </c>
      <c r="E7">
        <f>D7</f>
        <v>97</v>
      </c>
      <c r="F7">
        <f>C7</f>
        <v>5106</v>
      </c>
      <c r="G7" s="163">
        <f t="shared" ref="G7:G20" si="0">E7/MAX($E$7:$E$21)</f>
        <v>0.30891719745222929</v>
      </c>
      <c r="H7" s="163">
        <f t="shared" ref="H7:H20" si="1">F7/MAX($F$7:$F$21)</f>
        <v>4.3690616357712E-3</v>
      </c>
    </row>
    <row r="8" spans="1:13">
      <c r="A8" s="684">
        <v>250</v>
      </c>
      <c r="B8" s="684">
        <v>499</v>
      </c>
      <c r="C8">
        <v>10867</v>
      </c>
      <c r="D8">
        <v>29</v>
      </c>
      <c r="E8">
        <f>E7+D8</f>
        <v>126</v>
      </c>
      <c r="F8">
        <f>F7+C8</f>
        <v>15973</v>
      </c>
      <c r="G8" s="163">
        <f t="shared" si="0"/>
        <v>0.40127388535031849</v>
      </c>
      <c r="H8" s="163">
        <f t="shared" si="1"/>
        <v>1.3667650119109554E-2</v>
      </c>
    </row>
    <row r="9" spans="1:13">
      <c r="A9" s="684">
        <v>500</v>
      </c>
      <c r="B9" s="684">
        <v>749</v>
      </c>
      <c r="C9">
        <v>18698</v>
      </c>
      <c r="D9">
        <v>30</v>
      </c>
      <c r="E9">
        <f>E8+D9</f>
        <v>156</v>
      </c>
      <c r="F9">
        <f t="shared" ref="F9:F20" si="2">F8+C9</f>
        <v>34671</v>
      </c>
      <c r="G9" s="163">
        <f t="shared" si="0"/>
        <v>0.49681528662420382</v>
      </c>
      <c r="H9" s="163">
        <f t="shared" si="1"/>
        <v>2.9667006653706088E-2</v>
      </c>
    </row>
    <row r="10" spans="1:13">
      <c r="A10" s="684">
        <v>750</v>
      </c>
      <c r="B10" s="684">
        <v>999</v>
      </c>
      <c r="C10">
        <v>26427</v>
      </c>
      <c r="D10">
        <v>30</v>
      </c>
      <c r="E10">
        <f t="shared" ref="E10:E20" si="3">E9+D10</f>
        <v>186</v>
      </c>
      <c r="F10">
        <f t="shared" si="2"/>
        <v>61098</v>
      </c>
      <c r="G10" s="163">
        <f t="shared" si="0"/>
        <v>0.59235668789808915</v>
      </c>
      <c r="H10" s="163">
        <f t="shared" si="1"/>
        <v>5.2279852687494868E-2</v>
      </c>
    </row>
    <row r="11" spans="1:13">
      <c r="A11" s="684">
        <v>1000</v>
      </c>
      <c r="B11" s="684">
        <v>1999</v>
      </c>
      <c r="C11">
        <v>49673</v>
      </c>
      <c r="D11">
        <v>36</v>
      </c>
      <c r="E11">
        <f t="shared" si="3"/>
        <v>222</v>
      </c>
      <c r="F11">
        <f t="shared" si="2"/>
        <v>110771</v>
      </c>
      <c r="G11" s="163">
        <f t="shared" si="0"/>
        <v>0.70700636942675155</v>
      </c>
      <c r="H11" s="163">
        <f t="shared" si="1"/>
        <v>9.4783651871525973E-2</v>
      </c>
    </row>
    <row r="12" spans="1:13">
      <c r="A12" s="684">
        <v>2000</v>
      </c>
      <c r="B12" s="684">
        <v>2999</v>
      </c>
      <c r="C12">
        <v>34176</v>
      </c>
      <c r="D12">
        <v>14</v>
      </c>
      <c r="E12">
        <f t="shared" si="3"/>
        <v>236</v>
      </c>
      <c r="F12">
        <f t="shared" si="2"/>
        <v>144947</v>
      </c>
      <c r="G12" s="163">
        <f t="shared" si="0"/>
        <v>0.75159235668789814</v>
      </c>
      <c r="H12" s="163">
        <f t="shared" si="1"/>
        <v>0.12402710084608855</v>
      </c>
    </row>
    <row r="13" spans="1:13">
      <c r="A13" s="684">
        <v>3000</v>
      </c>
      <c r="B13" s="684">
        <v>3999</v>
      </c>
      <c r="C13">
        <v>38460</v>
      </c>
      <c r="D13">
        <v>11</v>
      </c>
      <c r="E13">
        <f t="shared" si="3"/>
        <v>247</v>
      </c>
      <c r="F13">
        <f t="shared" si="2"/>
        <v>183407</v>
      </c>
      <c r="G13" s="163">
        <f t="shared" si="0"/>
        <v>0.7866242038216561</v>
      </c>
      <c r="H13" s="163">
        <f t="shared" si="1"/>
        <v>0.1569362490074204</v>
      </c>
    </row>
    <row r="14" spans="1:13">
      <c r="A14" s="684">
        <v>4000</v>
      </c>
      <c r="B14" s="684">
        <v>4999</v>
      </c>
      <c r="C14">
        <v>45579</v>
      </c>
      <c r="D14">
        <v>10</v>
      </c>
      <c r="E14">
        <f t="shared" si="3"/>
        <v>257</v>
      </c>
      <c r="F14">
        <f t="shared" si="2"/>
        <v>228986</v>
      </c>
      <c r="G14" s="163">
        <f t="shared" si="0"/>
        <v>0.81847133757961787</v>
      </c>
      <c r="H14" s="163">
        <f t="shared" si="1"/>
        <v>0.19593692669970703</v>
      </c>
    </row>
    <row r="15" spans="1:13">
      <c r="A15" s="684">
        <v>5000</v>
      </c>
      <c r="B15" s="684">
        <v>5999</v>
      </c>
      <c r="C15">
        <v>53197</v>
      </c>
      <c r="D15">
        <v>10</v>
      </c>
      <c r="E15">
        <f t="shared" si="3"/>
        <v>267</v>
      </c>
      <c r="F15">
        <f t="shared" si="2"/>
        <v>282183</v>
      </c>
      <c r="G15" s="163">
        <f t="shared" si="0"/>
        <v>0.85031847133757965</v>
      </c>
      <c r="H15" s="163">
        <f t="shared" si="1"/>
        <v>0.24145611429040825</v>
      </c>
    </row>
    <row r="16" spans="1:13">
      <c r="A16" s="684">
        <v>6000</v>
      </c>
      <c r="B16" s="684">
        <v>6999</v>
      </c>
      <c r="C16">
        <v>31937</v>
      </c>
      <c r="D16">
        <v>5</v>
      </c>
      <c r="E16">
        <f t="shared" si="3"/>
        <v>272</v>
      </c>
      <c r="F16">
        <f t="shared" si="2"/>
        <v>314120</v>
      </c>
      <c r="G16" s="163">
        <f t="shared" si="0"/>
        <v>0.86624203821656054</v>
      </c>
      <c r="H16" s="163">
        <f t="shared" si="1"/>
        <v>0.26878371347991564</v>
      </c>
    </row>
    <row r="17" spans="1:8">
      <c r="A17" s="684">
        <v>9000</v>
      </c>
      <c r="B17" s="684">
        <v>9999</v>
      </c>
      <c r="C17">
        <v>28570</v>
      </c>
      <c r="D17">
        <v>3</v>
      </c>
      <c r="E17">
        <f t="shared" si="3"/>
        <v>275</v>
      </c>
      <c r="F17">
        <f t="shared" si="2"/>
        <v>342690</v>
      </c>
      <c r="G17" s="163">
        <f t="shared" si="0"/>
        <v>0.87579617834394907</v>
      </c>
      <c r="H17" s="163">
        <f t="shared" si="1"/>
        <v>0.29323026477916814</v>
      </c>
    </row>
    <row r="18" spans="1:8">
      <c r="A18" s="684">
        <v>10000</v>
      </c>
      <c r="B18" s="684">
        <v>19999</v>
      </c>
      <c r="C18">
        <v>236320</v>
      </c>
      <c r="D18">
        <v>15</v>
      </c>
      <c r="E18">
        <f t="shared" si="3"/>
        <v>290</v>
      </c>
      <c r="F18">
        <f t="shared" si="2"/>
        <v>579010</v>
      </c>
      <c r="G18" s="163">
        <f t="shared" si="0"/>
        <v>0.92356687898089174</v>
      </c>
      <c r="H18" s="163">
        <f t="shared" si="1"/>
        <v>0.49544269050683171</v>
      </c>
    </row>
    <row r="19" spans="1:8">
      <c r="A19" s="684">
        <v>20000</v>
      </c>
      <c r="B19" s="684">
        <v>29999</v>
      </c>
      <c r="C19">
        <v>491951</v>
      </c>
      <c r="D19">
        <v>21</v>
      </c>
      <c r="E19">
        <f t="shared" si="3"/>
        <v>311</v>
      </c>
      <c r="F19">
        <f t="shared" si="2"/>
        <v>1070961</v>
      </c>
      <c r="G19" s="163">
        <f t="shared" si="0"/>
        <v>0.99044585987261147</v>
      </c>
      <c r="H19" s="163">
        <f t="shared" si="1"/>
        <v>0.91639142548122998</v>
      </c>
    </row>
    <row r="20" spans="1:8">
      <c r="A20" s="684">
        <v>30000</v>
      </c>
      <c r="B20" s="684">
        <v>39999</v>
      </c>
      <c r="C20">
        <v>97711</v>
      </c>
      <c r="D20">
        <v>3</v>
      </c>
      <c r="E20">
        <f t="shared" si="3"/>
        <v>314</v>
      </c>
      <c r="F20">
        <f t="shared" si="2"/>
        <v>1168672</v>
      </c>
      <c r="G20" s="163">
        <f t="shared" si="0"/>
        <v>1</v>
      </c>
      <c r="H20" s="163">
        <f t="shared" si="1"/>
        <v>1</v>
      </c>
    </row>
    <row r="22" spans="1:8">
      <c r="A22" s="685"/>
      <c r="B22" s="685"/>
      <c r="C22" s="693" t="s">
        <v>912</v>
      </c>
      <c r="D22" s="694">
        <f>MAX(E6:E21)/12</f>
        <v>26.166666666666668</v>
      </c>
    </row>
    <row r="23" spans="1:8">
      <c r="A23" s="685"/>
      <c r="B23" s="685"/>
      <c r="C23" s="693" t="s">
        <v>913</v>
      </c>
      <c r="D23" s="694">
        <f>MAX(F6:F21)/D22/12</f>
        <v>3721.885350318471</v>
      </c>
    </row>
    <row r="24" spans="1:8">
      <c r="A24" s="689"/>
      <c r="B24" s="689"/>
      <c r="C24" s="695" t="s">
        <v>914</v>
      </c>
      <c r="D24" s="696">
        <f>VLOOKUP(B3,[17]!Percentiles_All_Bills,9,0)</f>
        <v>735</v>
      </c>
    </row>
  </sheetData>
  <conditionalFormatting sqref="M2:M3">
    <cfRule type="cellIs" dxfId="95" priority="1" operator="equal">
      <formula>0</formula>
    </cfRule>
    <cfRule type="cellIs" dxfId="94" priority="2" operator="lessThan">
      <formula>0</formula>
    </cfRule>
    <cfRule type="cellIs" dxfId="93" priority="3" operator="greaterThan">
      <formula>0</formula>
    </cfRule>
  </conditionalFormatting>
  <pageMargins left="0.7" right="0.7" top="0.75" bottom="0.75" header="0.3" footer="0.3"/>
  <pageSetup scale="50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8D56F-F19D-4A4A-AF30-E115D5A3621B}">
  <sheetPr codeName="Sheet57">
    <tabColor theme="9" tint="0.79998168889431442"/>
  </sheetPr>
  <dimension ref="A1:M30"/>
  <sheetViews>
    <sheetView zoomScale="80" zoomScaleNormal="80" workbookViewId="0"/>
  </sheetViews>
  <sheetFormatPr defaultRowHeight="15"/>
  <cols>
    <col min="1" max="1" width="25" customWidth="1"/>
    <col min="2" max="2" width="12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Small Volume Public Authority Service</v>
      </c>
      <c r="J1" s="682" t="s">
        <v>537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537</v>
      </c>
      <c r="J2" s="682" t="s">
        <v>900</v>
      </c>
      <c r="K2" s="683">
        <f>'GPSVS Billed'!E26</f>
        <v>12355</v>
      </c>
      <c r="L2" s="683">
        <f>VLOOKUP($J1,Summary!$B:$P,2,0)</f>
        <v>12355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5765</v>
      </c>
      <c r="J3" s="682" t="s">
        <v>902</v>
      </c>
      <c r="K3" s="683">
        <f>'GPSVS Billed'!F26</f>
        <v>4729503</v>
      </c>
      <c r="L3" s="683">
        <f>VLOOKUP($J1,Summary!$B:$P,3,0)</f>
        <v>4729503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 s="684">
        <v>0</v>
      </c>
      <c r="B7" s="684">
        <v>49</v>
      </c>
      <c r="C7">
        <v>62046</v>
      </c>
      <c r="D7">
        <f>5792-36</f>
        <v>5756</v>
      </c>
      <c r="E7">
        <f>D7</f>
        <v>5756</v>
      </c>
      <c r="F7">
        <f>C7</f>
        <v>62046</v>
      </c>
      <c r="G7" s="163">
        <f t="shared" ref="G7:G26" si="0">E7/MAX($E$7:$E$27)</f>
        <v>0.46588425738567379</v>
      </c>
      <c r="H7" s="163">
        <f t="shared" ref="H7:H26" si="1">F7/MAX($F$7:$F$27)</f>
        <v>1.3118926026688217E-2</v>
      </c>
    </row>
    <row r="8" spans="1:13">
      <c r="A8" s="684">
        <v>50</v>
      </c>
      <c r="B8" s="684">
        <v>99</v>
      </c>
      <c r="C8">
        <v>93631</v>
      </c>
      <c r="D8">
        <v>1305</v>
      </c>
      <c r="E8">
        <f>E7+D8</f>
        <v>7061</v>
      </c>
      <c r="F8">
        <f>F7+C8</f>
        <v>155677</v>
      </c>
      <c r="G8" s="163">
        <f t="shared" si="0"/>
        <v>0.57150951031970865</v>
      </c>
      <c r="H8" s="163">
        <f t="shared" si="1"/>
        <v>3.2916143620164741E-2</v>
      </c>
    </row>
    <row r="9" spans="1:13">
      <c r="A9" s="684">
        <v>100</v>
      </c>
      <c r="B9" s="684">
        <v>199</v>
      </c>
      <c r="C9">
        <v>189108</v>
      </c>
      <c r="D9">
        <v>1314</v>
      </c>
      <c r="E9">
        <f>E8+D9</f>
        <v>8375</v>
      </c>
      <c r="F9">
        <f t="shared" ref="F9:F26" si="2">F8+C9</f>
        <v>344785</v>
      </c>
      <c r="G9" s="163">
        <f t="shared" si="0"/>
        <v>0.67786321327397814</v>
      </c>
      <c r="H9" s="163">
        <f t="shared" si="1"/>
        <v>7.2900894660601762E-2</v>
      </c>
    </row>
    <row r="10" spans="1:13">
      <c r="A10" s="684">
        <v>200</v>
      </c>
      <c r="B10" s="684">
        <v>299</v>
      </c>
      <c r="C10">
        <v>202113</v>
      </c>
      <c r="D10">
        <v>822</v>
      </c>
      <c r="E10">
        <f t="shared" ref="E10:E26" si="3">E9+D10</f>
        <v>9197</v>
      </c>
      <c r="F10">
        <f t="shared" si="2"/>
        <v>546898</v>
      </c>
      <c r="G10" s="163">
        <f t="shared" si="0"/>
        <v>0.74439498178874952</v>
      </c>
      <c r="H10" s="163">
        <f t="shared" si="1"/>
        <v>0.11563540608812385</v>
      </c>
    </row>
    <row r="11" spans="1:13">
      <c r="A11" s="684">
        <v>300</v>
      </c>
      <c r="B11" s="684">
        <v>399</v>
      </c>
      <c r="C11">
        <v>181864</v>
      </c>
      <c r="D11">
        <v>527</v>
      </c>
      <c r="E11">
        <f t="shared" si="3"/>
        <v>9724</v>
      </c>
      <c r="F11">
        <f t="shared" si="2"/>
        <v>728762</v>
      </c>
      <c r="G11" s="163">
        <f t="shared" si="0"/>
        <v>0.78704977741804938</v>
      </c>
      <c r="H11" s="163">
        <f t="shared" si="1"/>
        <v>0.15408849513363243</v>
      </c>
    </row>
    <row r="12" spans="1:13">
      <c r="A12" s="684">
        <v>400</v>
      </c>
      <c r="B12" s="684">
        <v>499</v>
      </c>
      <c r="C12">
        <v>164585</v>
      </c>
      <c r="D12">
        <v>368</v>
      </c>
      <c r="E12">
        <f t="shared" si="3"/>
        <v>10092</v>
      </c>
      <c r="F12">
        <f t="shared" si="2"/>
        <v>893347</v>
      </c>
      <c r="G12" s="163">
        <f t="shared" si="0"/>
        <v>0.81683528935653582</v>
      </c>
      <c r="H12" s="163">
        <f t="shared" si="1"/>
        <v>0.18888813475749988</v>
      </c>
    </row>
    <row r="13" spans="1:13">
      <c r="A13" s="684">
        <v>500</v>
      </c>
      <c r="B13" s="684">
        <v>599</v>
      </c>
      <c r="C13">
        <v>176714</v>
      </c>
      <c r="D13">
        <v>323</v>
      </c>
      <c r="E13">
        <f t="shared" si="3"/>
        <v>10415</v>
      </c>
      <c r="F13">
        <f t="shared" si="2"/>
        <v>1070061</v>
      </c>
      <c r="G13" s="163">
        <f t="shared" si="0"/>
        <v>0.84297855119384868</v>
      </c>
      <c r="H13" s="163">
        <f t="shared" si="1"/>
        <v>0.22625231446094865</v>
      </c>
    </row>
    <row r="14" spans="1:13">
      <c r="A14" s="684">
        <v>600</v>
      </c>
      <c r="B14" s="684">
        <v>699</v>
      </c>
      <c r="C14">
        <v>173489</v>
      </c>
      <c r="D14">
        <v>268</v>
      </c>
      <c r="E14">
        <f t="shared" si="3"/>
        <v>10683</v>
      </c>
      <c r="F14">
        <f t="shared" si="2"/>
        <v>1243550</v>
      </c>
      <c r="G14" s="163">
        <f t="shared" si="0"/>
        <v>0.8646701740186159</v>
      </c>
      <c r="H14" s="163">
        <f t="shared" si="1"/>
        <v>0.26293460433369004</v>
      </c>
    </row>
    <row r="15" spans="1:13">
      <c r="A15" s="684">
        <v>700</v>
      </c>
      <c r="B15" s="684">
        <v>799</v>
      </c>
      <c r="C15">
        <v>122798</v>
      </c>
      <c r="D15">
        <v>165</v>
      </c>
      <c r="E15">
        <f t="shared" si="3"/>
        <v>10848</v>
      </c>
      <c r="F15">
        <f t="shared" si="2"/>
        <v>1366348</v>
      </c>
      <c r="G15" s="163">
        <f t="shared" si="0"/>
        <v>0.87802509105625248</v>
      </c>
      <c r="H15" s="163">
        <f t="shared" si="1"/>
        <v>0.28889885469995474</v>
      </c>
    </row>
    <row r="16" spans="1:13">
      <c r="A16" s="684">
        <v>800</v>
      </c>
      <c r="B16" s="684">
        <v>899</v>
      </c>
      <c r="C16">
        <v>123745</v>
      </c>
      <c r="D16">
        <v>146</v>
      </c>
      <c r="E16">
        <f t="shared" si="3"/>
        <v>10994</v>
      </c>
      <c r="F16">
        <f t="shared" si="2"/>
        <v>1490093</v>
      </c>
      <c r="G16" s="163">
        <f t="shared" si="0"/>
        <v>0.88984216916228243</v>
      </c>
      <c r="H16" s="163">
        <f t="shared" si="1"/>
        <v>0.31506333752193411</v>
      </c>
    </row>
    <row r="17" spans="1:8">
      <c r="A17" s="684">
        <v>900</v>
      </c>
      <c r="B17" s="684">
        <v>999</v>
      </c>
      <c r="C17">
        <v>123101</v>
      </c>
      <c r="D17">
        <v>129</v>
      </c>
      <c r="E17">
        <f t="shared" si="3"/>
        <v>11123</v>
      </c>
      <c r="F17">
        <f t="shared" si="2"/>
        <v>1613194</v>
      </c>
      <c r="G17" s="163">
        <f t="shared" si="0"/>
        <v>0.90028328611898012</v>
      </c>
      <c r="H17" s="163">
        <f t="shared" si="1"/>
        <v>0.34109165381647921</v>
      </c>
    </row>
    <row r="18" spans="1:8">
      <c r="A18" s="684">
        <v>1000</v>
      </c>
      <c r="B18" s="684">
        <v>1999</v>
      </c>
      <c r="C18">
        <v>949553</v>
      </c>
      <c r="D18">
        <v>675</v>
      </c>
      <c r="E18">
        <f t="shared" si="3"/>
        <v>11798</v>
      </c>
      <c r="F18">
        <f t="shared" si="2"/>
        <v>2562747</v>
      </c>
      <c r="G18" s="163">
        <f t="shared" si="0"/>
        <v>0.95491703763658442</v>
      </c>
      <c r="H18" s="163">
        <f t="shared" si="1"/>
        <v>0.54186391255064226</v>
      </c>
    </row>
    <row r="19" spans="1:8">
      <c r="A19" s="684">
        <v>2000</v>
      </c>
      <c r="B19" s="684">
        <v>2999</v>
      </c>
      <c r="C19">
        <v>609563</v>
      </c>
      <c r="D19">
        <v>250</v>
      </c>
      <c r="E19">
        <f t="shared" si="3"/>
        <v>12048</v>
      </c>
      <c r="F19">
        <f t="shared" si="2"/>
        <v>3172310</v>
      </c>
      <c r="G19" s="163">
        <f t="shared" si="0"/>
        <v>0.97515176042088225</v>
      </c>
      <c r="H19" s="163">
        <f t="shared" si="1"/>
        <v>0.67074912522520869</v>
      </c>
    </row>
    <row r="20" spans="1:8">
      <c r="A20" s="684">
        <v>3000</v>
      </c>
      <c r="B20" s="684">
        <v>3999</v>
      </c>
      <c r="C20">
        <v>464063</v>
      </c>
      <c r="D20">
        <v>135</v>
      </c>
      <c r="E20">
        <f t="shared" si="3"/>
        <v>12183</v>
      </c>
      <c r="F20">
        <f t="shared" si="2"/>
        <v>3636373</v>
      </c>
      <c r="G20" s="163">
        <f t="shared" si="0"/>
        <v>0.98607851072440311</v>
      </c>
      <c r="H20" s="163">
        <f t="shared" si="1"/>
        <v>0.76887000600274491</v>
      </c>
    </row>
    <row r="21" spans="1:8">
      <c r="A21" s="684">
        <v>4000</v>
      </c>
      <c r="B21" s="684">
        <v>4999</v>
      </c>
      <c r="C21">
        <v>294732</v>
      </c>
      <c r="D21">
        <v>66</v>
      </c>
      <c r="E21">
        <f t="shared" si="3"/>
        <v>12249</v>
      </c>
      <c r="F21">
        <f t="shared" si="2"/>
        <v>3931105</v>
      </c>
      <c r="G21" s="163">
        <f t="shared" si="0"/>
        <v>0.99142047753945772</v>
      </c>
      <c r="H21" s="163">
        <f t="shared" si="1"/>
        <v>0.8311877590520611</v>
      </c>
    </row>
    <row r="22" spans="1:8">
      <c r="A22" s="684">
        <v>5000</v>
      </c>
      <c r="B22" s="684">
        <v>5999</v>
      </c>
      <c r="C22">
        <v>166071</v>
      </c>
      <c r="D22">
        <v>30</v>
      </c>
      <c r="E22">
        <f t="shared" si="3"/>
        <v>12279</v>
      </c>
      <c r="F22">
        <f t="shared" si="2"/>
        <v>4097176</v>
      </c>
      <c r="G22" s="163">
        <f t="shared" si="0"/>
        <v>0.99384864427357344</v>
      </c>
      <c r="H22" s="163">
        <f t="shared" si="1"/>
        <v>0.86630159659482187</v>
      </c>
    </row>
    <row r="23" spans="1:8">
      <c r="A23" s="684">
        <v>6000</v>
      </c>
      <c r="B23" s="684">
        <v>7999</v>
      </c>
      <c r="C23">
        <v>282774</v>
      </c>
      <c r="D23">
        <v>41</v>
      </c>
      <c r="E23">
        <f t="shared" si="3"/>
        <v>12320</v>
      </c>
      <c r="F23">
        <f t="shared" si="2"/>
        <v>4379950</v>
      </c>
      <c r="G23" s="163">
        <f t="shared" si="0"/>
        <v>0.99716713881019825</v>
      </c>
      <c r="H23" s="163">
        <f t="shared" si="1"/>
        <v>0.92609096558348736</v>
      </c>
    </row>
    <row r="24" spans="1:8">
      <c r="A24" s="684">
        <v>8000</v>
      </c>
      <c r="B24" s="684">
        <v>9999</v>
      </c>
      <c r="C24">
        <v>193525</v>
      </c>
      <c r="D24">
        <v>22</v>
      </c>
      <c r="E24">
        <f t="shared" si="3"/>
        <v>12342</v>
      </c>
      <c r="F24">
        <f t="shared" si="2"/>
        <v>4573475</v>
      </c>
      <c r="G24" s="163">
        <f t="shared" si="0"/>
        <v>0.99894779441521653</v>
      </c>
      <c r="H24" s="163">
        <f t="shared" si="1"/>
        <v>0.96700964139360945</v>
      </c>
    </row>
    <row r="25" spans="1:8">
      <c r="A25" s="684">
        <v>10000</v>
      </c>
      <c r="B25" s="684">
        <v>11999</v>
      </c>
      <c r="C25">
        <v>97919</v>
      </c>
      <c r="D25">
        <v>9</v>
      </c>
      <c r="E25">
        <f t="shared" si="3"/>
        <v>12351</v>
      </c>
      <c r="F25">
        <f t="shared" si="2"/>
        <v>4671394</v>
      </c>
      <c r="G25" s="163">
        <f t="shared" si="0"/>
        <v>0.99967624443545122</v>
      </c>
      <c r="H25" s="163">
        <f t="shared" si="1"/>
        <v>0.98771350816354275</v>
      </c>
    </row>
    <row r="26" spans="1:8">
      <c r="A26" s="684">
        <v>12000</v>
      </c>
      <c r="B26" s="684">
        <v>64202300</v>
      </c>
      <c r="C26">
        <v>58109</v>
      </c>
      <c r="D26">
        <v>4</v>
      </c>
      <c r="E26">
        <f t="shared" si="3"/>
        <v>12355</v>
      </c>
      <c r="F26">
        <f t="shared" si="2"/>
        <v>4729503</v>
      </c>
      <c r="G26" s="163">
        <f t="shared" si="0"/>
        <v>1</v>
      </c>
      <c r="H26" s="163">
        <f t="shared" si="1"/>
        <v>1</v>
      </c>
    </row>
    <row r="28" spans="1:8">
      <c r="A28" s="685"/>
      <c r="B28" s="685"/>
      <c r="C28" s="693" t="s">
        <v>912</v>
      </c>
      <c r="D28" s="694">
        <f>MAX(E6:E27)/12</f>
        <v>1029.5833333333333</v>
      </c>
    </row>
    <row r="29" spans="1:8">
      <c r="A29" s="685"/>
      <c r="B29" s="685"/>
      <c r="C29" s="693" t="s">
        <v>913</v>
      </c>
      <c r="D29" s="694">
        <f>MAX(F6:F27)/D28/12</f>
        <v>382.80072845002024</v>
      </c>
    </row>
    <row r="30" spans="1:8">
      <c r="A30" s="689"/>
      <c r="B30" s="689"/>
      <c r="C30" s="695" t="s">
        <v>914</v>
      </c>
      <c r="D30" s="696">
        <f>VLOOKUP(B3,[17]!Percentiles_All_Bills,9,0)</f>
        <v>61</v>
      </c>
    </row>
  </sheetData>
  <conditionalFormatting sqref="M2:M3">
    <cfRule type="cellIs" dxfId="92" priority="1" operator="equal">
      <formula>0</formula>
    </cfRule>
    <cfRule type="cellIs" dxfId="91" priority="2" operator="lessThan">
      <formula>0</formula>
    </cfRule>
    <cfRule type="cellIs" dxfId="90" priority="3" operator="greaterThan">
      <formula>0</formula>
    </cfRule>
  </conditionalFormatting>
  <pageMargins left="0.7" right="0.7" top="0.75" bottom="0.75" header="0.3" footer="0.3"/>
  <pageSetup scale="49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EC707-B97F-4721-A438-9C0030834D9C}">
  <sheetPr codeName="Sheet58">
    <tabColor theme="9" tint="0.79998168889431442"/>
  </sheetPr>
  <dimension ref="A1:M20"/>
  <sheetViews>
    <sheetView zoomScale="80" zoomScaleNormal="80" workbookViewId="0"/>
  </sheetViews>
  <sheetFormatPr defaultRowHeight="15"/>
  <cols>
    <col min="1" max="1" width="25" customWidth="1"/>
    <col min="2" max="2" width="9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Large Volume Public Authority Service</v>
      </c>
      <c r="J1" s="682" t="s">
        <v>538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538</v>
      </c>
      <c r="J2" s="682" t="s">
        <v>900</v>
      </c>
      <c r="K2" s="683">
        <f>'GPLVS Billed'!E16</f>
        <v>83</v>
      </c>
      <c r="L2" s="683">
        <f>VLOOKUP($J1,Summary!$B:$P,2,0)</f>
        <v>83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5766</v>
      </c>
      <c r="J3" s="682" t="s">
        <v>902</v>
      </c>
      <c r="K3" s="683">
        <f>'GPLVS Billed'!F16</f>
        <v>1036504</v>
      </c>
      <c r="L3" s="683">
        <f>VLOOKUP($J1,Summary!$B:$P,3,0)</f>
        <v>1036504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599</v>
      </c>
      <c r="C7" s="697">
        <v>1110.7508258075013</v>
      </c>
      <c r="D7">
        <f>6+5</f>
        <v>11</v>
      </c>
      <c r="E7">
        <f>D7</f>
        <v>11</v>
      </c>
      <c r="F7" s="697">
        <f>C7</f>
        <v>1110.7508258075013</v>
      </c>
      <c r="G7" s="163">
        <f t="shared" ref="G7:G16" si="0">E7/MAX($E$7:$E$16)</f>
        <v>0.13253012048192772</v>
      </c>
      <c r="H7" s="163">
        <f t="shared" ref="H7:H16" si="1">F7/MAX($F$7:$F$16)</f>
        <v>1.071631972290991E-3</v>
      </c>
    </row>
    <row r="8" spans="1:13">
      <c r="A8">
        <v>600</v>
      </c>
      <c r="B8">
        <v>799</v>
      </c>
      <c r="C8" s="697">
        <v>779.45312830526427</v>
      </c>
      <c r="D8">
        <v>1</v>
      </c>
      <c r="E8">
        <f>E7+D8</f>
        <v>12</v>
      </c>
      <c r="F8" s="697">
        <f>F7+C8</f>
        <v>1890.2039541127656</v>
      </c>
      <c r="G8" s="163">
        <f t="shared" si="0"/>
        <v>0.14457831325301204</v>
      </c>
      <c r="H8" s="163">
        <f t="shared" si="1"/>
        <v>1.8236340179225219E-3</v>
      </c>
    </row>
    <row r="9" spans="1:13">
      <c r="A9">
        <v>800</v>
      </c>
      <c r="B9">
        <v>999</v>
      </c>
      <c r="C9" s="697">
        <v>1030.0346595069559</v>
      </c>
      <c r="D9">
        <v>1</v>
      </c>
      <c r="E9">
        <f>E8+D9</f>
        <v>13</v>
      </c>
      <c r="F9" s="697">
        <f t="shared" ref="F9:F16" si="2">F8+C9</f>
        <v>2920.2386136197215</v>
      </c>
      <c r="G9" s="163">
        <f t="shared" si="0"/>
        <v>0.15662650602409639</v>
      </c>
      <c r="H9" s="163">
        <f t="shared" si="1"/>
        <v>2.8173925171728442E-3</v>
      </c>
    </row>
    <row r="10" spans="1:13">
      <c r="A10">
        <v>1000</v>
      </c>
      <c r="B10">
        <v>5999</v>
      </c>
      <c r="C10" s="697">
        <v>75143.136669107509</v>
      </c>
      <c r="D10">
        <v>21</v>
      </c>
      <c r="E10">
        <f t="shared" ref="E10:E16" si="3">E9+D10</f>
        <v>34</v>
      </c>
      <c r="F10" s="697">
        <f t="shared" si="2"/>
        <v>78063.375282727226</v>
      </c>
      <c r="G10" s="163">
        <f t="shared" si="0"/>
        <v>0.40963855421686746</v>
      </c>
      <c r="H10" s="163">
        <f t="shared" si="1"/>
        <v>7.5314109046108094E-2</v>
      </c>
    </row>
    <row r="11" spans="1:13">
      <c r="A11">
        <v>6000</v>
      </c>
      <c r="B11">
        <v>7999</v>
      </c>
      <c r="C11" s="697">
        <v>52764.27838255628</v>
      </c>
      <c r="D11">
        <v>6</v>
      </c>
      <c r="E11">
        <f t="shared" si="3"/>
        <v>40</v>
      </c>
      <c r="F11" s="697">
        <f t="shared" si="2"/>
        <v>130827.65366528351</v>
      </c>
      <c r="G11" s="163">
        <f t="shared" si="0"/>
        <v>0.48192771084337349</v>
      </c>
      <c r="H11" s="163">
        <f t="shared" si="1"/>
        <v>0.12622011460185731</v>
      </c>
    </row>
    <row r="12" spans="1:13">
      <c r="A12">
        <v>8000</v>
      </c>
      <c r="B12">
        <v>9999</v>
      </c>
      <c r="C12" s="697">
        <v>76365.926352615803</v>
      </c>
      <c r="D12">
        <v>7</v>
      </c>
      <c r="E12">
        <f t="shared" si="3"/>
        <v>47</v>
      </c>
      <c r="F12" s="697">
        <f t="shared" si="2"/>
        <v>207193.58001789931</v>
      </c>
      <c r="G12" s="163">
        <f t="shared" si="0"/>
        <v>0.5662650602409639</v>
      </c>
      <c r="H12" s="163">
        <f t="shared" si="1"/>
        <v>0.19989655613282661</v>
      </c>
    </row>
    <row r="13" spans="1:13">
      <c r="A13">
        <v>10000</v>
      </c>
      <c r="B13">
        <v>12999</v>
      </c>
      <c r="C13" s="697">
        <v>134862.25726141073</v>
      </c>
      <c r="D13">
        <v>10</v>
      </c>
      <c r="E13">
        <f t="shared" si="3"/>
        <v>57</v>
      </c>
      <c r="F13" s="697">
        <f t="shared" si="2"/>
        <v>342055.83727931004</v>
      </c>
      <c r="G13" s="163">
        <f t="shared" si="0"/>
        <v>0.68674698795180722</v>
      </c>
      <c r="H13" s="163">
        <f t="shared" si="1"/>
        <v>0.33000918209607494</v>
      </c>
    </row>
    <row r="14" spans="1:13">
      <c r="A14">
        <v>13000</v>
      </c>
      <c r="B14">
        <v>23999</v>
      </c>
      <c r="C14" s="697">
        <v>452483.98581075593</v>
      </c>
      <c r="D14">
        <v>20</v>
      </c>
      <c r="E14">
        <f t="shared" si="3"/>
        <v>77</v>
      </c>
      <c r="F14" s="697">
        <f t="shared" si="2"/>
        <v>794539.82309006597</v>
      </c>
      <c r="G14" s="163">
        <f t="shared" si="0"/>
        <v>0.92771084337349397</v>
      </c>
      <c r="H14" s="163">
        <f t="shared" si="1"/>
        <v>0.7665574113462813</v>
      </c>
    </row>
    <row r="15" spans="1:13">
      <c r="A15">
        <v>24000</v>
      </c>
      <c r="B15">
        <v>26999</v>
      </c>
      <c r="C15" s="697">
        <v>31240.770515010692</v>
      </c>
      <c r="D15">
        <v>1</v>
      </c>
      <c r="E15">
        <f t="shared" si="3"/>
        <v>78</v>
      </c>
      <c r="F15" s="697">
        <f t="shared" si="2"/>
        <v>825780.59360507666</v>
      </c>
      <c r="G15" s="163">
        <f t="shared" si="0"/>
        <v>0.93975903614457834</v>
      </c>
      <c r="H15" s="163">
        <f t="shared" si="1"/>
        <v>0.79669793228494701</v>
      </c>
    </row>
    <row r="16" spans="1:13">
      <c r="A16">
        <v>30000</v>
      </c>
      <c r="B16">
        <v>39999</v>
      </c>
      <c r="C16" s="697">
        <v>210723.40639492334</v>
      </c>
      <c r="D16">
        <v>5</v>
      </c>
      <c r="E16">
        <f t="shared" si="3"/>
        <v>83</v>
      </c>
      <c r="F16" s="697">
        <f t="shared" si="2"/>
        <v>1036504</v>
      </c>
      <c r="G16" s="163">
        <f t="shared" si="0"/>
        <v>1</v>
      </c>
      <c r="H16" s="163">
        <f t="shared" si="1"/>
        <v>1</v>
      </c>
    </row>
    <row r="18" spans="1:4">
      <c r="A18" s="685"/>
      <c r="B18" s="685"/>
      <c r="C18" s="693" t="s">
        <v>912</v>
      </c>
      <c r="D18" s="694">
        <f>MAX(E6:E16)/12</f>
        <v>6.916666666666667</v>
      </c>
    </row>
    <row r="19" spans="1:4">
      <c r="A19" s="685"/>
      <c r="B19" s="685"/>
      <c r="C19" s="693" t="s">
        <v>913</v>
      </c>
      <c r="D19" s="694">
        <f>MAX(F6:F16)/D18/12</f>
        <v>12488</v>
      </c>
    </row>
    <row r="20" spans="1:4">
      <c r="A20" s="689"/>
      <c r="B20" s="689"/>
      <c r="C20" s="695" t="s">
        <v>914</v>
      </c>
      <c r="D20" s="696">
        <f>VLOOKUP(B3,[17]!Percentiles_All_Bills,9,0)</f>
        <v>9612</v>
      </c>
    </row>
  </sheetData>
  <conditionalFormatting sqref="M2:M3">
    <cfRule type="cellIs" dxfId="89" priority="1" operator="equal">
      <formula>0</formula>
    </cfRule>
    <cfRule type="cellIs" dxfId="88" priority="2" operator="lessThan">
      <formula>0</formula>
    </cfRule>
    <cfRule type="cellIs" dxfId="87" priority="3" operator="greaterThan">
      <formula>0</formula>
    </cfRule>
  </conditionalFormatting>
  <pageMargins left="0.7" right="0.7" top="0.75" bottom="0.75" header="0.3" footer="0.3"/>
  <pageSetup scale="50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E035F-A67C-4401-90F3-6F633F63A3FB}">
  <sheetPr codeName="Sheet59">
    <tabColor theme="9" tint="0.79998168889431442"/>
  </sheetPr>
  <dimension ref="A1:P48"/>
  <sheetViews>
    <sheetView zoomScaleNormal="100" zoomScaleSheetLayoutView="98" workbookViewId="0"/>
  </sheetViews>
  <sheetFormatPr defaultColWidth="9.140625" defaultRowHeight="9"/>
  <cols>
    <col min="1" max="4" width="12.28515625" style="714" customWidth="1"/>
    <col min="5" max="5" width="18.42578125" style="714" bestFit="1" customWidth="1"/>
    <col min="6" max="6" width="22" style="714" bestFit="1" customWidth="1"/>
    <col min="7" max="7" width="19.85546875" style="714" bestFit="1" customWidth="1"/>
    <col min="8" max="8" width="23.28515625" style="714" bestFit="1" customWidth="1"/>
    <col min="9" max="9" width="9.28515625" style="714" bestFit="1" customWidth="1"/>
    <col min="10" max="10" width="8" style="714" bestFit="1" customWidth="1"/>
    <col min="11" max="11" width="11.28515625" style="714" bestFit="1" customWidth="1"/>
    <col min="12" max="12" width="9.140625" style="714"/>
    <col min="13" max="14" width="9.28515625" style="714" bestFit="1" customWidth="1"/>
    <col min="15" max="15" width="10.42578125" style="714" bestFit="1" customWidth="1"/>
    <col min="16" max="16" width="7.140625" style="714" bestFit="1" customWidth="1"/>
    <col min="17" max="16384" width="9.140625" style="714"/>
  </cols>
  <sheetData>
    <row r="1" spans="1:16" s="700" customFormat="1" ht="15">
      <c r="A1" s="681" t="str">
        <f>VLOOKUP(B2,'Rate Codes'!$A$1:$C$20,3,0)</f>
        <v>Transportation LV Large Commercial</v>
      </c>
      <c r="B1"/>
      <c r="C1"/>
      <c r="D1"/>
      <c r="E1"/>
      <c r="F1"/>
      <c r="G1"/>
      <c r="H1"/>
      <c r="I1"/>
      <c r="J1" s="682" t="str">
        <f>B2</f>
        <v>GTGLVS</v>
      </c>
      <c r="K1" s="683"/>
      <c r="L1" s="683" t="s">
        <v>898</v>
      </c>
      <c r="M1" s="683" t="s">
        <v>48</v>
      </c>
      <c r="N1"/>
      <c r="O1"/>
      <c r="P1"/>
    </row>
    <row r="2" spans="1:16" s="700" customFormat="1" ht="15">
      <c r="A2" t="s">
        <v>899</v>
      </c>
      <c r="B2" t="s">
        <v>542</v>
      </c>
      <c r="C2"/>
      <c r="D2"/>
      <c r="E2"/>
      <c r="F2"/>
      <c r="G2"/>
      <c r="H2"/>
      <c r="I2"/>
      <c r="J2" s="682" t="s">
        <v>900</v>
      </c>
      <c r="K2" s="683">
        <f>E14</f>
        <v>36</v>
      </c>
      <c r="L2" s="683">
        <f>VLOOKUP($J1,Summary!$B:$P,2,0)</f>
        <v>96</v>
      </c>
      <c r="M2" s="683">
        <f>K2-L2</f>
        <v>-60</v>
      </c>
      <c r="N2"/>
      <c r="O2"/>
      <c r="P2"/>
    </row>
    <row r="3" spans="1:16" s="700" customFormat="1" ht="15">
      <c r="A3" t="s">
        <v>901</v>
      </c>
      <c r="B3" s="142" t="str">
        <f>VLOOKUP(B2,'Rate Codes'!$A$1:$C$20,2,0)</f>
        <v>5756</v>
      </c>
      <c r="C3"/>
      <c r="D3" s="701"/>
      <c r="E3" s="701"/>
      <c r="F3" s="701"/>
      <c r="G3" s="701"/>
      <c r="H3" s="701"/>
      <c r="I3" s="701"/>
      <c r="J3" s="682" t="s">
        <v>902</v>
      </c>
      <c r="K3" s="683">
        <f>F14</f>
        <v>1545731</v>
      </c>
      <c r="L3" s="683">
        <f>VLOOKUP($J1,Summary!$B:$P,3,0)</f>
        <v>1545731</v>
      </c>
      <c r="M3" s="683">
        <f>K3-L3</f>
        <v>0</v>
      </c>
      <c r="N3" s="702"/>
      <c r="O3" s="703"/>
      <c r="P3" s="702"/>
    </row>
    <row r="4" spans="1:16" s="700" customFormat="1" ht="15">
      <c r="A4"/>
      <c r="B4"/>
      <c r="C4"/>
      <c r="D4" s="701"/>
      <c r="E4" s="701"/>
      <c r="F4" s="701"/>
      <c r="G4" s="701"/>
      <c r="H4" s="701"/>
      <c r="I4" s="701"/>
      <c r="J4" s="701"/>
      <c r="K4" s="701"/>
      <c r="M4" s="704"/>
      <c r="N4" s="702"/>
      <c r="O4" s="703"/>
      <c r="P4" s="702"/>
    </row>
    <row r="5" spans="1:16" s="700" customFormat="1" ht="15">
      <c r="A5" t="s">
        <v>903</v>
      </c>
      <c r="B5"/>
      <c r="C5"/>
      <c r="D5" s="701"/>
      <c r="E5" s="701"/>
      <c r="F5" s="701"/>
      <c r="G5" s="701"/>
      <c r="H5" s="701"/>
      <c r="I5" s="701"/>
      <c r="J5" s="701"/>
      <c r="K5" s="701"/>
      <c r="M5" s="704"/>
      <c r="N5" s="702"/>
      <c r="O5" s="703"/>
      <c r="P5" s="702"/>
    </row>
    <row r="6" spans="1:16" s="700" customFormat="1" ht="15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1"/>
      <c r="J6" s="707"/>
      <c r="K6" s="707"/>
    </row>
    <row r="7" spans="1:16" s="700" customFormat="1" ht="11.1" customHeight="1">
      <c r="A7" s="708">
        <v>0</v>
      </c>
      <c r="B7" s="708">
        <v>999</v>
      </c>
      <c r="C7" s="709">
        <v>0</v>
      </c>
      <c r="D7" s="709">
        <v>0</v>
      </c>
      <c r="E7" s="710">
        <f>D7</f>
        <v>0</v>
      </c>
      <c r="F7" s="710">
        <f>C7</f>
        <v>0</v>
      </c>
      <c r="G7" s="711">
        <f>E7/MAX($E$7:$E$14)</f>
        <v>0</v>
      </c>
      <c r="H7" s="712">
        <f>F7/MAX($F$7:$F$14)</f>
        <v>0</v>
      </c>
      <c r="I7" s="709"/>
      <c r="J7" s="713"/>
    </row>
    <row r="8" spans="1:16" s="700" customFormat="1" ht="11.1" customHeight="1">
      <c r="A8" s="708">
        <f t="shared" ref="A8:A14" si="0">B7+1</f>
        <v>1000</v>
      </c>
      <c r="B8" s="708">
        <v>9999</v>
      </c>
      <c r="C8" s="709">
        <v>0</v>
      </c>
      <c r="D8" s="709">
        <v>0</v>
      </c>
      <c r="E8" s="707">
        <f t="shared" ref="E8:E14" si="1">E7+D8</f>
        <v>0</v>
      </c>
      <c r="F8" s="707">
        <f t="shared" ref="F8:F14" si="2">F7+C8</f>
        <v>0</v>
      </c>
      <c r="G8" s="711">
        <f t="shared" ref="G8:G14" si="3">E8/MAX($E$7:$E$14)</f>
        <v>0</v>
      </c>
      <c r="H8" s="712">
        <f t="shared" ref="H8:H14" si="4">F8/MAX($F$7:$F$14)</f>
        <v>0</v>
      </c>
      <c r="I8" s="709"/>
      <c r="J8" s="713"/>
    </row>
    <row r="9" spans="1:16" s="700" customFormat="1" ht="11.1" customHeight="1">
      <c r="A9" s="708">
        <f t="shared" si="0"/>
        <v>10000</v>
      </c>
      <c r="B9" s="708">
        <v>49999</v>
      </c>
      <c r="C9" s="709">
        <v>912631</v>
      </c>
      <c r="D9" s="709">
        <v>28</v>
      </c>
      <c r="E9" s="707">
        <f t="shared" si="1"/>
        <v>28</v>
      </c>
      <c r="F9" s="707">
        <f t="shared" si="2"/>
        <v>912631</v>
      </c>
      <c r="G9" s="711">
        <f t="shared" si="3"/>
        <v>0.77777777777777779</v>
      </c>
      <c r="H9" s="712">
        <f t="shared" si="4"/>
        <v>0.59042032539943889</v>
      </c>
      <c r="I9" s="709"/>
      <c r="J9" s="713"/>
    </row>
    <row r="10" spans="1:16" s="700" customFormat="1" ht="11.1" customHeight="1">
      <c r="A10" s="708">
        <f t="shared" si="0"/>
        <v>50000</v>
      </c>
      <c r="B10" s="708">
        <v>99999</v>
      </c>
      <c r="C10" s="709">
        <v>633100</v>
      </c>
      <c r="D10" s="709">
        <v>8</v>
      </c>
      <c r="E10" s="707">
        <f t="shared" si="1"/>
        <v>36</v>
      </c>
      <c r="F10" s="707">
        <f t="shared" si="2"/>
        <v>1545731</v>
      </c>
      <c r="G10" s="711">
        <f t="shared" si="3"/>
        <v>1</v>
      </c>
      <c r="H10" s="712">
        <f t="shared" si="4"/>
        <v>1</v>
      </c>
      <c r="I10" s="709"/>
      <c r="J10" s="713"/>
    </row>
    <row r="11" spans="1:16" s="700" customFormat="1" ht="11.1" customHeight="1">
      <c r="A11" s="708">
        <f t="shared" si="0"/>
        <v>100000</v>
      </c>
      <c r="B11" s="708">
        <v>199999</v>
      </c>
      <c r="C11" s="709">
        <v>0</v>
      </c>
      <c r="D11" s="709">
        <v>0</v>
      </c>
      <c r="E11" s="707">
        <f t="shared" si="1"/>
        <v>36</v>
      </c>
      <c r="F11" s="707">
        <f t="shared" si="2"/>
        <v>1545731</v>
      </c>
      <c r="G11" s="711">
        <f t="shared" si="3"/>
        <v>1</v>
      </c>
      <c r="H11" s="712">
        <f t="shared" si="4"/>
        <v>1</v>
      </c>
      <c r="I11" s="709"/>
      <c r="J11" s="713"/>
    </row>
    <row r="12" spans="1:16" s="700" customFormat="1" ht="11.1" customHeight="1">
      <c r="A12" s="708">
        <f t="shared" si="0"/>
        <v>200000</v>
      </c>
      <c r="B12" s="708">
        <v>499999</v>
      </c>
      <c r="C12" s="709">
        <v>0</v>
      </c>
      <c r="D12" s="709">
        <v>0</v>
      </c>
      <c r="E12" s="707">
        <f t="shared" si="1"/>
        <v>36</v>
      </c>
      <c r="F12" s="707">
        <f t="shared" si="2"/>
        <v>1545731</v>
      </c>
      <c r="G12" s="711">
        <f t="shared" si="3"/>
        <v>1</v>
      </c>
      <c r="H12" s="712">
        <f t="shared" si="4"/>
        <v>1</v>
      </c>
      <c r="I12" s="709"/>
      <c r="J12" s="713"/>
    </row>
    <row r="13" spans="1:16" s="700" customFormat="1" ht="11.1" customHeight="1">
      <c r="A13" s="708">
        <f t="shared" si="0"/>
        <v>500000</v>
      </c>
      <c r="B13" s="700">
        <v>999999</v>
      </c>
      <c r="C13" s="709">
        <v>0</v>
      </c>
      <c r="D13" s="709">
        <v>0</v>
      </c>
      <c r="E13" s="707">
        <f t="shared" si="1"/>
        <v>36</v>
      </c>
      <c r="F13" s="707">
        <f t="shared" si="2"/>
        <v>1545731</v>
      </c>
      <c r="G13" s="711">
        <f t="shared" si="3"/>
        <v>1</v>
      </c>
      <c r="H13" s="712">
        <f t="shared" si="4"/>
        <v>1</v>
      </c>
      <c r="I13" s="709"/>
      <c r="J13" s="713"/>
    </row>
    <row r="14" spans="1:16" s="700" customFormat="1" ht="11.1" customHeight="1">
      <c r="A14" s="708">
        <f t="shared" si="0"/>
        <v>1000000</v>
      </c>
      <c r="B14" s="700">
        <v>1999999</v>
      </c>
      <c r="C14" s="709">
        <v>0</v>
      </c>
      <c r="D14" s="709">
        <v>0</v>
      </c>
      <c r="E14" s="707">
        <f t="shared" si="1"/>
        <v>36</v>
      </c>
      <c r="F14" s="707">
        <f t="shared" si="2"/>
        <v>1545731</v>
      </c>
      <c r="G14" s="711">
        <f t="shared" si="3"/>
        <v>1</v>
      </c>
      <c r="H14" s="712">
        <f t="shared" si="4"/>
        <v>1</v>
      </c>
      <c r="I14" s="709"/>
      <c r="J14" s="713"/>
    </row>
    <row r="15" spans="1:16" ht="11.25">
      <c r="E15" s="707"/>
      <c r="F15" s="707"/>
      <c r="G15" s="715"/>
      <c r="H15" s="701"/>
      <c r="I15" s="708"/>
      <c r="J15" s="716"/>
    </row>
    <row r="16" spans="1:16" ht="11.25">
      <c r="B16" s="700"/>
      <c r="C16" s="701"/>
      <c r="D16" s="717" t="s">
        <v>912</v>
      </c>
      <c r="E16" s="718">
        <f>+E14/12</f>
        <v>3</v>
      </c>
      <c r="F16" s="707"/>
      <c r="G16" s="707"/>
      <c r="H16" s="715"/>
      <c r="I16" s="701"/>
    </row>
    <row r="17" spans="2:9" ht="11.25">
      <c r="B17" s="700"/>
      <c r="C17" s="701"/>
      <c r="D17" s="717" t="s">
        <v>913</v>
      </c>
      <c r="E17" s="718">
        <f>F14/E14</f>
        <v>42936.972222222219</v>
      </c>
      <c r="F17" s="707"/>
      <c r="G17" s="707"/>
      <c r="H17" s="715"/>
      <c r="I17" s="701"/>
    </row>
    <row r="18" spans="2:9" ht="11.25">
      <c r="B18" s="700"/>
      <c r="C18" s="701"/>
      <c r="D18" s="719" t="s">
        <v>914</v>
      </c>
      <c r="E18" s="708">
        <v>36131.5</v>
      </c>
      <c r="F18" s="707"/>
      <c r="G18" s="707"/>
      <c r="H18" s="715"/>
      <c r="I18" s="701"/>
    </row>
    <row r="19" spans="2:9" ht="11.25">
      <c r="F19" s="707"/>
      <c r="G19" s="707"/>
      <c r="H19" s="715"/>
      <c r="I19" s="701"/>
    </row>
    <row r="20" spans="2:9" ht="11.25">
      <c r="F20" s="707"/>
      <c r="G20" s="707"/>
      <c r="H20" s="715"/>
      <c r="I20" s="701"/>
    </row>
    <row r="21" spans="2:9" ht="11.25">
      <c r="F21" s="707"/>
      <c r="G21" s="707"/>
      <c r="H21" s="715"/>
      <c r="I21" s="701"/>
    </row>
    <row r="22" spans="2:9" ht="11.25">
      <c r="F22" s="707"/>
      <c r="G22" s="707"/>
      <c r="H22" s="715"/>
      <c r="I22" s="701"/>
    </row>
    <row r="23" spans="2:9" ht="11.25">
      <c r="F23" s="707"/>
      <c r="G23" s="707"/>
      <c r="H23" s="715"/>
      <c r="I23" s="701"/>
    </row>
    <row r="24" spans="2:9" ht="11.25">
      <c r="F24" s="707"/>
      <c r="G24" s="707"/>
      <c r="H24" s="715"/>
      <c r="I24" s="701"/>
    </row>
    <row r="25" spans="2:9" ht="11.25">
      <c r="F25" s="707"/>
      <c r="G25" s="707"/>
      <c r="H25" s="715"/>
      <c r="I25" s="701"/>
    </row>
    <row r="26" spans="2:9" ht="11.25">
      <c r="F26" s="707"/>
      <c r="G26" s="707"/>
      <c r="H26" s="715"/>
      <c r="I26" s="701"/>
    </row>
    <row r="27" spans="2:9" ht="11.25">
      <c r="F27" s="707"/>
      <c r="G27" s="707"/>
      <c r="H27" s="715"/>
      <c r="I27" s="701"/>
    </row>
    <row r="28" spans="2:9" ht="11.25">
      <c r="F28" s="707"/>
      <c r="G28" s="707"/>
      <c r="H28" s="715"/>
      <c r="I28" s="701"/>
    </row>
    <row r="29" spans="2:9" ht="11.25">
      <c r="F29" s="707"/>
      <c r="G29" s="707"/>
      <c r="H29" s="715"/>
      <c r="I29" s="701"/>
    </row>
    <row r="30" spans="2:9" ht="11.25">
      <c r="F30" s="707"/>
      <c r="G30" s="707"/>
      <c r="H30" s="715"/>
      <c r="I30" s="701"/>
    </row>
    <row r="31" spans="2:9" ht="11.25">
      <c r="F31" s="707"/>
      <c r="G31" s="707"/>
      <c r="H31" s="715"/>
      <c r="I31" s="701"/>
    </row>
    <row r="32" spans="2:9" ht="11.25">
      <c r="F32" s="707"/>
      <c r="G32" s="707"/>
      <c r="H32" s="715"/>
      <c r="I32" s="701"/>
    </row>
    <row r="33" spans="6:9" ht="11.25">
      <c r="F33" s="707"/>
      <c r="G33" s="707"/>
      <c r="H33" s="715"/>
      <c r="I33" s="701"/>
    </row>
    <row r="34" spans="6:9" ht="11.25">
      <c r="F34" s="707"/>
      <c r="G34" s="707"/>
      <c r="H34" s="715"/>
      <c r="I34" s="701"/>
    </row>
    <row r="35" spans="6:9" ht="11.25">
      <c r="F35" s="707"/>
      <c r="G35" s="707"/>
      <c r="H35" s="715"/>
      <c r="I35" s="701"/>
    </row>
    <row r="36" spans="6:9" ht="11.25">
      <c r="F36" s="707"/>
      <c r="G36" s="707"/>
      <c r="H36" s="715"/>
      <c r="I36" s="701"/>
    </row>
    <row r="37" spans="6:9" ht="11.25">
      <c r="F37" s="707"/>
      <c r="G37" s="707"/>
      <c r="H37" s="715"/>
      <c r="I37" s="701"/>
    </row>
    <row r="38" spans="6:9" ht="11.25">
      <c r="F38" s="707"/>
      <c r="G38" s="707"/>
      <c r="H38" s="715"/>
      <c r="I38" s="701"/>
    </row>
    <row r="39" spans="6:9" ht="11.25">
      <c r="F39" s="707"/>
      <c r="G39" s="707"/>
      <c r="H39" s="715"/>
      <c r="I39" s="701"/>
    </row>
    <row r="40" spans="6:9" ht="11.25">
      <c r="F40" s="707"/>
      <c r="G40" s="707"/>
      <c r="H40" s="715"/>
      <c r="I40" s="701"/>
    </row>
    <row r="41" spans="6:9" ht="11.25">
      <c r="F41" s="707"/>
      <c r="G41" s="707"/>
      <c r="H41" s="715"/>
      <c r="I41" s="701"/>
    </row>
    <row r="42" spans="6:9" ht="11.25">
      <c r="F42" s="707"/>
      <c r="G42" s="707"/>
      <c r="H42" s="715"/>
      <c r="I42" s="701"/>
    </row>
    <row r="43" spans="6:9" ht="11.25">
      <c r="F43" s="707"/>
      <c r="G43" s="707"/>
      <c r="H43" s="715"/>
      <c r="I43" s="701"/>
    </row>
    <row r="44" spans="6:9" ht="11.25">
      <c r="F44" s="707"/>
      <c r="G44" s="707"/>
      <c r="H44" s="715"/>
      <c r="I44" s="701"/>
    </row>
    <row r="45" spans="6:9" ht="11.25">
      <c r="F45" s="707"/>
      <c r="G45" s="707"/>
      <c r="H45" s="715"/>
      <c r="I45" s="701"/>
    </row>
    <row r="46" spans="6:9" ht="11.25">
      <c r="F46" s="707"/>
      <c r="G46" s="707"/>
      <c r="H46" s="715"/>
      <c r="I46" s="701"/>
    </row>
    <row r="47" spans="6:9" ht="11.25">
      <c r="F47" s="707"/>
      <c r="G47" s="707"/>
      <c r="H47" s="715"/>
      <c r="I47" s="701"/>
    </row>
    <row r="48" spans="6:9" ht="11.25">
      <c r="F48" s="707"/>
      <c r="G48" s="707"/>
      <c r="H48" s="715"/>
      <c r="I48" s="701"/>
    </row>
  </sheetData>
  <conditionalFormatting sqref="M2:M3">
    <cfRule type="cellIs" dxfId="86" priority="1" operator="equal">
      <formula>0</formula>
    </cfRule>
    <cfRule type="cellIs" dxfId="85" priority="2" operator="lessThan">
      <formula>0</formula>
    </cfRule>
    <cfRule type="cellIs" dxfId="84" priority="3" operator="greaterThan">
      <formula>0</formula>
    </cfRule>
  </conditionalFormatting>
  <conditionalFormatting sqref="P3:P5">
    <cfRule type="cellIs" dxfId="83" priority="4" operator="notEqual">
      <formula>0</formula>
    </cfRule>
  </conditionalFormatting>
  <pageMargins left="0.7" right="0.7" top="0.75" bottom="0.75" header="0.3" footer="0.3"/>
  <pageSetup scale="58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  <legacy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4042F-9182-4405-B03A-A9D499998D47}">
  <sheetPr codeName="Sheet60">
    <tabColor theme="9" tint="0.79998168889431442"/>
  </sheetPr>
  <dimension ref="A1:P48"/>
  <sheetViews>
    <sheetView zoomScaleNormal="100" zoomScaleSheetLayoutView="100" workbookViewId="0"/>
  </sheetViews>
  <sheetFormatPr defaultColWidth="9.140625" defaultRowHeight="9"/>
  <cols>
    <col min="1" max="4" width="12.28515625" style="714" customWidth="1"/>
    <col min="5" max="5" width="18.42578125" style="714" bestFit="1" customWidth="1"/>
    <col min="6" max="6" width="22" style="714" bestFit="1" customWidth="1"/>
    <col min="7" max="7" width="19.85546875" style="714" bestFit="1" customWidth="1"/>
    <col min="8" max="8" width="23.28515625" style="714" bestFit="1" customWidth="1"/>
    <col min="9" max="9" width="9.28515625" style="714" bestFit="1" customWidth="1"/>
    <col min="10" max="10" width="9.7109375" style="714" customWidth="1"/>
    <col min="11" max="11" width="11.28515625" style="714" bestFit="1" customWidth="1"/>
    <col min="12" max="12" width="9.140625" style="714"/>
    <col min="13" max="14" width="9.28515625" style="714" bestFit="1" customWidth="1"/>
    <col min="15" max="15" width="10.42578125" style="714" bestFit="1" customWidth="1"/>
    <col min="16" max="16" width="7.140625" style="714" bestFit="1" customWidth="1"/>
    <col min="17" max="16384" width="9.140625" style="714"/>
  </cols>
  <sheetData>
    <row r="1" spans="1:16" s="700" customFormat="1" ht="15">
      <c r="A1" s="681" t="str">
        <f>VLOOKUP(B2,'Rate Codes'!$A$1:$C$20,3,0)</f>
        <v>Transportation LV Industrial</v>
      </c>
      <c r="B1"/>
      <c r="C1"/>
      <c r="D1"/>
      <c r="E1"/>
      <c r="F1"/>
      <c r="G1"/>
      <c r="H1"/>
      <c r="I1"/>
      <c r="J1" s="682" t="str">
        <f>B2</f>
        <v>GTILVS</v>
      </c>
      <c r="K1" s="683"/>
      <c r="L1" s="683" t="s">
        <v>898</v>
      </c>
      <c r="M1" s="683" t="s">
        <v>48</v>
      </c>
      <c r="N1"/>
      <c r="O1"/>
      <c r="P1"/>
    </row>
    <row r="2" spans="1:16" s="700" customFormat="1" ht="15">
      <c r="A2" t="s">
        <v>899</v>
      </c>
      <c r="B2" t="s">
        <v>543</v>
      </c>
      <c r="C2"/>
      <c r="D2"/>
      <c r="E2"/>
      <c r="F2"/>
      <c r="G2"/>
      <c r="H2"/>
      <c r="I2"/>
      <c r="J2" s="682" t="s">
        <v>900</v>
      </c>
      <c r="K2" s="683">
        <f>E14</f>
        <v>66</v>
      </c>
      <c r="L2" s="683">
        <f>VLOOKUP($J1,Summary!$B:$P,2,0)</f>
        <v>96</v>
      </c>
      <c r="M2" s="683">
        <f>K2-L2</f>
        <v>-30</v>
      </c>
      <c r="N2"/>
      <c r="O2"/>
      <c r="P2"/>
    </row>
    <row r="3" spans="1:16" s="700" customFormat="1" ht="15">
      <c r="A3" t="s">
        <v>901</v>
      </c>
      <c r="B3" s="142" t="str">
        <f>VLOOKUP(B2,'Rate Codes'!$A$1:$C$20,2,0)</f>
        <v>5756</v>
      </c>
      <c r="C3"/>
      <c r="D3" s="701"/>
      <c r="E3" s="701"/>
      <c r="F3" s="701"/>
      <c r="G3" s="701"/>
      <c r="H3" s="701"/>
      <c r="I3" s="701"/>
      <c r="J3" s="682" t="s">
        <v>902</v>
      </c>
      <c r="K3" s="683">
        <f>F14</f>
        <v>14114075</v>
      </c>
      <c r="L3" s="683">
        <f>VLOOKUP($J1,Summary!$B:$P,3,0)</f>
        <v>14114075</v>
      </c>
      <c r="M3" s="683">
        <f>K3-L3</f>
        <v>0</v>
      </c>
      <c r="N3" s="702"/>
      <c r="O3" s="703"/>
      <c r="P3" s="702"/>
    </row>
    <row r="4" spans="1:16" s="700" customFormat="1" ht="15">
      <c r="A4"/>
      <c r="B4"/>
      <c r="C4"/>
      <c r="D4" s="701"/>
      <c r="E4" s="701"/>
      <c r="F4" s="701"/>
      <c r="G4" s="701"/>
      <c r="H4" s="701"/>
      <c r="I4" s="701"/>
      <c r="J4" s="701"/>
      <c r="K4" s="701"/>
      <c r="M4" s="704"/>
      <c r="N4" s="702"/>
      <c r="O4" s="703"/>
      <c r="P4" s="702"/>
    </row>
    <row r="5" spans="1:16" s="700" customFormat="1" ht="15">
      <c r="A5" t="s">
        <v>903</v>
      </c>
      <c r="B5"/>
      <c r="C5"/>
      <c r="D5" s="701"/>
      <c r="E5" s="701"/>
      <c r="F5" s="701"/>
      <c r="G5" s="701"/>
      <c r="H5" s="701"/>
      <c r="I5" s="701"/>
      <c r="J5" s="701"/>
      <c r="K5" s="701"/>
      <c r="M5" s="704"/>
      <c r="N5" s="702"/>
      <c r="O5" s="703"/>
      <c r="P5" s="702"/>
    </row>
    <row r="6" spans="1:16" s="700" customFormat="1" ht="15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1"/>
      <c r="J6" s="707"/>
      <c r="K6" s="707"/>
    </row>
    <row r="7" spans="1:16" s="700" customFormat="1" ht="11.1" customHeight="1">
      <c r="A7" s="708">
        <v>0</v>
      </c>
      <c r="B7" s="708">
        <v>999</v>
      </c>
      <c r="C7" s="709">
        <v>2181</v>
      </c>
      <c r="D7" s="709">
        <v>7</v>
      </c>
      <c r="E7" s="710">
        <f>D7</f>
        <v>7</v>
      </c>
      <c r="F7" s="710">
        <f>C7</f>
        <v>2181</v>
      </c>
      <c r="G7" s="711">
        <f>E7/MAX($E$7:$E$14)</f>
        <v>0.10606060606060606</v>
      </c>
      <c r="H7" s="712">
        <f>F7/MAX($F$7:$F$14)</f>
        <v>1.5452659844871167E-4</v>
      </c>
      <c r="I7" s="709"/>
      <c r="J7" s="713"/>
    </row>
    <row r="8" spans="1:16" s="700" customFormat="1" ht="11.1" customHeight="1">
      <c r="A8" s="708">
        <f t="shared" ref="A8:A14" si="0">B7+1</f>
        <v>1000</v>
      </c>
      <c r="B8" s="708">
        <v>9999</v>
      </c>
      <c r="C8" s="709">
        <v>35838</v>
      </c>
      <c r="D8" s="709">
        <v>8</v>
      </c>
      <c r="E8" s="707">
        <f t="shared" ref="E8:E14" si="1">E7+D8</f>
        <v>15</v>
      </c>
      <c r="F8" s="707">
        <f t="shared" ref="F8:F14" si="2">F7+C8</f>
        <v>38019</v>
      </c>
      <c r="G8" s="711">
        <f t="shared" ref="G8:G14" si="3">E8/MAX($E$7:$E$14)</f>
        <v>0.22727272727272727</v>
      </c>
      <c r="H8" s="712">
        <f t="shared" ref="H8:H14" si="4">F8/MAX($F$7:$F$14)</f>
        <v>2.6936940607159873E-3</v>
      </c>
      <c r="I8" s="709"/>
      <c r="J8" s="713"/>
    </row>
    <row r="9" spans="1:16" s="700" customFormat="1" ht="11.1" customHeight="1">
      <c r="A9" s="708">
        <f t="shared" si="0"/>
        <v>10000</v>
      </c>
      <c r="B9" s="708">
        <v>49999</v>
      </c>
      <c r="C9" s="709">
        <v>296985</v>
      </c>
      <c r="D9" s="709">
        <v>12</v>
      </c>
      <c r="E9" s="707">
        <f t="shared" si="1"/>
        <v>27</v>
      </c>
      <c r="F9" s="707">
        <f t="shared" si="2"/>
        <v>335004</v>
      </c>
      <c r="G9" s="711">
        <f t="shared" si="3"/>
        <v>0.40909090909090912</v>
      </c>
      <c r="H9" s="712">
        <f t="shared" si="4"/>
        <v>2.3735455564746537E-2</v>
      </c>
      <c r="I9" s="709"/>
      <c r="J9" s="713"/>
    </row>
    <row r="10" spans="1:16" s="700" customFormat="1" ht="11.1" customHeight="1">
      <c r="A10" s="708">
        <f t="shared" si="0"/>
        <v>50000</v>
      </c>
      <c r="B10" s="708">
        <v>99999</v>
      </c>
      <c r="C10" s="709">
        <v>902705</v>
      </c>
      <c r="D10" s="709">
        <v>11</v>
      </c>
      <c r="E10" s="707">
        <f t="shared" si="1"/>
        <v>38</v>
      </c>
      <c r="F10" s="707">
        <f t="shared" si="2"/>
        <v>1237709</v>
      </c>
      <c r="G10" s="711">
        <f t="shared" si="3"/>
        <v>0.5757575757575758</v>
      </c>
      <c r="H10" s="712">
        <f t="shared" si="4"/>
        <v>8.7693242383932349E-2</v>
      </c>
      <c r="I10" s="709"/>
      <c r="J10" s="713"/>
    </row>
    <row r="11" spans="1:16" s="700" customFormat="1" ht="11.1" customHeight="1">
      <c r="A11" s="708">
        <f t="shared" si="0"/>
        <v>100000</v>
      </c>
      <c r="B11" s="708">
        <v>199999</v>
      </c>
      <c r="C11" s="709">
        <v>325281</v>
      </c>
      <c r="D11" s="709">
        <v>3</v>
      </c>
      <c r="E11" s="707">
        <f t="shared" si="1"/>
        <v>41</v>
      </c>
      <c r="F11" s="707">
        <f t="shared" si="2"/>
        <v>1562990</v>
      </c>
      <c r="G11" s="711">
        <f t="shared" si="3"/>
        <v>0.62121212121212122</v>
      </c>
      <c r="H11" s="712">
        <f t="shared" si="4"/>
        <v>0.110739811145966</v>
      </c>
      <c r="I11" s="709"/>
      <c r="J11" s="713"/>
    </row>
    <row r="12" spans="1:16" s="700" customFormat="1" ht="11.1" customHeight="1">
      <c r="A12" s="708">
        <f t="shared" si="0"/>
        <v>200000</v>
      </c>
      <c r="B12" s="708">
        <v>499999</v>
      </c>
      <c r="C12" s="709">
        <v>3931756</v>
      </c>
      <c r="D12" s="709">
        <v>14</v>
      </c>
      <c r="E12" s="707">
        <f t="shared" si="1"/>
        <v>55</v>
      </c>
      <c r="F12" s="707">
        <f t="shared" si="2"/>
        <v>5494746</v>
      </c>
      <c r="G12" s="711">
        <f t="shared" si="3"/>
        <v>0.83333333333333337</v>
      </c>
      <c r="H12" s="712">
        <f t="shared" si="4"/>
        <v>0.3893096784592685</v>
      </c>
      <c r="I12" s="709"/>
      <c r="J12" s="713"/>
    </row>
    <row r="13" spans="1:16" s="700" customFormat="1" ht="11.1" customHeight="1">
      <c r="A13" s="708">
        <f t="shared" si="0"/>
        <v>500000</v>
      </c>
      <c r="B13" s="700">
        <v>999999</v>
      </c>
      <c r="C13" s="709">
        <v>8619329</v>
      </c>
      <c r="D13" s="709">
        <v>11</v>
      </c>
      <c r="E13" s="707">
        <f t="shared" si="1"/>
        <v>66</v>
      </c>
      <c r="F13" s="707">
        <f t="shared" si="2"/>
        <v>14114075</v>
      </c>
      <c r="G13" s="711">
        <f t="shared" si="3"/>
        <v>1</v>
      </c>
      <c r="H13" s="712">
        <f t="shared" si="4"/>
        <v>1</v>
      </c>
      <c r="I13" s="709"/>
      <c r="J13" s="713"/>
    </row>
    <row r="14" spans="1:16" s="700" customFormat="1" ht="11.1" customHeight="1">
      <c r="A14" s="708">
        <f t="shared" si="0"/>
        <v>1000000</v>
      </c>
      <c r="B14" s="700">
        <v>1999999</v>
      </c>
      <c r="C14" s="709">
        <v>0</v>
      </c>
      <c r="D14" s="709">
        <v>0</v>
      </c>
      <c r="E14" s="707">
        <f t="shared" si="1"/>
        <v>66</v>
      </c>
      <c r="F14" s="707">
        <f t="shared" si="2"/>
        <v>14114075</v>
      </c>
      <c r="G14" s="711">
        <f t="shared" si="3"/>
        <v>1</v>
      </c>
      <c r="H14" s="712">
        <f t="shared" si="4"/>
        <v>1</v>
      </c>
      <c r="I14" s="709"/>
      <c r="J14" s="713"/>
    </row>
    <row r="15" spans="1:16" ht="11.25">
      <c r="E15" s="707"/>
      <c r="F15" s="707"/>
      <c r="G15" s="715"/>
      <c r="H15" s="701"/>
      <c r="I15" s="708"/>
      <c r="J15" s="716"/>
    </row>
    <row r="16" spans="1:16" ht="11.25">
      <c r="B16" s="700"/>
      <c r="C16" s="701"/>
      <c r="D16" s="717" t="s">
        <v>912</v>
      </c>
      <c r="E16" s="718">
        <f>+E14/12</f>
        <v>5.5</v>
      </c>
      <c r="F16" s="707"/>
      <c r="G16" s="707"/>
      <c r="H16" s="715"/>
      <c r="I16" s="701"/>
    </row>
    <row r="17" spans="2:9" ht="11.25">
      <c r="B17" s="700"/>
      <c r="C17" s="701"/>
      <c r="D17" s="717" t="s">
        <v>913</v>
      </c>
      <c r="E17" s="718">
        <f>F14/E14</f>
        <v>213849.62121212122</v>
      </c>
      <c r="F17" s="707"/>
      <c r="G17" s="707"/>
      <c r="H17" s="715"/>
      <c r="I17" s="701"/>
    </row>
    <row r="18" spans="2:9" ht="11.25">
      <c r="B18" s="700"/>
      <c r="C18" s="701"/>
      <c r="D18" s="719" t="s">
        <v>914</v>
      </c>
      <c r="E18" s="708">
        <v>74617.5</v>
      </c>
      <c r="F18" s="707"/>
      <c r="G18" s="707"/>
      <c r="H18" s="715"/>
      <c r="I18" s="701"/>
    </row>
    <row r="19" spans="2:9" ht="11.25">
      <c r="F19" s="707"/>
      <c r="G19" s="707"/>
      <c r="H19" s="715"/>
      <c r="I19" s="701"/>
    </row>
    <row r="20" spans="2:9" ht="11.25">
      <c r="F20" s="707"/>
      <c r="G20" s="707"/>
      <c r="H20" s="715"/>
      <c r="I20" s="701"/>
    </row>
    <row r="21" spans="2:9" ht="11.25">
      <c r="F21" s="707"/>
      <c r="G21" s="707"/>
      <c r="H21" s="715"/>
      <c r="I21" s="701"/>
    </row>
    <row r="22" spans="2:9" ht="11.25">
      <c r="F22" s="707"/>
      <c r="G22" s="707"/>
      <c r="H22" s="715"/>
      <c r="I22" s="701"/>
    </row>
    <row r="23" spans="2:9" ht="11.25">
      <c r="F23" s="707"/>
      <c r="G23" s="707"/>
      <c r="H23" s="715"/>
      <c r="I23" s="701"/>
    </row>
    <row r="24" spans="2:9" ht="11.25">
      <c r="F24" s="707"/>
      <c r="G24" s="707"/>
      <c r="H24" s="715"/>
      <c r="I24" s="701"/>
    </row>
    <row r="25" spans="2:9" ht="11.25">
      <c r="F25" s="707"/>
      <c r="G25" s="707"/>
      <c r="H25" s="715"/>
      <c r="I25" s="701"/>
    </row>
    <row r="26" spans="2:9" ht="11.25">
      <c r="F26" s="707"/>
      <c r="G26" s="707"/>
      <c r="H26" s="715"/>
      <c r="I26" s="701"/>
    </row>
    <row r="27" spans="2:9" ht="11.25">
      <c r="F27" s="707"/>
      <c r="G27" s="707"/>
      <c r="H27" s="715"/>
      <c r="I27" s="701"/>
    </row>
    <row r="28" spans="2:9" ht="11.25">
      <c r="F28" s="707"/>
      <c r="G28" s="707"/>
      <c r="H28" s="715"/>
      <c r="I28" s="701"/>
    </row>
    <row r="29" spans="2:9" ht="11.25">
      <c r="F29" s="707"/>
      <c r="G29" s="707"/>
      <c r="H29" s="715"/>
      <c r="I29" s="701"/>
    </row>
    <row r="30" spans="2:9" ht="11.25">
      <c r="F30" s="707"/>
      <c r="G30" s="707"/>
      <c r="H30" s="715"/>
      <c r="I30" s="701"/>
    </row>
    <row r="31" spans="2:9" ht="11.25">
      <c r="F31" s="707"/>
      <c r="G31" s="707"/>
      <c r="H31" s="715"/>
      <c r="I31" s="701"/>
    </row>
    <row r="32" spans="2:9" ht="11.25">
      <c r="F32" s="707"/>
      <c r="G32" s="707"/>
      <c r="H32" s="715"/>
      <c r="I32" s="701"/>
    </row>
    <row r="33" spans="6:9" ht="11.25">
      <c r="F33" s="707"/>
      <c r="G33" s="707"/>
      <c r="H33" s="715"/>
      <c r="I33" s="701"/>
    </row>
    <row r="34" spans="6:9" ht="11.25">
      <c r="F34" s="707"/>
      <c r="G34" s="707"/>
      <c r="H34" s="715"/>
      <c r="I34" s="701"/>
    </row>
    <row r="35" spans="6:9" ht="11.25">
      <c r="F35" s="707"/>
      <c r="G35" s="707"/>
      <c r="H35" s="715"/>
      <c r="I35" s="701"/>
    </row>
    <row r="36" spans="6:9" ht="11.25">
      <c r="F36" s="707"/>
      <c r="G36" s="707"/>
      <c r="H36" s="715"/>
      <c r="I36" s="701"/>
    </row>
    <row r="37" spans="6:9" ht="11.25">
      <c r="F37" s="707"/>
      <c r="G37" s="707"/>
      <c r="H37" s="715"/>
      <c r="I37" s="701"/>
    </row>
    <row r="38" spans="6:9" ht="11.25">
      <c r="F38" s="707"/>
      <c r="G38" s="707"/>
      <c r="H38" s="715"/>
      <c r="I38" s="701"/>
    </row>
    <row r="39" spans="6:9" ht="11.25">
      <c r="F39" s="707"/>
      <c r="G39" s="707"/>
      <c r="H39" s="715"/>
      <c r="I39" s="701"/>
    </row>
    <row r="40" spans="6:9" ht="11.25">
      <c r="F40" s="707"/>
      <c r="G40" s="707"/>
      <c r="H40" s="715"/>
      <c r="I40" s="701"/>
    </row>
    <row r="41" spans="6:9" ht="11.25">
      <c r="F41" s="707"/>
      <c r="G41" s="707"/>
      <c r="H41" s="715"/>
      <c r="I41" s="701"/>
    </row>
    <row r="42" spans="6:9" ht="11.25">
      <c r="F42" s="707"/>
      <c r="G42" s="707"/>
      <c r="H42" s="715"/>
      <c r="I42" s="701"/>
    </row>
    <row r="43" spans="6:9" ht="11.25">
      <c r="F43" s="707"/>
      <c r="G43" s="707"/>
      <c r="H43" s="715"/>
      <c r="I43" s="701"/>
    </row>
    <row r="44" spans="6:9" ht="11.25">
      <c r="F44" s="707"/>
      <c r="G44" s="707"/>
      <c r="H44" s="715"/>
      <c r="I44" s="701"/>
    </row>
    <row r="45" spans="6:9" ht="11.25">
      <c r="F45" s="707"/>
      <c r="G45" s="707"/>
      <c r="H45" s="715"/>
      <c r="I45" s="701"/>
    </row>
    <row r="46" spans="6:9" ht="11.25">
      <c r="F46" s="707"/>
      <c r="G46" s="707"/>
      <c r="H46" s="715"/>
      <c r="I46" s="701"/>
    </row>
    <row r="47" spans="6:9" ht="11.25">
      <c r="F47" s="707"/>
      <c r="G47" s="707"/>
      <c r="H47" s="715"/>
      <c r="I47" s="701"/>
    </row>
    <row r="48" spans="6:9" ht="11.25">
      <c r="F48" s="707"/>
      <c r="G48" s="707"/>
      <c r="H48" s="715"/>
      <c r="I48" s="701"/>
    </row>
  </sheetData>
  <conditionalFormatting sqref="M2:M3">
    <cfRule type="cellIs" dxfId="82" priority="1" operator="equal">
      <formula>0</formula>
    </cfRule>
    <cfRule type="cellIs" dxfId="81" priority="2" operator="lessThan">
      <formula>0</formula>
    </cfRule>
    <cfRule type="cellIs" dxfId="80" priority="3" operator="greaterThan">
      <formula>0</formula>
    </cfRule>
  </conditionalFormatting>
  <conditionalFormatting sqref="P3:P5">
    <cfRule type="cellIs" dxfId="79" priority="4" operator="notEqual">
      <formula>0</formula>
    </cfRule>
  </conditionalFormatting>
  <pageMargins left="0.7" right="0.7" top="0.75" bottom="0.75" header="0.3" footer="0.3"/>
  <pageSetup scale="58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  <legacy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C06E1-BB39-45AD-8453-35F598CA5751}">
  <sheetPr codeName="Sheet61">
    <tabColor theme="9" tint="0.79998168889431442"/>
  </sheetPr>
  <dimension ref="A1:P48"/>
  <sheetViews>
    <sheetView zoomScaleNormal="100" zoomScaleSheetLayoutView="98" workbookViewId="0"/>
  </sheetViews>
  <sheetFormatPr defaultColWidth="9.140625" defaultRowHeight="9"/>
  <cols>
    <col min="1" max="4" width="12.28515625" style="714" customWidth="1"/>
    <col min="5" max="5" width="18.42578125" style="714" bestFit="1" customWidth="1"/>
    <col min="6" max="6" width="22" style="714" bestFit="1" customWidth="1"/>
    <col min="7" max="7" width="19.85546875" style="714" bestFit="1" customWidth="1"/>
    <col min="8" max="8" width="23.28515625" style="714" bestFit="1" customWidth="1"/>
    <col min="9" max="9" width="9.28515625" style="714" bestFit="1" customWidth="1"/>
    <col min="10" max="10" width="8" style="714" bestFit="1" customWidth="1"/>
    <col min="11" max="11" width="11.28515625" style="714" bestFit="1" customWidth="1"/>
    <col min="12" max="12" width="9.140625" style="714"/>
    <col min="13" max="14" width="9.28515625" style="714" bestFit="1" customWidth="1"/>
    <col min="15" max="15" width="10.42578125" style="714" bestFit="1" customWidth="1"/>
    <col min="16" max="16" width="7.140625" style="714" bestFit="1" customWidth="1"/>
    <col min="17" max="16384" width="9.140625" style="714"/>
  </cols>
  <sheetData>
    <row r="1" spans="1:16" s="700" customFormat="1" ht="15">
      <c r="A1" s="681" t="str">
        <f>VLOOKUP(B2,'Rate Codes'!$A$1:$C$20,3,0)</f>
        <v>Transportation LV Public Authority</v>
      </c>
      <c r="B1"/>
      <c r="C1"/>
      <c r="D1"/>
      <c r="E1"/>
      <c r="F1"/>
      <c r="G1"/>
      <c r="H1"/>
      <c r="I1"/>
      <c r="J1" s="682" t="str">
        <f>B2</f>
        <v>GTPLVS</v>
      </c>
      <c r="K1" s="683"/>
      <c r="L1" s="683" t="s">
        <v>898</v>
      </c>
      <c r="M1" s="683" t="s">
        <v>48</v>
      </c>
      <c r="N1"/>
      <c r="O1"/>
      <c r="P1"/>
    </row>
    <row r="2" spans="1:16" s="700" customFormat="1" ht="15">
      <c r="A2" t="s">
        <v>899</v>
      </c>
      <c r="B2" t="s">
        <v>544</v>
      </c>
      <c r="C2"/>
      <c r="D2"/>
      <c r="E2"/>
      <c r="F2"/>
      <c r="G2"/>
      <c r="H2"/>
      <c r="I2"/>
      <c r="J2" s="682" t="s">
        <v>900</v>
      </c>
      <c r="K2" s="683">
        <f>E14</f>
        <v>48</v>
      </c>
      <c r="L2" s="683">
        <f>VLOOKUP($J1,Summary!$B:$P,2,0)</f>
        <v>84</v>
      </c>
      <c r="M2" s="683">
        <f>K2-L2</f>
        <v>-36</v>
      </c>
      <c r="N2"/>
      <c r="O2"/>
      <c r="P2"/>
    </row>
    <row r="3" spans="1:16" s="700" customFormat="1" ht="15">
      <c r="A3" t="s">
        <v>901</v>
      </c>
      <c r="B3" s="142" t="str">
        <f>VLOOKUP(B2,'Rate Codes'!$A$1:$C$20,2,0)</f>
        <v>5756</v>
      </c>
      <c r="C3"/>
      <c r="D3" s="701"/>
      <c r="E3" s="701"/>
      <c r="F3" s="701"/>
      <c r="G3" s="701"/>
      <c r="H3" s="701"/>
      <c r="I3" s="701"/>
      <c r="J3" s="682" t="s">
        <v>902</v>
      </c>
      <c r="K3" s="683">
        <f>F14</f>
        <v>4904946</v>
      </c>
      <c r="L3" s="683">
        <f>VLOOKUP($J1,Summary!$B:$P,3,0)</f>
        <v>4904946</v>
      </c>
      <c r="M3" s="683">
        <f>K3-L3</f>
        <v>0</v>
      </c>
      <c r="N3" s="702"/>
      <c r="O3" s="703"/>
      <c r="P3" s="702"/>
    </row>
    <row r="4" spans="1:16" s="700" customFormat="1" ht="15">
      <c r="A4"/>
      <c r="B4"/>
      <c r="C4"/>
      <c r="D4" s="701"/>
      <c r="E4" s="701"/>
      <c r="F4" s="701"/>
      <c r="G4" s="701"/>
      <c r="H4" s="701"/>
      <c r="I4" s="701"/>
      <c r="J4" s="701"/>
      <c r="K4" s="701"/>
      <c r="M4" s="704"/>
      <c r="N4" s="702"/>
      <c r="O4" s="703"/>
      <c r="P4" s="702"/>
    </row>
    <row r="5" spans="1:16" s="700" customFormat="1" ht="15">
      <c r="A5" t="s">
        <v>903</v>
      </c>
      <c r="B5"/>
      <c r="C5"/>
      <c r="D5" s="701"/>
      <c r="E5" s="701"/>
      <c r="F5" s="701"/>
      <c r="G5" s="701"/>
      <c r="H5" s="701"/>
      <c r="I5" s="701"/>
      <c r="J5" s="701"/>
      <c r="K5" s="701"/>
      <c r="M5" s="704"/>
      <c r="N5" s="702"/>
      <c r="O5" s="703"/>
      <c r="P5" s="702"/>
    </row>
    <row r="6" spans="1:16" s="700" customFormat="1" ht="15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1"/>
      <c r="J6" s="707"/>
      <c r="K6" s="707"/>
    </row>
    <row r="7" spans="1:16" s="700" customFormat="1" ht="11.1" customHeight="1">
      <c r="A7" s="708">
        <v>0</v>
      </c>
      <c r="B7" s="708">
        <v>999</v>
      </c>
      <c r="C7" s="709">
        <v>0</v>
      </c>
      <c r="D7" s="709">
        <v>0</v>
      </c>
      <c r="E7" s="710">
        <f>D7</f>
        <v>0</v>
      </c>
      <c r="F7" s="710">
        <f>C7</f>
        <v>0</v>
      </c>
      <c r="G7" s="711">
        <f>E7/MAX($E$7:$E$14)</f>
        <v>0</v>
      </c>
      <c r="H7" s="712">
        <f>F7/MAX($F$7:$F$14)</f>
        <v>0</v>
      </c>
      <c r="I7" s="709"/>
      <c r="J7" s="713"/>
    </row>
    <row r="8" spans="1:16" s="700" customFormat="1" ht="11.1" customHeight="1">
      <c r="A8" s="708">
        <f t="shared" ref="A8:A14" si="0">B7+1</f>
        <v>1000</v>
      </c>
      <c r="B8" s="708">
        <v>9999</v>
      </c>
      <c r="C8" s="709">
        <v>0</v>
      </c>
      <c r="D8" s="709">
        <v>0</v>
      </c>
      <c r="E8" s="707">
        <f t="shared" ref="E8:E14" si="1">E7+D8</f>
        <v>0</v>
      </c>
      <c r="F8" s="707">
        <f t="shared" ref="F8:F14" si="2">F7+C8</f>
        <v>0</v>
      </c>
      <c r="G8" s="711">
        <f t="shared" ref="G8:G14" si="3">E8/MAX($E$7:$E$14)</f>
        <v>0</v>
      </c>
      <c r="H8" s="712">
        <f t="shared" ref="H8:H14" si="4">F8/MAX($F$7:$F$14)</f>
        <v>0</v>
      </c>
      <c r="I8" s="709"/>
      <c r="J8" s="713"/>
    </row>
    <row r="9" spans="1:16" s="700" customFormat="1" ht="11.1" customHeight="1">
      <c r="A9" s="708">
        <f t="shared" si="0"/>
        <v>10000</v>
      </c>
      <c r="B9" s="708">
        <v>49999</v>
      </c>
      <c r="C9" s="709">
        <v>778704</v>
      </c>
      <c r="D9" s="709">
        <v>24</v>
      </c>
      <c r="E9" s="707">
        <f t="shared" si="1"/>
        <v>24</v>
      </c>
      <c r="F9" s="707">
        <f t="shared" si="2"/>
        <v>778704</v>
      </c>
      <c r="G9" s="711">
        <f t="shared" si="3"/>
        <v>0.5</v>
      </c>
      <c r="H9" s="712">
        <f t="shared" si="4"/>
        <v>0.15875893434912433</v>
      </c>
      <c r="I9" s="709"/>
      <c r="J9" s="713"/>
    </row>
    <row r="10" spans="1:16" s="700" customFormat="1" ht="11.1" customHeight="1">
      <c r="A10" s="708">
        <f t="shared" si="0"/>
        <v>50000</v>
      </c>
      <c r="B10" s="708">
        <v>99999</v>
      </c>
      <c r="C10" s="709">
        <v>905999</v>
      </c>
      <c r="D10" s="709">
        <v>13</v>
      </c>
      <c r="E10" s="707">
        <f t="shared" si="1"/>
        <v>37</v>
      </c>
      <c r="F10" s="707">
        <f t="shared" si="2"/>
        <v>1684703</v>
      </c>
      <c r="G10" s="711">
        <f t="shared" si="3"/>
        <v>0.77083333333333337</v>
      </c>
      <c r="H10" s="712">
        <f t="shared" si="4"/>
        <v>0.34347024411685673</v>
      </c>
      <c r="I10" s="709"/>
      <c r="J10" s="713"/>
    </row>
    <row r="11" spans="1:16" s="700" customFormat="1" ht="11.1" customHeight="1">
      <c r="A11" s="708">
        <f t="shared" si="0"/>
        <v>100000</v>
      </c>
      <c r="B11" s="708">
        <v>199999</v>
      </c>
      <c r="C11" s="709">
        <v>536040</v>
      </c>
      <c r="D11" s="709">
        <v>4</v>
      </c>
      <c r="E11" s="707">
        <f t="shared" si="1"/>
        <v>41</v>
      </c>
      <c r="F11" s="707">
        <f t="shared" si="2"/>
        <v>2220743</v>
      </c>
      <c r="G11" s="711">
        <f t="shared" si="3"/>
        <v>0.85416666666666663</v>
      </c>
      <c r="H11" s="712">
        <f t="shared" si="4"/>
        <v>0.45275585093087672</v>
      </c>
      <c r="I11" s="709"/>
      <c r="J11" s="713"/>
    </row>
    <row r="12" spans="1:16" s="700" customFormat="1" ht="11.1" customHeight="1">
      <c r="A12" s="708">
        <f t="shared" si="0"/>
        <v>200000</v>
      </c>
      <c r="B12" s="708">
        <v>499999</v>
      </c>
      <c r="C12" s="709">
        <v>2684203</v>
      </c>
      <c r="D12" s="709">
        <v>7</v>
      </c>
      <c r="E12" s="707">
        <f t="shared" si="1"/>
        <v>48</v>
      </c>
      <c r="F12" s="707">
        <f t="shared" si="2"/>
        <v>4904946</v>
      </c>
      <c r="G12" s="711">
        <f t="shared" si="3"/>
        <v>1</v>
      </c>
      <c r="H12" s="712">
        <f t="shared" si="4"/>
        <v>1</v>
      </c>
      <c r="I12" s="709"/>
      <c r="J12" s="713"/>
    </row>
    <row r="13" spans="1:16" s="700" customFormat="1" ht="11.1" customHeight="1">
      <c r="A13" s="708">
        <f t="shared" si="0"/>
        <v>500000</v>
      </c>
      <c r="B13" s="700">
        <v>999999</v>
      </c>
      <c r="C13" s="709">
        <v>0</v>
      </c>
      <c r="D13" s="709">
        <v>0</v>
      </c>
      <c r="E13" s="707">
        <f t="shared" si="1"/>
        <v>48</v>
      </c>
      <c r="F13" s="707">
        <f t="shared" si="2"/>
        <v>4904946</v>
      </c>
      <c r="G13" s="711">
        <f t="shared" si="3"/>
        <v>1</v>
      </c>
      <c r="H13" s="712">
        <f t="shared" si="4"/>
        <v>1</v>
      </c>
      <c r="I13" s="709"/>
      <c r="J13" s="713"/>
    </row>
    <row r="14" spans="1:16" s="700" customFormat="1" ht="11.1" customHeight="1">
      <c r="A14" s="708">
        <f t="shared" si="0"/>
        <v>1000000</v>
      </c>
      <c r="B14" s="700">
        <v>1999999</v>
      </c>
      <c r="C14" s="709">
        <v>0</v>
      </c>
      <c r="D14" s="709">
        <v>0</v>
      </c>
      <c r="E14" s="707">
        <f t="shared" si="1"/>
        <v>48</v>
      </c>
      <c r="F14" s="707">
        <f t="shared" si="2"/>
        <v>4904946</v>
      </c>
      <c r="G14" s="711">
        <f t="shared" si="3"/>
        <v>1</v>
      </c>
      <c r="H14" s="712">
        <f t="shared" si="4"/>
        <v>1</v>
      </c>
      <c r="I14" s="709"/>
      <c r="J14" s="713"/>
    </row>
    <row r="15" spans="1:16" ht="11.25">
      <c r="E15" s="707"/>
      <c r="F15" s="707"/>
      <c r="G15" s="715"/>
      <c r="H15" s="701"/>
      <c r="I15" s="708"/>
      <c r="J15" s="716"/>
    </row>
    <row r="16" spans="1:16" ht="11.25">
      <c r="B16" s="700"/>
      <c r="C16" s="701"/>
      <c r="D16" s="717" t="s">
        <v>912</v>
      </c>
      <c r="E16" s="718">
        <f>+E14/12</f>
        <v>4</v>
      </c>
      <c r="F16" s="707"/>
      <c r="G16" s="707"/>
      <c r="H16" s="715"/>
      <c r="I16" s="701"/>
    </row>
    <row r="17" spans="2:9" ht="11.25">
      <c r="B17" s="700"/>
      <c r="C17" s="701"/>
      <c r="D17" s="717" t="s">
        <v>913</v>
      </c>
      <c r="E17" s="718">
        <f>F14/E14</f>
        <v>102186.375</v>
      </c>
      <c r="F17" s="707"/>
      <c r="G17" s="707"/>
      <c r="H17" s="715"/>
      <c r="I17" s="701"/>
    </row>
    <row r="18" spans="2:9" ht="11.25">
      <c r="B18" s="700"/>
      <c r="C18" s="701"/>
      <c r="D18" s="719" t="s">
        <v>914</v>
      </c>
      <c r="E18" s="708">
        <v>51845.5</v>
      </c>
      <c r="F18" s="707"/>
      <c r="G18" s="707"/>
      <c r="H18" s="715"/>
      <c r="I18" s="701"/>
    </row>
    <row r="19" spans="2:9" ht="11.25">
      <c r="F19" s="707"/>
      <c r="G19" s="707"/>
      <c r="H19" s="715"/>
      <c r="I19" s="701"/>
    </row>
    <row r="20" spans="2:9" ht="11.25">
      <c r="F20" s="707"/>
      <c r="G20" s="707"/>
      <c r="H20" s="715"/>
      <c r="I20" s="701"/>
    </row>
    <row r="21" spans="2:9" ht="11.25">
      <c r="F21" s="707"/>
      <c r="G21" s="707"/>
      <c r="H21" s="715"/>
      <c r="I21" s="701"/>
    </row>
    <row r="22" spans="2:9" ht="11.25">
      <c r="F22" s="707"/>
      <c r="G22" s="707"/>
      <c r="H22" s="715"/>
      <c r="I22" s="701"/>
    </row>
    <row r="23" spans="2:9" ht="11.25">
      <c r="F23" s="707"/>
      <c r="G23" s="707"/>
      <c r="H23" s="715"/>
      <c r="I23" s="701"/>
    </row>
    <row r="24" spans="2:9" ht="11.25">
      <c r="F24" s="707"/>
      <c r="G24" s="707"/>
      <c r="H24" s="715"/>
      <c r="I24" s="701"/>
    </row>
    <row r="25" spans="2:9" ht="11.25">
      <c r="F25" s="707"/>
      <c r="G25" s="707"/>
      <c r="H25" s="715"/>
      <c r="I25" s="701"/>
    </row>
    <row r="26" spans="2:9" ht="11.25">
      <c r="F26" s="707"/>
      <c r="G26" s="707"/>
      <c r="H26" s="715"/>
      <c r="I26" s="701"/>
    </row>
    <row r="27" spans="2:9" ht="11.25">
      <c r="F27" s="707"/>
      <c r="G27" s="707"/>
      <c r="H27" s="715"/>
      <c r="I27" s="701"/>
    </row>
    <row r="28" spans="2:9" ht="11.25">
      <c r="F28" s="707"/>
      <c r="G28" s="707"/>
      <c r="H28" s="715"/>
      <c r="I28" s="701"/>
    </row>
    <row r="29" spans="2:9" ht="11.25">
      <c r="F29" s="707"/>
      <c r="G29" s="707"/>
      <c r="H29" s="715"/>
      <c r="I29" s="701"/>
    </row>
    <row r="30" spans="2:9" ht="11.25">
      <c r="F30" s="707"/>
      <c r="G30" s="707"/>
      <c r="H30" s="715"/>
      <c r="I30" s="701"/>
    </row>
    <row r="31" spans="2:9" ht="11.25">
      <c r="F31" s="707"/>
      <c r="G31" s="707"/>
      <c r="H31" s="715"/>
      <c r="I31" s="701"/>
    </row>
    <row r="32" spans="2:9" ht="11.25">
      <c r="F32" s="707"/>
      <c r="G32" s="707"/>
      <c r="H32" s="715"/>
      <c r="I32" s="701"/>
    </row>
    <row r="33" spans="6:9" ht="11.25">
      <c r="F33" s="707"/>
      <c r="G33" s="707"/>
      <c r="H33" s="715"/>
      <c r="I33" s="701"/>
    </row>
    <row r="34" spans="6:9" ht="11.25">
      <c r="F34" s="707"/>
      <c r="G34" s="707"/>
      <c r="H34" s="715"/>
      <c r="I34" s="701"/>
    </row>
    <row r="35" spans="6:9" ht="11.25">
      <c r="F35" s="707"/>
      <c r="G35" s="707"/>
      <c r="H35" s="715"/>
      <c r="I35" s="701"/>
    </row>
    <row r="36" spans="6:9" ht="11.25">
      <c r="F36" s="707"/>
      <c r="G36" s="707"/>
      <c r="H36" s="715"/>
      <c r="I36" s="701"/>
    </row>
    <row r="37" spans="6:9" ht="11.25">
      <c r="F37" s="707"/>
      <c r="G37" s="707"/>
      <c r="H37" s="715"/>
      <c r="I37" s="701"/>
    </row>
    <row r="38" spans="6:9" ht="11.25">
      <c r="F38" s="707"/>
      <c r="G38" s="707"/>
      <c r="H38" s="715"/>
      <c r="I38" s="701"/>
    </row>
    <row r="39" spans="6:9" ht="11.25">
      <c r="F39" s="707"/>
      <c r="G39" s="707"/>
      <c r="H39" s="715"/>
      <c r="I39" s="701"/>
    </row>
    <row r="40" spans="6:9" ht="11.25">
      <c r="F40" s="707"/>
      <c r="G40" s="707"/>
      <c r="H40" s="715"/>
      <c r="I40" s="701"/>
    </row>
    <row r="41" spans="6:9" ht="11.25">
      <c r="F41" s="707"/>
      <c r="G41" s="707"/>
      <c r="H41" s="715"/>
      <c r="I41" s="701"/>
    </row>
    <row r="42" spans="6:9" ht="11.25">
      <c r="F42" s="707"/>
      <c r="G42" s="707"/>
      <c r="H42" s="715"/>
      <c r="I42" s="701"/>
    </row>
    <row r="43" spans="6:9" ht="11.25">
      <c r="F43" s="707"/>
      <c r="G43" s="707"/>
      <c r="H43" s="715"/>
      <c r="I43" s="701"/>
    </row>
    <row r="44" spans="6:9" ht="11.25">
      <c r="F44" s="707"/>
      <c r="G44" s="707"/>
      <c r="H44" s="715"/>
      <c r="I44" s="701"/>
    </row>
    <row r="45" spans="6:9" ht="11.25">
      <c r="F45" s="707"/>
      <c r="G45" s="707"/>
      <c r="H45" s="715"/>
      <c r="I45" s="701"/>
    </row>
    <row r="46" spans="6:9" ht="11.25">
      <c r="F46" s="707"/>
      <c r="G46" s="707"/>
      <c r="H46" s="715"/>
      <c r="I46" s="701"/>
    </row>
    <row r="47" spans="6:9" ht="11.25">
      <c r="F47" s="707"/>
      <c r="G47" s="707"/>
      <c r="H47" s="715"/>
      <c r="I47" s="701"/>
    </row>
    <row r="48" spans="6:9" ht="11.25">
      <c r="F48" s="707"/>
      <c r="G48" s="707"/>
      <c r="H48" s="715"/>
      <c r="I48" s="701"/>
    </row>
  </sheetData>
  <conditionalFormatting sqref="M2:M3">
    <cfRule type="cellIs" dxfId="78" priority="1" operator="equal">
      <formula>0</formula>
    </cfRule>
    <cfRule type="cellIs" dxfId="77" priority="2" operator="lessThan">
      <formula>0</formula>
    </cfRule>
    <cfRule type="cellIs" dxfId="76" priority="3" operator="greaterThan">
      <formula>0</formula>
    </cfRule>
  </conditionalFormatting>
  <conditionalFormatting sqref="P3:P5">
    <cfRule type="cellIs" dxfId="75" priority="4" operator="notEqual">
      <formula>0</formula>
    </cfRule>
  </conditionalFormatting>
  <pageMargins left="0.7" right="0.7" top="0.75" bottom="0.75" header="0.3" footer="0.3"/>
  <pageSetup scale="58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  <legacy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41F51-85EF-4F61-B4BA-0E745F4EE1BB}">
  <sheetPr codeName="Sheet62">
    <tabColor theme="9" tint="0.79998168889431442"/>
  </sheetPr>
  <dimension ref="A1:P48"/>
  <sheetViews>
    <sheetView view="pageLayout" zoomScaleNormal="100" zoomScaleSheetLayoutView="96" workbookViewId="0"/>
  </sheetViews>
  <sheetFormatPr defaultColWidth="9.140625" defaultRowHeight="9"/>
  <cols>
    <col min="1" max="4" width="12.28515625" style="714" customWidth="1"/>
    <col min="5" max="5" width="15.7109375" style="714" bestFit="1" customWidth="1"/>
    <col min="6" max="6" width="18.5703125" style="714" bestFit="1" customWidth="1"/>
    <col min="7" max="7" width="17.42578125" style="714" bestFit="1" customWidth="1"/>
    <col min="8" max="8" width="19.7109375" style="714" bestFit="1" customWidth="1"/>
    <col min="9" max="9" width="9.140625" style="714"/>
    <col min="10" max="10" width="7.85546875" style="714" bestFit="1" customWidth="1"/>
    <col min="11" max="11" width="11.140625" style="714" bestFit="1" customWidth="1"/>
    <col min="12" max="12" width="9.140625" style="714"/>
    <col min="13" max="13" width="9.28515625" style="714" bestFit="1" customWidth="1"/>
    <col min="14" max="14" width="9.140625" style="714"/>
    <col min="15" max="15" width="10.28515625" style="714" bestFit="1" customWidth="1"/>
    <col min="16" max="16" width="7" style="714" bestFit="1" customWidth="1"/>
    <col min="17" max="16384" width="9.140625" style="714"/>
  </cols>
  <sheetData>
    <row r="1" spans="1:16" s="700" customFormat="1" ht="15">
      <c r="A1" s="681" t="str">
        <f>VLOOKUP(B2,'Rate Codes'!$A$1:$C$20,3,0)</f>
        <v>Transportation NSP LV General Service</v>
      </c>
      <c r="B1"/>
      <c r="C1"/>
      <c r="D1"/>
      <c r="E1"/>
      <c r="F1"/>
      <c r="G1"/>
      <c r="H1"/>
      <c r="I1"/>
      <c r="J1" s="682" t="str">
        <f>B2</f>
        <v>GTNGLVS</v>
      </c>
      <c r="K1" s="683"/>
      <c r="L1" s="683" t="s">
        <v>898</v>
      </c>
      <c r="M1" s="683" t="s">
        <v>48</v>
      </c>
      <c r="N1"/>
      <c r="O1"/>
      <c r="P1"/>
    </row>
    <row r="2" spans="1:16" s="700" customFormat="1" ht="15">
      <c r="A2" t="s">
        <v>899</v>
      </c>
      <c r="B2" t="s">
        <v>546</v>
      </c>
      <c r="C2"/>
      <c r="D2"/>
      <c r="E2"/>
      <c r="F2"/>
      <c r="G2"/>
      <c r="H2"/>
      <c r="I2"/>
      <c r="J2" s="682" t="s">
        <v>900</v>
      </c>
      <c r="K2" s="683">
        <f>E14</f>
        <v>60</v>
      </c>
      <c r="L2" s="683">
        <f>VLOOKUP($J1,Summary!$B:$P,2,0)</f>
        <v>72</v>
      </c>
      <c r="M2" s="683">
        <f>K2-L2</f>
        <v>-12</v>
      </c>
      <c r="N2"/>
      <c r="O2"/>
      <c r="P2"/>
    </row>
    <row r="3" spans="1:16" s="700" customFormat="1" ht="15">
      <c r="A3" t="s">
        <v>901</v>
      </c>
      <c r="B3" s="142" t="str">
        <f>VLOOKUP(B2,'Rate Codes'!$A$1:$C$20,2,0)</f>
        <v>5756</v>
      </c>
      <c r="C3"/>
      <c r="D3" s="701"/>
      <c r="E3" s="701"/>
      <c r="F3" s="701"/>
      <c r="G3" s="701"/>
      <c r="H3" s="701"/>
      <c r="I3" s="701"/>
      <c r="J3" s="682" t="s">
        <v>902</v>
      </c>
      <c r="K3" s="683">
        <f>F14</f>
        <v>1437848</v>
      </c>
      <c r="L3" s="683">
        <f>VLOOKUP($J1,Summary!$B:$P,3,0)</f>
        <v>1437848</v>
      </c>
      <c r="M3" s="683">
        <f>K3-L3</f>
        <v>0</v>
      </c>
      <c r="N3" s="702"/>
      <c r="O3" s="703"/>
      <c r="P3" s="702"/>
    </row>
    <row r="4" spans="1:16" s="700" customFormat="1" ht="15">
      <c r="A4"/>
      <c r="B4"/>
      <c r="C4"/>
      <c r="D4" s="701"/>
      <c r="E4" s="701"/>
      <c r="F4" s="701"/>
      <c r="G4" s="701"/>
      <c r="H4" s="701"/>
      <c r="I4" s="701"/>
      <c r="J4" s="701"/>
      <c r="K4" s="701"/>
      <c r="M4" s="704"/>
      <c r="N4" s="702"/>
      <c r="O4" s="703"/>
      <c r="P4" s="702"/>
    </row>
    <row r="5" spans="1:16" s="700" customFormat="1" ht="15">
      <c r="A5" t="s">
        <v>903</v>
      </c>
      <c r="B5"/>
      <c r="C5"/>
      <c r="D5" s="701"/>
      <c r="E5" s="701"/>
      <c r="F5" s="701"/>
      <c r="G5" s="701"/>
      <c r="H5" s="701"/>
      <c r="I5" s="701"/>
      <c r="J5" s="701"/>
      <c r="K5" s="701"/>
      <c r="M5" s="704"/>
      <c r="N5" s="702"/>
      <c r="O5" s="703"/>
      <c r="P5" s="702"/>
    </row>
    <row r="6" spans="1:16" s="700" customFormat="1" ht="15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1"/>
      <c r="J6" s="707"/>
      <c r="K6" s="707"/>
    </row>
    <row r="7" spans="1:16" s="700" customFormat="1" ht="11.1" customHeight="1">
      <c r="A7" s="708">
        <v>0</v>
      </c>
      <c r="B7" s="708">
        <v>999</v>
      </c>
      <c r="C7" s="709">
        <v>0</v>
      </c>
      <c r="D7" s="709">
        <v>0</v>
      </c>
      <c r="E7" s="710">
        <f>D7</f>
        <v>0</v>
      </c>
      <c r="F7" s="710">
        <f>C7</f>
        <v>0</v>
      </c>
      <c r="G7" s="711">
        <f>E7/MAX($E$7:$E$14)</f>
        <v>0</v>
      </c>
      <c r="H7" s="712">
        <f>F7/MAX($F$7:$F$14)</f>
        <v>0</v>
      </c>
      <c r="I7" s="709"/>
      <c r="J7" s="713"/>
    </row>
    <row r="8" spans="1:16" s="700" customFormat="1" ht="11.1" customHeight="1">
      <c r="A8" s="708">
        <f t="shared" ref="A8:A14" si="0">B7+1</f>
        <v>1000</v>
      </c>
      <c r="B8" s="708">
        <v>9999</v>
      </c>
      <c r="C8" s="709">
        <v>74681</v>
      </c>
      <c r="D8" s="709">
        <v>10</v>
      </c>
      <c r="E8" s="707">
        <f t="shared" ref="E8:E14" si="1">E7+D8</f>
        <v>10</v>
      </c>
      <c r="F8" s="707">
        <f t="shared" ref="F8:F14" si="2">F7+C8</f>
        <v>74681</v>
      </c>
      <c r="G8" s="711">
        <f t="shared" ref="G8:G14" si="3">E8/MAX($E$7:$E$14)</f>
        <v>0.16666666666666666</v>
      </c>
      <c r="H8" s="712">
        <f t="shared" ref="H8:H14" si="4">F8/MAX($F$7:$F$14)</f>
        <v>5.1939426142401698E-2</v>
      </c>
      <c r="I8" s="709"/>
      <c r="J8" s="713"/>
    </row>
    <row r="9" spans="1:16" s="700" customFormat="1" ht="11.1" customHeight="1">
      <c r="A9" s="708">
        <f t="shared" si="0"/>
        <v>10000</v>
      </c>
      <c r="B9" s="708">
        <v>49999</v>
      </c>
      <c r="C9" s="709">
        <v>1085167</v>
      </c>
      <c r="D9" s="709">
        <v>45</v>
      </c>
      <c r="E9" s="707">
        <f t="shared" si="1"/>
        <v>55</v>
      </c>
      <c r="F9" s="707">
        <f t="shared" si="2"/>
        <v>1159848</v>
      </c>
      <c r="G9" s="711">
        <f t="shared" si="3"/>
        <v>0.91666666666666663</v>
      </c>
      <c r="H9" s="712">
        <f t="shared" si="4"/>
        <v>0.80665550183329526</v>
      </c>
      <c r="I9" s="709"/>
      <c r="J9" s="713"/>
    </row>
    <row r="10" spans="1:16" s="700" customFormat="1" ht="11.1" customHeight="1">
      <c r="A10" s="708">
        <f t="shared" si="0"/>
        <v>50000</v>
      </c>
      <c r="B10" s="708">
        <v>99999</v>
      </c>
      <c r="C10" s="709">
        <v>278000</v>
      </c>
      <c r="D10" s="709">
        <v>5</v>
      </c>
      <c r="E10" s="707">
        <f t="shared" si="1"/>
        <v>60</v>
      </c>
      <c r="F10" s="707">
        <f t="shared" si="2"/>
        <v>1437848</v>
      </c>
      <c r="G10" s="711">
        <f t="shared" si="3"/>
        <v>1</v>
      </c>
      <c r="H10" s="712">
        <f t="shared" si="4"/>
        <v>1</v>
      </c>
      <c r="I10" s="709"/>
      <c r="J10" s="713"/>
    </row>
    <row r="11" spans="1:16" s="700" customFormat="1" ht="11.1" customHeight="1">
      <c r="A11" s="708">
        <f t="shared" si="0"/>
        <v>100000</v>
      </c>
      <c r="B11" s="708">
        <v>199999</v>
      </c>
      <c r="C11" s="709">
        <v>0</v>
      </c>
      <c r="D11" s="709">
        <v>0</v>
      </c>
      <c r="E11" s="707">
        <f t="shared" si="1"/>
        <v>60</v>
      </c>
      <c r="F11" s="707">
        <f t="shared" si="2"/>
        <v>1437848</v>
      </c>
      <c r="G11" s="711">
        <f t="shared" si="3"/>
        <v>1</v>
      </c>
      <c r="H11" s="712">
        <f t="shared" si="4"/>
        <v>1</v>
      </c>
      <c r="I11" s="709"/>
      <c r="J11" s="713"/>
    </row>
    <row r="12" spans="1:16" s="700" customFormat="1" ht="11.1" customHeight="1">
      <c r="A12" s="708">
        <f t="shared" si="0"/>
        <v>200000</v>
      </c>
      <c r="B12" s="708">
        <v>499999</v>
      </c>
      <c r="C12" s="709">
        <v>0</v>
      </c>
      <c r="D12" s="709">
        <v>0</v>
      </c>
      <c r="E12" s="707">
        <f t="shared" si="1"/>
        <v>60</v>
      </c>
      <c r="F12" s="707">
        <f t="shared" si="2"/>
        <v>1437848</v>
      </c>
      <c r="G12" s="711">
        <f t="shared" si="3"/>
        <v>1</v>
      </c>
      <c r="H12" s="712">
        <f t="shared" si="4"/>
        <v>1</v>
      </c>
      <c r="I12" s="709"/>
      <c r="J12" s="713"/>
    </row>
    <row r="13" spans="1:16" s="700" customFormat="1" ht="11.1" customHeight="1">
      <c r="A13" s="708">
        <f t="shared" si="0"/>
        <v>500000</v>
      </c>
      <c r="B13" s="700">
        <v>999999</v>
      </c>
      <c r="C13" s="709">
        <v>0</v>
      </c>
      <c r="D13" s="709">
        <v>0</v>
      </c>
      <c r="E13" s="707">
        <f t="shared" si="1"/>
        <v>60</v>
      </c>
      <c r="F13" s="707">
        <f t="shared" si="2"/>
        <v>1437848</v>
      </c>
      <c r="G13" s="711">
        <f t="shared" si="3"/>
        <v>1</v>
      </c>
      <c r="H13" s="712">
        <f t="shared" si="4"/>
        <v>1</v>
      </c>
      <c r="I13" s="709"/>
      <c r="J13" s="713"/>
    </row>
    <row r="14" spans="1:16" s="700" customFormat="1" ht="11.1" customHeight="1">
      <c r="A14" s="708">
        <f t="shared" si="0"/>
        <v>1000000</v>
      </c>
      <c r="B14" s="700">
        <v>1999999</v>
      </c>
      <c r="C14" s="709">
        <v>0</v>
      </c>
      <c r="D14" s="709">
        <v>0</v>
      </c>
      <c r="E14" s="707">
        <f t="shared" si="1"/>
        <v>60</v>
      </c>
      <c r="F14" s="707">
        <f t="shared" si="2"/>
        <v>1437848</v>
      </c>
      <c r="G14" s="711">
        <f t="shared" si="3"/>
        <v>1</v>
      </c>
      <c r="H14" s="712">
        <f t="shared" si="4"/>
        <v>1</v>
      </c>
      <c r="I14" s="709"/>
      <c r="J14" s="713"/>
    </row>
    <row r="15" spans="1:16" ht="11.25">
      <c r="E15" s="707"/>
      <c r="F15" s="707"/>
      <c r="G15" s="715"/>
      <c r="H15" s="701"/>
      <c r="I15" s="708"/>
      <c r="J15" s="716"/>
    </row>
    <row r="16" spans="1:16" ht="11.25">
      <c r="B16" s="700"/>
      <c r="C16" s="701"/>
      <c r="D16" s="717" t="s">
        <v>912</v>
      </c>
      <c r="E16" s="718">
        <f>+E14/12</f>
        <v>5</v>
      </c>
      <c r="F16" s="707"/>
      <c r="G16" s="707"/>
      <c r="H16" s="715"/>
      <c r="I16" s="701"/>
    </row>
    <row r="17" spans="2:9" ht="11.25">
      <c r="B17" s="700"/>
      <c r="C17" s="701"/>
      <c r="D17" s="717" t="s">
        <v>913</v>
      </c>
      <c r="E17" s="718">
        <f>F14/E14</f>
        <v>23964.133333333335</v>
      </c>
      <c r="F17" s="707"/>
      <c r="G17" s="707"/>
      <c r="H17" s="715"/>
      <c r="I17" s="701"/>
    </row>
    <row r="18" spans="2:9" ht="11.25">
      <c r="B18" s="700"/>
      <c r="C18" s="701"/>
      <c r="D18" s="719" t="s">
        <v>914</v>
      </c>
      <c r="E18" s="708">
        <v>17662</v>
      </c>
      <c r="F18" s="707"/>
      <c r="G18" s="707"/>
      <c r="H18" s="715"/>
      <c r="I18" s="701"/>
    </row>
    <row r="19" spans="2:9" ht="11.25">
      <c r="F19" s="707"/>
      <c r="G19" s="707"/>
      <c r="H19" s="715"/>
      <c r="I19" s="701"/>
    </row>
    <row r="20" spans="2:9" ht="11.25">
      <c r="F20" s="707"/>
      <c r="G20" s="707"/>
      <c r="H20" s="715"/>
      <c r="I20" s="701"/>
    </row>
    <row r="21" spans="2:9" ht="11.25">
      <c r="F21" s="707"/>
      <c r="G21" s="707"/>
      <c r="H21" s="715"/>
      <c r="I21" s="701"/>
    </row>
    <row r="22" spans="2:9" ht="11.25">
      <c r="F22" s="707"/>
      <c r="G22" s="707"/>
      <c r="H22" s="715"/>
      <c r="I22" s="701"/>
    </row>
    <row r="23" spans="2:9" ht="11.25">
      <c r="F23" s="707"/>
      <c r="G23" s="707"/>
      <c r="H23" s="715"/>
      <c r="I23" s="701"/>
    </row>
    <row r="24" spans="2:9" ht="11.25">
      <c r="F24" s="707"/>
      <c r="G24" s="707"/>
      <c r="H24" s="715"/>
      <c r="I24" s="701"/>
    </row>
    <row r="25" spans="2:9" ht="11.25">
      <c r="F25" s="707"/>
      <c r="G25" s="707"/>
      <c r="H25" s="715"/>
      <c r="I25" s="701"/>
    </row>
    <row r="26" spans="2:9" ht="11.25">
      <c r="F26" s="707"/>
      <c r="G26" s="707"/>
      <c r="H26" s="715"/>
      <c r="I26" s="701"/>
    </row>
    <row r="27" spans="2:9" ht="11.25">
      <c r="F27" s="707"/>
      <c r="G27" s="707"/>
      <c r="H27" s="715"/>
      <c r="I27" s="701"/>
    </row>
    <row r="28" spans="2:9" ht="11.25">
      <c r="F28" s="707"/>
      <c r="G28" s="707"/>
      <c r="H28" s="715"/>
      <c r="I28" s="701"/>
    </row>
    <row r="29" spans="2:9" ht="11.25">
      <c r="F29" s="707"/>
      <c r="G29" s="707"/>
      <c r="H29" s="715"/>
      <c r="I29" s="701"/>
    </row>
    <row r="30" spans="2:9" ht="11.25">
      <c r="F30" s="707"/>
      <c r="G30" s="707"/>
      <c r="H30" s="715"/>
      <c r="I30" s="701"/>
    </row>
    <row r="31" spans="2:9" ht="11.25">
      <c r="F31" s="707"/>
      <c r="G31" s="707"/>
      <c r="H31" s="715"/>
      <c r="I31" s="701"/>
    </row>
    <row r="32" spans="2:9" ht="11.25">
      <c r="F32" s="707"/>
      <c r="G32" s="707"/>
      <c r="H32" s="715"/>
      <c r="I32" s="701"/>
    </row>
    <row r="33" spans="6:9" ht="11.25">
      <c r="F33" s="707"/>
      <c r="G33" s="707"/>
      <c r="H33" s="715"/>
      <c r="I33" s="701"/>
    </row>
    <row r="34" spans="6:9" ht="11.25">
      <c r="F34" s="707"/>
      <c r="G34" s="707"/>
      <c r="H34" s="715"/>
      <c r="I34" s="701"/>
    </row>
    <row r="35" spans="6:9" ht="11.25">
      <c r="F35" s="707"/>
      <c r="G35" s="707"/>
      <c r="H35" s="715"/>
      <c r="I35" s="701"/>
    </row>
    <row r="36" spans="6:9" ht="11.25">
      <c r="F36" s="707"/>
      <c r="G36" s="707"/>
      <c r="H36" s="715"/>
      <c r="I36" s="701"/>
    </row>
    <row r="37" spans="6:9" ht="11.25">
      <c r="F37" s="707"/>
      <c r="G37" s="707"/>
      <c r="H37" s="715"/>
      <c r="I37" s="701"/>
    </row>
    <row r="38" spans="6:9" ht="11.25">
      <c r="F38" s="707"/>
      <c r="G38" s="707"/>
      <c r="H38" s="715"/>
      <c r="I38" s="701"/>
    </row>
    <row r="39" spans="6:9" ht="11.25">
      <c r="F39" s="707"/>
      <c r="G39" s="707"/>
      <c r="H39" s="715"/>
      <c r="I39" s="701"/>
    </row>
    <row r="40" spans="6:9" ht="11.25">
      <c r="F40" s="707"/>
      <c r="G40" s="707"/>
      <c r="H40" s="715"/>
      <c r="I40" s="701"/>
    </row>
    <row r="41" spans="6:9" ht="11.25">
      <c r="F41" s="707"/>
      <c r="G41" s="707"/>
      <c r="H41" s="715"/>
      <c r="I41" s="701"/>
    </row>
    <row r="42" spans="6:9" ht="11.25">
      <c r="F42" s="707"/>
      <c r="G42" s="707"/>
      <c r="H42" s="715"/>
      <c r="I42" s="701"/>
    </row>
    <row r="43" spans="6:9" ht="11.25">
      <c r="F43" s="707"/>
      <c r="G43" s="707"/>
      <c r="H43" s="715"/>
      <c r="I43" s="701"/>
    </row>
    <row r="44" spans="6:9" ht="11.25">
      <c r="F44" s="707"/>
      <c r="G44" s="707"/>
      <c r="H44" s="715"/>
      <c r="I44" s="701"/>
    </row>
    <row r="45" spans="6:9" ht="11.25">
      <c r="F45" s="707"/>
      <c r="G45" s="707"/>
      <c r="H45" s="715"/>
      <c r="I45" s="701"/>
    </row>
    <row r="46" spans="6:9" ht="11.25">
      <c r="F46" s="707"/>
      <c r="G46" s="707"/>
      <c r="H46" s="715"/>
      <c r="I46" s="701"/>
    </row>
    <row r="47" spans="6:9" ht="11.25">
      <c r="F47" s="707"/>
      <c r="G47" s="707"/>
      <c r="H47" s="715"/>
      <c r="I47" s="701"/>
    </row>
    <row r="48" spans="6:9" ht="11.25">
      <c r="F48" s="707"/>
      <c r="G48" s="707"/>
      <c r="H48" s="715"/>
      <c r="I48" s="701"/>
    </row>
  </sheetData>
  <conditionalFormatting sqref="M2:M3">
    <cfRule type="cellIs" dxfId="74" priority="1" operator="equal">
      <formula>0</formula>
    </cfRule>
    <cfRule type="cellIs" dxfId="73" priority="2" operator="lessThan">
      <formula>0</formula>
    </cfRule>
    <cfRule type="cellIs" dxfId="72" priority="3" operator="greaterThan">
      <formula>0</formula>
    </cfRule>
  </conditionalFormatting>
  <conditionalFormatting sqref="P3:P5">
    <cfRule type="cellIs" dxfId="71" priority="4" operator="notEqual">
      <formula>0</formula>
    </cfRule>
  </conditionalFormatting>
  <pageMargins left="0.7" right="0.7" top="0.75" bottom="0.75" header="0.3" footer="0.3"/>
  <pageSetup scale="58" orientation="portrait" horizontalDpi="1200" verticalDpi="1200" r:id="rId1"/>
  <headerFooter>
    <oddHeader xml:space="preserve">&amp;L&amp;10UNS Gas
Bill Count
Test Period Ending June 30, 2024
Unadjusted Billing Activity
&amp;RSchedule H-5
Unadjusted
Page &amp;P of &amp;N
</oddHeader>
  </headerFooter>
  <legacy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8B87F-5861-4F9D-82CA-326DE2475425}">
  <sheetPr codeName="Sheet63">
    <tabColor theme="9" tint="0.79998168889431442"/>
  </sheetPr>
  <dimension ref="A1:M48"/>
  <sheetViews>
    <sheetView view="pageLayout" zoomScaleNormal="100" zoomScaleSheetLayoutView="118" workbookViewId="0"/>
  </sheetViews>
  <sheetFormatPr defaultColWidth="9.140625" defaultRowHeight="9"/>
  <cols>
    <col min="1" max="4" width="12.28515625" style="714" customWidth="1"/>
    <col min="5" max="5" width="18.42578125" style="714" bestFit="1" customWidth="1"/>
    <col min="6" max="6" width="22" style="714" bestFit="1" customWidth="1"/>
    <col min="7" max="7" width="19.85546875" style="714" bestFit="1" customWidth="1"/>
    <col min="8" max="8" width="23.28515625" style="714" bestFit="1" customWidth="1"/>
    <col min="9" max="9" width="9.140625" style="714"/>
    <col min="10" max="11" width="9.28515625" style="714" bestFit="1" customWidth="1"/>
    <col min="12" max="12" width="10.42578125" style="714" bestFit="1" customWidth="1"/>
    <col min="13" max="13" width="7.140625" style="714" bestFit="1" customWidth="1"/>
    <col min="14" max="16384" width="9.140625" style="714"/>
  </cols>
  <sheetData>
    <row r="1" spans="1:13" ht="15">
      <c r="A1" s="681" t="str">
        <f>VLOOKUP(B2,'Rate Codes'!$A$1:$C$20,3,0)</f>
        <v>Transportation NSP LV Industrial</v>
      </c>
      <c r="B1"/>
      <c r="C1"/>
      <c r="D1"/>
      <c r="E1"/>
      <c r="F1"/>
      <c r="G1"/>
      <c r="H1"/>
      <c r="I1"/>
      <c r="J1" s="682" t="str">
        <f>B2</f>
        <v>GTNILVS</v>
      </c>
      <c r="K1" s="683"/>
      <c r="L1" s="683" t="s">
        <v>898</v>
      </c>
      <c r="M1" s="683" t="s">
        <v>48</v>
      </c>
    </row>
    <row r="2" spans="1:13" ht="15">
      <c r="A2" t="s">
        <v>899</v>
      </c>
      <c r="B2" t="s">
        <v>545</v>
      </c>
      <c r="C2"/>
      <c r="D2"/>
      <c r="E2"/>
      <c r="F2"/>
      <c r="G2"/>
      <c r="H2"/>
      <c r="I2"/>
      <c r="J2" s="682" t="s">
        <v>900</v>
      </c>
      <c r="K2" s="683">
        <f>E14</f>
        <v>72</v>
      </c>
      <c r="L2" s="683">
        <f>VLOOKUP($J1,Summary!$B:$P,2,0)</f>
        <v>96</v>
      </c>
      <c r="M2" s="683">
        <f>K2-L2</f>
        <v>-24</v>
      </c>
    </row>
    <row r="3" spans="1:13" ht="15">
      <c r="A3" t="s">
        <v>901</v>
      </c>
      <c r="B3" s="142" t="str">
        <f>VLOOKUP(B2,'Rate Codes'!$A$1:$C$20,2,0)</f>
        <v>5756</v>
      </c>
      <c r="C3"/>
      <c r="J3" s="682" t="s">
        <v>902</v>
      </c>
      <c r="K3" s="683">
        <f>F14</f>
        <v>13532527</v>
      </c>
      <c r="L3" s="683">
        <f>VLOOKUP($J1,Summary!$B:$P,3,0)</f>
        <v>13532527</v>
      </c>
      <c r="M3" s="683">
        <f>K3-L3</f>
        <v>0</v>
      </c>
    </row>
    <row r="4" spans="1:13" ht="15">
      <c r="A4"/>
      <c r="B4"/>
      <c r="C4"/>
    </row>
    <row r="5" spans="1:13" s="700" customFormat="1" ht="11.1" customHeight="1">
      <c r="A5" t="s">
        <v>903</v>
      </c>
      <c r="B5"/>
      <c r="C5"/>
      <c r="D5" s="701"/>
      <c r="E5" s="701"/>
      <c r="F5" s="701"/>
      <c r="G5" s="701"/>
      <c r="H5" s="701"/>
      <c r="I5" s="704"/>
      <c r="J5" s="702"/>
      <c r="K5" s="703"/>
      <c r="L5" s="702"/>
    </row>
    <row r="6" spans="1:13" s="700" customFormat="1" ht="11.1" customHeight="1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4"/>
      <c r="J6" s="702"/>
      <c r="K6" s="703"/>
      <c r="L6" s="702"/>
    </row>
    <row r="7" spans="1:13" s="700" customFormat="1" ht="11.1" customHeight="1">
      <c r="A7" s="708">
        <v>0</v>
      </c>
      <c r="B7" s="708">
        <v>999</v>
      </c>
      <c r="C7" s="709">
        <v>0</v>
      </c>
      <c r="D7" s="709">
        <v>0</v>
      </c>
      <c r="E7" s="710">
        <f>D7</f>
        <v>0</v>
      </c>
      <c r="F7" s="710">
        <f>C7</f>
        <v>0</v>
      </c>
      <c r="G7" s="711">
        <f>E7/MAX($E$7:$E$14)</f>
        <v>0</v>
      </c>
      <c r="H7" s="712">
        <f>F7/MAX($F$7:$F$14)</f>
        <v>0</v>
      </c>
    </row>
    <row r="8" spans="1:13" s="700" customFormat="1" ht="11.1" customHeight="1">
      <c r="A8" s="708">
        <f t="shared" ref="A8:A14" si="0">B7+1</f>
        <v>1000</v>
      </c>
      <c r="B8" s="708">
        <v>9999</v>
      </c>
      <c r="C8" s="709">
        <v>69798</v>
      </c>
      <c r="D8" s="709">
        <v>12</v>
      </c>
      <c r="E8" s="707">
        <f t="shared" ref="E8:E14" si="1">E7+D8</f>
        <v>12</v>
      </c>
      <c r="F8" s="707">
        <f t="shared" ref="F8:F14" si="2">F7+C8</f>
        <v>69798</v>
      </c>
      <c r="G8" s="711">
        <f t="shared" ref="G8:G14" si="3">E8/MAX($E$7:$E$14)</f>
        <v>0.16666666666666666</v>
      </c>
      <c r="H8" s="712">
        <f t="shared" ref="H8:H14" si="4">F8/MAX($F$7:$F$14)</f>
        <v>5.1577949927607758E-3</v>
      </c>
    </row>
    <row r="9" spans="1:13" s="700" customFormat="1" ht="11.1" customHeight="1">
      <c r="A9" s="708">
        <f t="shared" si="0"/>
        <v>10000</v>
      </c>
      <c r="B9" s="708">
        <v>49999</v>
      </c>
      <c r="C9" s="709">
        <v>816496</v>
      </c>
      <c r="D9" s="709">
        <v>31</v>
      </c>
      <c r="E9" s="707">
        <f t="shared" si="1"/>
        <v>43</v>
      </c>
      <c r="F9" s="707">
        <f t="shared" si="2"/>
        <v>886294</v>
      </c>
      <c r="G9" s="711">
        <f t="shared" si="3"/>
        <v>0.59722222222222221</v>
      </c>
      <c r="H9" s="712">
        <f t="shared" si="4"/>
        <v>6.549360662646378E-2</v>
      </c>
    </row>
    <row r="10" spans="1:13" s="700" customFormat="1" ht="11.1" customHeight="1">
      <c r="A10" s="708">
        <f t="shared" si="0"/>
        <v>50000</v>
      </c>
      <c r="B10" s="708">
        <v>99999</v>
      </c>
      <c r="C10" s="709">
        <v>204368</v>
      </c>
      <c r="D10" s="709">
        <v>3</v>
      </c>
      <c r="E10" s="707">
        <f t="shared" si="1"/>
        <v>46</v>
      </c>
      <c r="F10" s="707">
        <f t="shared" si="2"/>
        <v>1090662</v>
      </c>
      <c r="G10" s="711">
        <f t="shared" si="3"/>
        <v>0.63888888888888884</v>
      </c>
      <c r="H10" s="712">
        <f t="shared" si="4"/>
        <v>8.059559016582786E-2</v>
      </c>
    </row>
    <row r="11" spans="1:13" s="700" customFormat="1" ht="11.1" customHeight="1">
      <c r="A11" s="708">
        <f t="shared" si="0"/>
        <v>100000</v>
      </c>
      <c r="B11" s="708">
        <v>199999</v>
      </c>
      <c r="C11" s="709">
        <v>1017623</v>
      </c>
      <c r="D11" s="709">
        <v>7</v>
      </c>
      <c r="E11" s="707">
        <f t="shared" si="1"/>
        <v>53</v>
      </c>
      <c r="F11" s="707">
        <f t="shared" si="2"/>
        <v>2108285</v>
      </c>
      <c r="G11" s="711">
        <f t="shared" si="3"/>
        <v>0.73611111111111116</v>
      </c>
      <c r="H11" s="712">
        <f t="shared" si="4"/>
        <v>0.15579388831073457</v>
      </c>
    </row>
    <row r="12" spans="1:13" s="700" customFormat="1" ht="11.1" customHeight="1">
      <c r="A12" s="708">
        <f t="shared" si="0"/>
        <v>200000</v>
      </c>
      <c r="B12" s="708">
        <v>499999</v>
      </c>
      <c r="C12" s="709">
        <v>2988194</v>
      </c>
      <c r="D12" s="709">
        <v>12</v>
      </c>
      <c r="E12" s="707">
        <f t="shared" si="1"/>
        <v>65</v>
      </c>
      <c r="F12" s="707">
        <f t="shared" si="2"/>
        <v>5096479</v>
      </c>
      <c r="G12" s="711">
        <f t="shared" si="3"/>
        <v>0.90277777777777779</v>
      </c>
      <c r="H12" s="712">
        <f t="shared" si="4"/>
        <v>0.37660955710637045</v>
      </c>
    </row>
    <row r="13" spans="1:13" s="700" customFormat="1" ht="11.1" customHeight="1">
      <c r="A13" s="708">
        <f t="shared" si="0"/>
        <v>500000</v>
      </c>
      <c r="B13" s="700">
        <v>999999</v>
      </c>
      <c r="C13" s="709">
        <v>635221</v>
      </c>
      <c r="D13" s="709">
        <v>1</v>
      </c>
      <c r="E13" s="707">
        <f t="shared" si="1"/>
        <v>66</v>
      </c>
      <c r="F13" s="707">
        <f t="shared" si="2"/>
        <v>5731700</v>
      </c>
      <c r="G13" s="711">
        <f t="shared" si="3"/>
        <v>0.91666666666666663</v>
      </c>
      <c r="H13" s="712">
        <f t="shared" si="4"/>
        <v>0.42354986618537693</v>
      </c>
    </row>
    <row r="14" spans="1:13" s="700" customFormat="1" ht="11.1" customHeight="1">
      <c r="A14" s="708">
        <f t="shared" si="0"/>
        <v>1000000</v>
      </c>
      <c r="B14" s="700">
        <v>1999999</v>
      </c>
      <c r="C14" s="709">
        <v>7800827</v>
      </c>
      <c r="D14" s="709">
        <v>6</v>
      </c>
      <c r="E14" s="707">
        <f t="shared" si="1"/>
        <v>72</v>
      </c>
      <c r="F14" s="707">
        <f t="shared" si="2"/>
        <v>13532527</v>
      </c>
      <c r="G14" s="711">
        <f t="shared" si="3"/>
        <v>1</v>
      </c>
      <c r="H14" s="712">
        <f t="shared" si="4"/>
        <v>1</v>
      </c>
    </row>
    <row r="15" spans="1:13" ht="11.25">
      <c r="F15" s="707"/>
      <c r="G15" s="707"/>
      <c r="H15" s="715"/>
    </row>
    <row r="16" spans="1:13" ht="11.25">
      <c r="B16" s="700"/>
      <c r="C16" s="701"/>
      <c r="D16" s="717" t="s">
        <v>912</v>
      </c>
      <c r="E16" s="718">
        <f>+E13/12</f>
        <v>5.5</v>
      </c>
      <c r="F16" s="707"/>
      <c r="G16" s="707"/>
      <c r="H16" s="715"/>
    </row>
    <row r="17" spans="2:8" ht="11.25">
      <c r="B17" s="700"/>
      <c r="C17" s="701"/>
      <c r="D17" s="717" t="s">
        <v>915</v>
      </c>
      <c r="E17" s="718">
        <f>F13/E13</f>
        <v>86843.939393939392</v>
      </c>
      <c r="F17" s="707"/>
      <c r="G17" s="707"/>
      <c r="H17" s="715"/>
    </row>
    <row r="18" spans="2:8" ht="11.25">
      <c r="B18" s="700"/>
      <c r="C18" s="701"/>
      <c r="D18" s="719" t="s">
        <v>914</v>
      </c>
      <c r="E18" s="708">
        <v>34218.5</v>
      </c>
      <c r="F18" s="707"/>
      <c r="G18" s="707"/>
      <c r="H18" s="715"/>
    </row>
    <row r="19" spans="2:8" ht="11.25">
      <c r="F19" s="707"/>
      <c r="G19" s="707"/>
      <c r="H19" s="715"/>
    </row>
    <row r="20" spans="2:8" ht="11.25">
      <c r="F20" s="707"/>
      <c r="G20" s="707"/>
      <c r="H20" s="715"/>
    </row>
    <row r="21" spans="2:8" ht="11.25">
      <c r="F21" s="707"/>
      <c r="G21" s="707"/>
      <c r="H21" s="715"/>
    </row>
    <row r="22" spans="2:8" ht="11.25">
      <c r="F22" s="707"/>
      <c r="G22" s="707"/>
      <c r="H22" s="715"/>
    </row>
    <row r="23" spans="2:8" ht="11.25">
      <c r="F23" s="707"/>
      <c r="G23" s="707"/>
      <c r="H23" s="715"/>
    </row>
    <row r="24" spans="2:8" ht="11.25">
      <c r="F24" s="707"/>
      <c r="G24" s="707"/>
      <c r="H24" s="715"/>
    </row>
    <row r="25" spans="2:8" ht="11.25">
      <c r="F25" s="707"/>
      <c r="G25" s="707"/>
      <c r="H25" s="715"/>
    </row>
    <row r="26" spans="2:8" ht="11.25">
      <c r="F26" s="707"/>
      <c r="G26" s="707"/>
      <c r="H26" s="715"/>
    </row>
    <row r="27" spans="2:8" ht="11.25">
      <c r="F27" s="707"/>
      <c r="G27" s="707"/>
      <c r="H27" s="715"/>
    </row>
    <row r="28" spans="2:8" ht="11.25">
      <c r="F28" s="707"/>
      <c r="G28" s="707"/>
      <c r="H28" s="715"/>
    </row>
    <row r="29" spans="2:8" ht="11.25">
      <c r="F29" s="707"/>
      <c r="G29" s="707"/>
      <c r="H29" s="715"/>
    </row>
    <row r="30" spans="2:8" ht="11.25">
      <c r="F30" s="707"/>
      <c r="G30" s="707"/>
      <c r="H30" s="715"/>
    </row>
    <row r="31" spans="2:8" ht="11.25">
      <c r="F31" s="707"/>
      <c r="G31" s="707"/>
      <c r="H31" s="715"/>
    </row>
    <row r="32" spans="2:8" ht="11.25">
      <c r="F32" s="707"/>
      <c r="G32" s="707"/>
      <c r="H32" s="715"/>
    </row>
    <row r="33" spans="6:8" ht="11.25">
      <c r="F33" s="707"/>
      <c r="G33" s="707"/>
      <c r="H33" s="715"/>
    </row>
    <row r="34" spans="6:8" ht="11.25">
      <c r="F34" s="707"/>
      <c r="G34" s="707"/>
      <c r="H34" s="715"/>
    </row>
    <row r="35" spans="6:8" ht="11.25">
      <c r="F35" s="707"/>
      <c r="G35" s="707"/>
      <c r="H35" s="715"/>
    </row>
    <row r="36" spans="6:8" ht="11.25">
      <c r="F36" s="707"/>
      <c r="G36" s="707"/>
      <c r="H36" s="715"/>
    </row>
    <row r="37" spans="6:8" ht="11.25">
      <c r="F37" s="707"/>
      <c r="G37" s="707"/>
      <c r="H37" s="715"/>
    </row>
    <row r="38" spans="6:8" ht="11.25">
      <c r="F38" s="707"/>
      <c r="G38" s="707"/>
      <c r="H38" s="715"/>
    </row>
    <row r="39" spans="6:8" ht="11.25">
      <c r="F39" s="707"/>
      <c r="G39" s="707"/>
      <c r="H39" s="715"/>
    </row>
    <row r="40" spans="6:8" ht="11.25">
      <c r="F40" s="707"/>
      <c r="G40" s="707"/>
      <c r="H40" s="715"/>
    </row>
    <row r="41" spans="6:8" ht="11.25">
      <c r="F41" s="707"/>
      <c r="G41" s="707"/>
      <c r="H41" s="715"/>
    </row>
    <row r="42" spans="6:8" ht="11.25">
      <c r="F42" s="707"/>
      <c r="G42" s="707"/>
      <c r="H42" s="715"/>
    </row>
    <row r="43" spans="6:8" ht="11.25">
      <c r="F43" s="707"/>
      <c r="G43" s="707"/>
      <c r="H43" s="715"/>
    </row>
    <row r="44" spans="6:8" ht="11.25">
      <c r="F44" s="707"/>
      <c r="G44" s="707"/>
      <c r="H44" s="715"/>
    </row>
    <row r="45" spans="6:8" ht="11.25">
      <c r="F45" s="707"/>
      <c r="G45" s="707"/>
      <c r="H45" s="715"/>
    </row>
    <row r="46" spans="6:8" ht="11.25">
      <c r="F46" s="707"/>
      <c r="G46" s="707"/>
      <c r="H46" s="715"/>
    </row>
    <row r="47" spans="6:8" ht="11.25">
      <c r="F47" s="707"/>
      <c r="G47" s="707"/>
      <c r="H47" s="715"/>
    </row>
    <row r="48" spans="6:8" ht="11.25">
      <c r="F48" s="707"/>
      <c r="G48" s="707"/>
      <c r="H48" s="715"/>
    </row>
  </sheetData>
  <conditionalFormatting sqref="L5:L6">
    <cfRule type="cellIs" dxfId="70" priority="4" operator="notEqual">
      <formula>0</formula>
    </cfRule>
  </conditionalFormatting>
  <conditionalFormatting sqref="M2:M3">
    <cfRule type="cellIs" dxfId="69" priority="1" operator="equal">
      <formula>0</formula>
    </cfRule>
    <cfRule type="cellIs" dxfId="68" priority="2" operator="lessThan">
      <formula>0</formula>
    </cfRule>
    <cfRule type="cellIs" dxfId="67" priority="3" operator="greaterThan">
      <formula>0</formula>
    </cfRule>
  </conditionalFormatting>
  <pageMargins left="0.7" right="0.7" top="0.75" bottom="0.75" header="0.3" footer="0.3"/>
  <pageSetup scale="57" orientation="portrait" horizontalDpi="1200" verticalDpi="1200" r:id="rId1"/>
  <headerFooter>
    <oddHeader xml:space="preserve">&amp;L&amp;10UNS Gas
Bill Count
Test Period Ending June 30, 2024
Unadjusted Billing Activity&amp;R&amp;10Schedule H-5
Unadjusted
Page &amp;P of &amp;N
</oddHeader>
  </headerFooter>
  <legacy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386BD-077A-4D7C-A36C-46048D973C45}">
  <sheetPr codeName="Sheet64">
    <tabColor theme="9" tint="0.79998168889431442"/>
  </sheetPr>
  <dimension ref="A1:M56"/>
  <sheetViews>
    <sheetView zoomScale="80" zoomScaleNormal="80" workbookViewId="0"/>
  </sheetViews>
  <sheetFormatPr defaultRowHeight="15"/>
  <cols>
    <col min="1" max="1" width="25" customWidth="1"/>
    <col min="2" max="2" width="9.4257812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Residential Gas Service</v>
      </c>
      <c r="J1" s="682" t="s">
        <v>516</v>
      </c>
      <c r="K1" s="682"/>
      <c r="L1" s="682" t="s">
        <v>898</v>
      </c>
      <c r="M1" s="682" t="s">
        <v>48</v>
      </c>
    </row>
    <row r="2" spans="1:13">
      <c r="A2" t="s">
        <v>899</v>
      </c>
      <c r="B2" t="s">
        <v>516</v>
      </c>
      <c r="J2" s="682" t="s">
        <v>900</v>
      </c>
      <c r="K2" s="683">
        <f>'GRRES Adjusted'!E52</f>
        <v>1814143.5973801531</v>
      </c>
      <c r="L2" s="683">
        <f>VLOOKUP($J1,Summary!$B:$P,7,0)</f>
        <v>1814143.5973801531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5751</v>
      </c>
      <c r="J3" s="682" t="s">
        <v>902</v>
      </c>
      <c r="K3" s="683">
        <f>'GRRES Adjusted'!F52</f>
        <v>81350019.188227594</v>
      </c>
      <c r="L3" s="683">
        <f>VLOOKUP($J1,Summary!$B:$P,8,0)</f>
        <v>81350019.188227594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4</v>
      </c>
      <c r="C7" s="697">
        <v>364620.22830988286</v>
      </c>
      <c r="D7" s="697">
        <v>193208.9682324146</v>
      </c>
      <c r="E7" s="697">
        <f>D7</f>
        <v>193208.9682324146</v>
      </c>
      <c r="F7" s="697">
        <f>C7</f>
        <v>364620.22830988286</v>
      </c>
      <c r="G7" s="163">
        <f t="shared" ref="G7:G52" si="0">E7/MAX($E$7:$E$52)</f>
        <v>0.1065014745863735</v>
      </c>
      <c r="H7" s="163">
        <f t="shared" ref="H7:H52" si="1">F7/MAX($F$7:$F$52)</f>
        <v>4.4821160701416056E-3</v>
      </c>
    </row>
    <row r="8" spans="1:13">
      <c r="A8">
        <v>5</v>
      </c>
      <c r="B8">
        <v>9</v>
      </c>
      <c r="C8" s="697">
        <v>1585303.4791963168</v>
      </c>
      <c r="D8" s="697">
        <v>229878.69626395925</v>
      </c>
      <c r="E8" s="697">
        <f>E7+D8</f>
        <v>423087.66449637385</v>
      </c>
      <c r="F8" s="697">
        <f>F7+C8</f>
        <v>1949923.7075061996</v>
      </c>
      <c r="G8" s="163">
        <f t="shared" si="0"/>
        <v>0.23321619363944759</v>
      </c>
      <c r="H8" s="163">
        <f t="shared" si="1"/>
        <v>2.3969554364756424E-2</v>
      </c>
    </row>
    <row r="9" spans="1:13">
      <c r="A9">
        <v>10</v>
      </c>
      <c r="B9">
        <v>14</v>
      </c>
      <c r="C9" s="697">
        <v>2324809.249212116</v>
      </c>
      <c r="D9" s="697">
        <v>198710.93482525391</v>
      </c>
      <c r="E9" s="697">
        <f>E8+D9</f>
        <v>621798.59932162776</v>
      </c>
      <c r="F9" s="697">
        <f t="shared" ref="F9:F52" si="2">F8+C9</f>
        <v>4274732.9567183154</v>
      </c>
      <c r="G9" s="163">
        <f t="shared" si="0"/>
        <v>0.34275048580475193</v>
      </c>
      <c r="H9" s="163">
        <f t="shared" si="1"/>
        <v>5.2547411781519587E-2</v>
      </c>
    </row>
    <row r="10" spans="1:13">
      <c r="A10">
        <v>15</v>
      </c>
      <c r="B10">
        <v>19</v>
      </c>
      <c r="C10" s="697">
        <v>2639913.8508063462</v>
      </c>
      <c r="D10" s="697">
        <v>158050.64801011793</v>
      </c>
      <c r="E10" s="697">
        <f t="shared" ref="E10:E52" si="3">E9+D10</f>
        <v>779849.24733174569</v>
      </c>
      <c r="F10" s="697">
        <f t="shared" si="2"/>
        <v>6914646.8075246615</v>
      </c>
      <c r="G10" s="163">
        <f t="shared" si="0"/>
        <v>0.42987184060729489</v>
      </c>
      <c r="H10" s="163">
        <f t="shared" si="1"/>
        <v>8.4998711451137562E-2</v>
      </c>
    </row>
    <row r="11" spans="1:13">
      <c r="A11">
        <v>20</v>
      </c>
      <c r="B11">
        <v>24</v>
      </c>
      <c r="C11" s="697">
        <v>2475344.2809303878</v>
      </c>
      <c r="D11" s="697">
        <v>114016.82661011186</v>
      </c>
      <c r="E11" s="697">
        <f t="shared" si="3"/>
        <v>893866.07394185755</v>
      </c>
      <c r="F11" s="697">
        <f t="shared" si="2"/>
        <v>9389991.0884550493</v>
      </c>
      <c r="G11" s="163">
        <f t="shared" si="0"/>
        <v>0.49272068387128248</v>
      </c>
      <c r="H11" s="163">
        <f t="shared" si="1"/>
        <v>0.11542702979243923</v>
      </c>
    </row>
    <row r="12" spans="1:13">
      <c r="A12">
        <v>25</v>
      </c>
      <c r="B12">
        <v>29</v>
      </c>
      <c r="C12" s="697">
        <v>2390675.1079036221</v>
      </c>
      <c r="D12" s="697">
        <v>89586.085087094922</v>
      </c>
      <c r="E12" s="697">
        <f t="shared" si="3"/>
        <v>983452.15902895248</v>
      </c>
      <c r="F12" s="697">
        <f t="shared" si="2"/>
        <v>11780666.196358671</v>
      </c>
      <c r="G12" s="163">
        <f t="shared" si="0"/>
        <v>0.54210270920624948</v>
      </c>
      <c r="H12" s="163">
        <f t="shared" si="1"/>
        <v>0.14481454723569981</v>
      </c>
    </row>
    <row r="13" spans="1:13">
      <c r="A13">
        <v>30</v>
      </c>
      <c r="B13">
        <v>34</v>
      </c>
      <c r="C13" s="697">
        <v>2296923.3576183934</v>
      </c>
      <c r="D13" s="697">
        <v>72631.988577908836</v>
      </c>
      <c r="E13" s="697">
        <f t="shared" si="3"/>
        <v>1056084.1476068613</v>
      </c>
      <c r="F13" s="697">
        <f t="shared" si="2"/>
        <v>14077589.553977065</v>
      </c>
      <c r="G13" s="163">
        <f t="shared" si="0"/>
        <v>0.58213922488383885</v>
      </c>
      <c r="H13" s="163">
        <f t="shared" si="1"/>
        <v>0.17304961565410762</v>
      </c>
    </row>
    <row r="14" spans="1:13">
      <c r="A14">
        <v>35</v>
      </c>
      <c r="B14">
        <v>39</v>
      </c>
      <c r="C14" s="697">
        <v>2235738.6650202051</v>
      </c>
      <c r="D14" s="697">
        <v>61136.646869144635</v>
      </c>
      <c r="E14" s="697">
        <f t="shared" si="3"/>
        <v>1117220.7944760059</v>
      </c>
      <c r="F14" s="697">
        <f t="shared" si="2"/>
        <v>16313328.21899727</v>
      </c>
      <c r="G14" s="163">
        <f t="shared" si="0"/>
        <v>0.61583922909377764</v>
      </c>
      <c r="H14" s="163">
        <f t="shared" si="1"/>
        <v>0.20053256756155777</v>
      </c>
    </row>
    <row r="15" spans="1:13">
      <c r="A15">
        <v>40</v>
      </c>
      <c r="B15">
        <v>44</v>
      </c>
      <c r="C15" s="697">
        <v>2276586.8668084964</v>
      </c>
      <c r="D15" s="697">
        <v>54787.528159818379</v>
      </c>
      <c r="E15" s="697">
        <f t="shared" si="3"/>
        <v>1172008.3226358243</v>
      </c>
      <c r="F15" s="697">
        <f t="shared" si="2"/>
        <v>18589915.085805766</v>
      </c>
      <c r="G15" s="163">
        <f t="shared" si="0"/>
        <v>0.6460394449085225</v>
      </c>
      <c r="H15" s="163">
        <f t="shared" si="1"/>
        <v>0.22851764844446365</v>
      </c>
    </row>
    <row r="16" spans="1:13">
      <c r="A16">
        <v>45</v>
      </c>
      <c r="B16">
        <v>49</v>
      </c>
      <c r="C16" s="697">
        <v>2314160.6416974179</v>
      </c>
      <c r="D16" s="697">
        <v>49724.713969001314</v>
      </c>
      <c r="E16" s="697">
        <f t="shared" si="3"/>
        <v>1221733.0366048256</v>
      </c>
      <c r="F16" s="697">
        <f t="shared" si="2"/>
        <v>20904075.727503184</v>
      </c>
      <c r="G16" s="163">
        <f t="shared" si="0"/>
        <v>0.67344891461136736</v>
      </c>
      <c r="H16" s="163">
        <f t="shared" si="1"/>
        <v>0.25696460721337205</v>
      </c>
    </row>
    <row r="17" spans="1:8">
      <c r="A17">
        <v>50</v>
      </c>
      <c r="B17">
        <v>54</v>
      </c>
      <c r="C17" s="697">
        <v>2359570.5412823297</v>
      </c>
      <c r="D17" s="697">
        <v>45811.534441601019</v>
      </c>
      <c r="E17" s="697">
        <f t="shared" si="3"/>
        <v>1267544.5710464267</v>
      </c>
      <c r="F17" s="697">
        <f t="shared" si="2"/>
        <v>23263646.268785514</v>
      </c>
      <c r="G17" s="163">
        <f t="shared" si="0"/>
        <v>0.6987013447430056</v>
      </c>
      <c r="H17" s="163">
        <f t="shared" si="1"/>
        <v>0.2859697699020588</v>
      </c>
    </row>
    <row r="18" spans="1:8">
      <c r="A18">
        <v>55</v>
      </c>
      <c r="B18">
        <v>59</v>
      </c>
      <c r="C18" s="697">
        <v>2431327.1825714707</v>
      </c>
      <c r="D18" s="697">
        <v>43067.083160313312</v>
      </c>
      <c r="E18" s="697">
        <f t="shared" si="3"/>
        <v>1310611.65420674</v>
      </c>
      <c r="F18" s="697">
        <f t="shared" si="2"/>
        <v>25694973.451356985</v>
      </c>
      <c r="G18" s="163">
        <f t="shared" si="0"/>
        <v>0.7224409666905226</v>
      </c>
      <c r="H18" s="163">
        <f t="shared" si="1"/>
        <v>0.31585700541635992</v>
      </c>
    </row>
    <row r="19" spans="1:8">
      <c r="A19">
        <v>60</v>
      </c>
      <c r="B19">
        <v>64</v>
      </c>
      <c r="C19" s="697">
        <v>2485402.5159454234</v>
      </c>
      <c r="D19" s="697">
        <v>40487.439645462669</v>
      </c>
      <c r="E19" s="697">
        <f t="shared" si="3"/>
        <v>1351099.0938522026</v>
      </c>
      <c r="F19" s="697">
        <f t="shared" si="2"/>
        <v>28180375.967302408</v>
      </c>
      <c r="G19" s="163">
        <f t="shared" si="0"/>
        <v>0.74475862649646707</v>
      </c>
      <c r="H19" s="163">
        <f t="shared" si="1"/>
        <v>0.34640896521608289</v>
      </c>
    </row>
    <row r="20" spans="1:8">
      <c r="A20">
        <v>65</v>
      </c>
      <c r="B20">
        <v>69</v>
      </c>
      <c r="C20" s="697">
        <v>2602394.8322200924</v>
      </c>
      <c r="D20" s="697">
        <v>39220.228709649527</v>
      </c>
      <c r="E20" s="697">
        <f t="shared" si="3"/>
        <v>1390319.3225618522</v>
      </c>
      <c r="F20" s="697">
        <f t="shared" si="2"/>
        <v>30782770.7995225</v>
      </c>
      <c r="G20" s="163">
        <f t="shared" si="0"/>
        <v>0.76637776886551023</v>
      </c>
      <c r="H20" s="163">
        <f t="shared" si="1"/>
        <v>0.37839906009483976</v>
      </c>
    </row>
    <row r="21" spans="1:8">
      <c r="A21">
        <v>70</v>
      </c>
      <c r="B21">
        <v>74</v>
      </c>
      <c r="C21" s="697">
        <v>2598687.3327450901</v>
      </c>
      <c r="D21" s="697">
        <v>36441.609964590054</v>
      </c>
      <c r="E21" s="697">
        <f t="shared" si="3"/>
        <v>1426760.9325264422</v>
      </c>
      <c r="F21" s="697">
        <f t="shared" si="2"/>
        <v>33381458.132267591</v>
      </c>
      <c r="G21" s="163">
        <f t="shared" si="0"/>
        <v>0.78646526911478276</v>
      </c>
      <c r="H21" s="163">
        <f t="shared" si="1"/>
        <v>0.41034358031347978</v>
      </c>
    </row>
    <row r="22" spans="1:8">
      <c r="A22">
        <v>75</v>
      </c>
      <c r="B22">
        <v>79</v>
      </c>
      <c r="C22" s="697">
        <v>2662176.7679009102</v>
      </c>
      <c r="D22" s="697">
        <v>34906.083945620572</v>
      </c>
      <c r="E22" s="697">
        <f t="shared" si="3"/>
        <v>1461667.0164720628</v>
      </c>
      <c r="F22" s="697">
        <f t="shared" si="2"/>
        <v>36043634.900168501</v>
      </c>
      <c r="G22" s="163">
        <f t="shared" si="0"/>
        <v>0.80570635013837388</v>
      </c>
      <c r="H22" s="163">
        <f t="shared" si="1"/>
        <v>0.44306854822948194</v>
      </c>
    </row>
    <row r="23" spans="1:8">
      <c r="A23">
        <v>80</v>
      </c>
      <c r="B23">
        <v>84</v>
      </c>
      <c r="C23" s="697">
        <v>2658965.0618573129</v>
      </c>
      <c r="D23" s="697">
        <v>32740.469697663328</v>
      </c>
      <c r="E23" s="697">
        <f t="shared" si="3"/>
        <v>1494407.4861697261</v>
      </c>
      <c r="F23" s="697">
        <f t="shared" si="2"/>
        <v>38702599.962025814</v>
      </c>
      <c r="G23" s="163">
        <f t="shared" si="0"/>
        <v>0.82375369200532678</v>
      </c>
      <c r="H23" s="163">
        <f t="shared" si="1"/>
        <v>0.47575403605591998</v>
      </c>
    </row>
    <row r="24" spans="1:8">
      <c r="A24">
        <v>85</v>
      </c>
      <c r="B24">
        <v>89</v>
      </c>
      <c r="C24" s="697">
        <v>2645179.4159844741</v>
      </c>
      <c r="D24" s="697">
        <v>30696.451423719991</v>
      </c>
      <c r="E24" s="697">
        <f t="shared" si="3"/>
        <v>1525103.9375934461</v>
      </c>
      <c r="F24" s="697">
        <f t="shared" si="2"/>
        <v>41347779.378010288</v>
      </c>
      <c r="G24" s="163">
        <f t="shared" si="0"/>
        <v>0.84067432136898324</v>
      </c>
      <c r="H24" s="163">
        <f t="shared" si="1"/>
        <v>0.5082700630019501</v>
      </c>
    </row>
    <row r="25" spans="1:8">
      <c r="A25">
        <v>90</v>
      </c>
      <c r="B25">
        <v>94</v>
      </c>
      <c r="C25" s="697">
        <v>2574667.2361195311</v>
      </c>
      <c r="D25" s="697">
        <v>28249.458062339807</v>
      </c>
      <c r="E25" s="697">
        <f t="shared" si="3"/>
        <v>1553353.3956557859</v>
      </c>
      <c r="F25" s="697">
        <f t="shared" si="2"/>
        <v>43922446.614129819</v>
      </c>
      <c r="G25" s="163">
        <f t="shared" si="0"/>
        <v>0.85624610857653138</v>
      </c>
      <c r="H25" s="163">
        <f t="shared" si="1"/>
        <v>0.53991931473921484</v>
      </c>
    </row>
    <row r="26" spans="1:8">
      <c r="A26">
        <v>95</v>
      </c>
      <c r="B26">
        <v>99</v>
      </c>
      <c r="C26" s="697">
        <v>2456452.360941723</v>
      </c>
      <c r="D26" s="697">
        <v>25570.32693238277</v>
      </c>
      <c r="E26" s="697">
        <f t="shared" si="3"/>
        <v>1578923.7225881687</v>
      </c>
      <c r="F26" s="697">
        <f t="shared" si="2"/>
        <v>46378898.975071542</v>
      </c>
      <c r="G26" s="163">
        <f t="shared" si="0"/>
        <v>0.87034109365340706</v>
      </c>
      <c r="H26" s="163">
        <f t="shared" si="1"/>
        <v>0.57011540301865316</v>
      </c>
    </row>
    <row r="27" spans="1:8">
      <c r="A27">
        <v>100</v>
      </c>
      <c r="B27">
        <v>104</v>
      </c>
      <c r="C27" s="697">
        <v>2365049.1582562625</v>
      </c>
      <c r="D27" s="697">
        <v>23419.786565500544</v>
      </c>
      <c r="E27" s="697">
        <f t="shared" si="3"/>
        <v>1602343.5091536692</v>
      </c>
      <c r="F27" s="697">
        <f t="shared" si="2"/>
        <v>48743948.133327805</v>
      </c>
      <c r="G27" s="163">
        <f t="shared" si="0"/>
        <v>0.88325064866290115</v>
      </c>
      <c r="H27" s="163">
        <f t="shared" si="1"/>
        <v>0.59918791193575638</v>
      </c>
    </row>
    <row r="28" spans="1:8">
      <c r="A28">
        <v>105</v>
      </c>
      <c r="B28">
        <v>109</v>
      </c>
      <c r="C28" s="697">
        <v>2270800.6189704835</v>
      </c>
      <c r="D28" s="697">
        <v>21435.058890459128</v>
      </c>
      <c r="E28" s="697">
        <f t="shared" si="3"/>
        <v>1623778.5680441284</v>
      </c>
      <c r="F28" s="697">
        <f t="shared" si="2"/>
        <v>51014748.752298288</v>
      </c>
      <c r="G28" s="163">
        <f t="shared" si="0"/>
        <v>0.89506617358684537</v>
      </c>
      <c r="H28" s="163">
        <f t="shared" si="1"/>
        <v>0.62710186501936049</v>
      </c>
    </row>
    <row r="29" spans="1:8">
      <c r="A29">
        <v>110</v>
      </c>
      <c r="B29">
        <v>114</v>
      </c>
      <c r="C29" s="697">
        <v>2139839.4721013606</v>
      </c>
      <c r="D29" s="697">
        <v>19294.567777627846</v>
      </c>
      <c r="E29" s="697">
        <f t="shared" si="3"/>
        <v>1643073.1358217562</v>
      </c>
      <c r="F29" s="697">
        <f t="shared" si="2"/>
        <v>53154588.224399649</v>
      </c>
      <c r="G29" s="163">
        <f t="shared" si="0"/>
        <v>0.90570180783624643</v>
      </c>
      <c r="H29" s="163">
        <f t="shared" si="1"/>
        <v>0.65340597033432302</v>
      </c>
    </row>
    <row r="30" spans="1:8">
      <c r="A30">
        <v>115</v>
      </c>
      <c r="B30">
        <v>119</v>
      </c>
      <c r="C30" s="697">
        <v>2041673.3682521433</v>
      </c>
      <c r="D30" s="697">
        <v>17624.381754377158</v>
      </c>
      <c r="E30" s="697">
        <f t="shared" si="3"/>
        <v>1660697.5175761334</v>
      </c>
      <c r="F30" s="697">
        <f t="shared" si="2"/>
        <v>55196261.592651792</v>
      </c>
      <c r="G30" s="163">
        <f t="shared" si="0"/>
        <v>0.91541679499593376</v>
      </c>
      <c r="H30" s="163">
        <f t="shared" si="1"/>
        <v>0.67850336291794522</v>
      </c>
    </row>
    <row r="31" spans="1:8">
      <c r="A31">
        <v>120</v>
      </c>
      <c r="B31">
        <v>124</v>
      </c>
      <c r="C31" s="697">
        <v>1923885.5922351852</v>
      </c>
      <c r="D31" s="697">
        <v>15922.038118163589</v>
      </c>
      <c r="E31" s="697">
        <f t="shared" si="3"/>
        <v>1676619.555694297</v>
      </c>
      <c r="F31" s="697">
        <f t="shared" si="2"/>
        <v>57120147.184886977</v>
      </c>
      <c r="G31" s="163">
        <f t="shared" si="0"/>
        <v>0.92419340900882496</v>
      </c>
      <c r="H31" s="163">
        <f t="shared" si="1"/>
        <v>0.70215284218584428</v>
      </c>
    </row>
    <row r="32" spans="1:8">
      <c r="A32">
        <v>125</v>
      </c>
      <c r="B32">
        <v>129</v>
      </c>
      <c r="C32" s="697">
        <v>1808886.40537747</v>
      </c>
      <c r="D32" s="697">
        <v>14377.467770549003</v>
      </c>
      <c r="E32" s="697">
        <f t="shared" si="3"/>
        <v>1690997.023464846</v>
      </c>
      <c r="F32" s="697">
        <f t="shared" si="2"/>
        <v>58929033.590264447</v>
      </c>
      <c r="G32" s="163">
        <f t="shared" si="0"/>
        <v>0.93211861834248066</v>
      </c>
      <c r="H32" s="163">
        <f t="shared" si="1"/>
        <v>0.72438868703785442</v>
      </c>
    </row>
    <row r="33" spans="1:8">
      <c r="A33">
        <v>130</v>
      </c>
      <c r="B33">
        <v>134</v>
      </c>
      <c r="C33" s="697">
        <v>1612376.9863723144</v>
      </c>
      <c r="D33" s="697">
        <v>12332.444571200991</v>
      </c>
      <c r="E33" s="697">
        <f t="shared" si="3"/>
        <v>1703329.468036047</v>
      </c>
      <c r="F33" s="697">
        <f t="shared" si="2"/>
        <v>60541410.576636761</v>
      </c>
      <c r="G33" s="163">
        <f t="shared" si="0"/>
        <v>0.93891656123355649</v>
      </c>
      <c r="H33" s="163">
        <f t="shared" si="1"/>
        <v>0.74420892804654548</v>
      </c>
    </row>
    <row r="34" spans="1:8">
      <c r="A34">
        <v>135</v>
      </c>
      <c r="B34">
        <v>139</v>
      </c>
      <c r="C34" s="697">
        <v>1539989.154248789</v>
      </c>
      <c r="D34" s="697">
        <v>11354.65215205308</v>
      </c>
      <c r="E34" s="697">
        <f t="shared" si="3"/>
        <v>1714684.1201881</v>
      </c>
      <c r="F34" s="697">
        <f t="shared" si="2"/>
        <v>62081399.73088555</v>
      </c>
      <c r="G34" s="163">
        <f t="shared" si="0"/>
        <v>0.94517552120147219</v>
      </c>
      <c r="H34" s="163">
        <f t="shared" si="1"/>
        <v>0.76313933727835603</v>
      </c>
    </row>
    <row r="35" spans="1:8">
      <c r="A35">
        <v>140</v>
      </c>
      <c r="B35">
        <v>144</v>
      </c>
      <c r="C35" s="697">
        <v>1447181.203507714</v>
      </c>
      <c r="D35" s="697">
        <v>10292.445998877985</v>
      </c>
      <c r="E35" s="697">
        <f t="shared" si="3"/>
        <v>1724976.566186978</v>
      </c>
      <c r="F35" s="697">
        <f t="shared" si="2"/>
        <v>63528580.934393264</v>
      </c>
      <c r="G35" s="163">
        <f t="shared" si="0"/>
        <v>0.95084896734638691</v>
      </c>
      <c r="H35" s="163">
        <f t="shared" si="1"/>
        <v>0.78092889919793251</v>
      </c>
    </row>
    <row r="36" spans="1:8">
      <c r="A36">
        <v>145</v>
      </c>
      <c r="B36">
        <v>149</v>
      </c>
      <c r="C36" s="697">
        <v>1317565.0705458298</v>
      </c>
      <c r="D36" s="697">
        <v>9051.3631235989742</v>
      </c>
      <c r="E36" s="697">
        <f t="shared" si="3"/>
        <v>1734027.929310577</v>
      </c>
      <c r="F36" s="697">
        <f t="shared" si="2"/>
        <v>64846146.004939094</v>
      </c>
      <c r="G36" s="163">
        <f t="shared" si="0"/>
        <v>0.9558382984757805</v>
      </c>
      <c r="H36" s="163">
        <f t="shared" si="1"/>
        <v>0.7971251470131574</v>
      </c>
    </row>
    <row r="37" spans="1:8">
      <c r="A37">
        <v>150</v>
      </c>
      <c r="B37">
        <v>154</v>
      </c>
      <c r="C37" s="697">
        <v>1203702.8236453608</v>
      </c>
      <c r="D37" s="697">
        <v>7994.1815974495839</v>
      </c>
      <c r="E37" s="697">
        <f t="shared" si="3"/>
        <v>1742022.1109080266</v>
      </c>
      <c r="F37" s="697">
        <f t="shared" si="2"/>
        <v>66049848.828584455</v>
      </c>
      <c r="G37" s="163">
        <f t="shared" si="0"/>
        <v>0.96024488547859232</v>
      </c>
      <c r="H37" s="163">
        <f t="shared" si="1"/>
        <v>0.81192173631524756</v>
      </c>
    </row>
    <row r="38" spans="1:8">
      <c r="A38">
        <v>155</v>
      </c>
      <c r="B38">
        <v>159</v>
      </c>
      <c r="C38" s="697">
        <v>1122554.97866451</v>
      </c>
      <c r="D38" s="697">
        <v>7220.389035535045</v>
      </c>
      <c r="E38" s="697">
        <f t="shared" si="3"/>
        <v>1749242.4999435616</v>
      </c>
      <c r="F38" s="697">
        <f t="shared" si="2"/>
        <v>67172403.807248965</v>
      </c>
      <c r="G38" s="163">
        <f t="shared" si="0"/>
        <v>0.96422493923286079</v>
      </c>
      <c r="H38" s="163">
        <f t="shared" si="1"/>
        <v>0.82572081085593263</v>
      </c>
    </row>
    <row r="39" spans="1:8">
      <c r="A39">
        <v>160</v>
      </c>
      <c r="B39">
        <v>164</v>
      </c>
      <c r="C39" s="697">
        <v>1025339.6433434784</v>
      </c>
      <c r="D39" s="697">
        <v>6391.3255763391498</v>
      </c>
      <c r="E39" s="697">
        <f t="shared" si="3"/>
        <v>1755633.8255199008</v>
      </c>
      <c r="F39" s="697">
        <f t="shared" si="2"/>
        <v>68197743.450592443</v>
      </c>
      <c r="G39" s="163">
        <f t="shared" si="0"/>
        <v>0.96774799307797477</v>
      </c>
      <c r="H39" s="163">
        <f t="shared" si="1"/>
        <v>0.83832486004455109</v>
      </c>
    </row>
    <row r="40" spans="1:8">
      <c r="A40">
        <v>165</v>
      </c>
      <c r="B40">
        <v>169</v>
      </c>
      <c r="C40" s="697">
        <v>967826.60973122716</v>
      </c>
      <c r="D40" s="697">
        <v>5851.6806338084862</v>
      </c>
      <c r="E40" s="697">
        <f t="shared" si="3"/>
        <v>1761485.5061537093</v>
      </c>
      <c r="F40" s="697">
        <f t="shared" si="2"/>
        <v>69165570.060323671</v>
      </c>
      <c r="G40" s="163">
        <f t="shared" si="0"/>
        <v>0.97097358152767588</v>
      </c>
      <c r="H40" s="163">
        <f t="shared" si="1"/>
        <v>0.85022192681096287</v>
      </c>
    </row>
    <row r="41" spans="1:8">
      <c r="A41">
        <v>170</v>
      </c>
      <c r="B41">
        <v>174</v>
      </c>
      <c r="C41" s="697">
        <v>846910.75547832251</v>
      </c>
      <c r="D41" s="697">
        <v>4970.3610535489861</v>
      </c>
      <c r="E41" s="697">
        <f t="shared" si="3"/>
        <v>1766455.8672072582</v>
      </c>
      <c r="F41" s="697">
        <f t="shared" si="2"/>
        <v>70012480.815801993</v>
      </c>
      <c r="G41" s="163">
        <f t="shared" si="0"/>
        <v>0.97371336522546403</v>
      </c>
      <c r="H41" s="163">
        <f t="shared" si="1"/>
        <v>0.86063262817193908</v>
      </c>
    </row>
    <row r="42" spans="1:8">
      <c r="A42">
        <v>175</v>
      </c>
      <c r="B42">
        <v>179</v>
      </c>
      <c r="C42" s="697">
        <v>787036.2318675667</v>
      </c>
      <c r="D42" s="697">
        <v>4490.0067099197768</v>
      </c>
      <c r="E42" s="697">
        <f t="shared" si="3"/>
        <v>1770945.873917178</v>
      </c>
      <c r="F42" s="697">
        <f t="shared" si="2"/>
        <v>70799517.04766956</v>
      </c>
      <c r="G42" s="163">
        <f t="shared" si="0"/>
        <v>0.97618836594558556</v>
      </c>
      <c r="H42" s="163">
        <f t="shared" si="1"/>
        <v>0.8703073183529767</v>
      </c>
    </row>
    <row r="43" spans="1:8">
      <c r="A43">
        <v>180</v>
      </c>
      <c r="B43">
        <v>184</v>
      </c>
      <c r="C43" s="697">
        <v>717524.59898766875</v>
      </c>
      <c r="D43" s="697">
        <v>3979.50460413564</v>
      </c>
      <c r="E43" s="697">
        <f t="shared" si="3"/>
        <v>1774925.3785213137</v>
      </c>
      <c r="F43" s="697">
        <f t="shared" si="2"/>
        <v>71517041.646657228</v>
      </c>
      <c r="G43" s="163">
        <f t="shared" si="0"/>
        <v>0.9783819655095245</v>
      </c>
      <c r="H43" s="163">
        <f t="shared" si="1"/>
        <v>0.87912753260919541</v>
      </c>
    </row>
    <row r="44" spans="1:8">
      <c r="A44">
        <v>185</v>
      </c>
      <c r="B44">
        <v>189</v>
      </c>
      <c r="C44" s="697">
        <v>663493.07065586746</v>
      </c>
      <c r="D44" s="697">
        <v>3582.5590691275429</v>
      </c>
      <c r="E44" s="697">
        <f t="shared" si="3"/>
        <v>1778507.9375904412</v>
      </c>
      <c r="F44" s="697">
        <f t="shared" si="2"/>
        <v>72180534.717313096</v>
      </c>
      <c r="G44" s="163">
        <f t="shared" si="0"/>
        <v>0.98035675905635355</v>
      </c>
      <c r="H44" s="163">
        <f t="shared" si="1"/>
        <v>0.88728356105610551</v>
      </c>
    </row>
    <row r="45" spans="1:8">
      <c r="A45">
        <v>190</v>
      </c>
      <c r="B45">
        <v>194</v>
      </c>
      <c r="C45" s="697">
        <v>628348.48446694016</v>
      </c>
      <c r="D45" s="697">
        <v>3304.1947319176979</v>
      </c>
      <c r="E45" s="697">
        <f t="shared" si="3"/>
        <v>1781812.1323223589</v>
      </c>
      <c r="F45" s="697">
        <f t="shared" si="2"/>
        <v>72808883.201780036</v>
      </c>
      <c r="G45" s="163">
        <f t="shared" si="0"/>
        <v>0.98217811142156286</v>
      </c>
      <c r="H45" s="163">
        <f t="shared" si="1"/>
        <v>0.89500757256510188</v>
      </c>
    </row>
    <row r="46" spans="1:8">
      <c r="A46">
        <v>195</v>
      </c>
      <c r="B46">
        <v>199</v>
      </c>
      <c r="C46" s="697">
        <v>573896.82595837116</v>
      </c>
      <c r="D46" s="697">
        <v>2940.4117352783214</v>
      </c>
      <c r="E46" s="697">
        <f t="shared" si="3"/>
        <v>1784752.5440576372</v>
      </c>
      <c r="F46" s="697">
        <f t="shared" si="2"/>
        <v>73382780.027738407</v>
      </c>
      <c r="G46" s="163">
        <f t="shared" si="0"/>
        <v>0.983798937766029</v>
      </c>
      <c r="H46" s="163">
        <f t="shared" si="1"/>
        <v>0.90206223378934192</v>
      </c>
    </row>
    <row r="47" spans="1:8">
      <c r="A47">
        <v>200</v>
      </c>
      <c r="B47">
        <v>299</v>
      </c>
      <c r="C47" s="697">
        <v>5377361.6190583706</v>
      </c>
      <c r="D47" s="697">
        <v>23182.624169901013</v>
      </c>
      <c r="E47" s="697">
        <f t="shared" si="3"/>
        <v>1807935.1682275382</v>
      </c>
      <c r="F47" s="697">
        <f t="shared" si="2"/>
        <v>78760141.646796778</v>
      </c>
      <c r="G47" s="163">
        <f t="shared" si="0"/>
        <v>0.99657776310454105</v>
      </c>
      <c r="H47" s="163">
        <f t="shared" si="1"/>
        <v>0.96816377467055836</v>
      </c>
    </row>
    <row r="48" spans="1:8">
      <c r="A48">
        <v>300</v>
      </c>
      <c r="B48">
        <v>399</v>
      </c>
      <c r="C48" s="697">
        <v>1337279.3306435943</v>
      </c>
      <c r="D48" s="697">
        <v>3998.5981868335512</v>
      </c>
      <c r="E48" s="697">
        <f t="shared" si="3"/>
        <v>1811933.7664143718</v>
      </c>
      <c r="F48" s="697">
        <f t="shared" si="2"/>
        <v>80097420.977440372</v>
      </c>
      <c r="G48" s="163">
        <f t="shared" si="0"/>
        <v>0.99878188751487329</v>
      </c>
      <c r="H48" s="163">
        <f t="shared" si="1"/>
        <v>0.98460236121286016</v>
      </c>
    </row>
    <row r="49" spans="1:8">
      <c r="A49">
        <v>400</v>
      </c>
      <c r="B49">
        <v>499</v>
      </c>
      <c r="C49" s="697">
        <v>523380.65225768089</v>
      </c>
      <c r="D49" s="697">
        <v>1199.8809336707927</v>
      </c>
      <c r="E49" s="697">
        <f t="shared" si="3"/>
        <v>1813133.6473480426</v>
      </c>
      <c r="F49" s="697">
        <f t="shared" si="2"/>
        <v>80620801.629698053</v>
      </c>
      <c r="G49" s="163">
        <f t="shared" si="0"/>
        <v>0.99944329101975771</v>
      </c>
      <c r="H49" s="163">
        <f t="shared" si="1"/>
        <v>0.99103604933586709</v>
      </c>
    </row>
    <row r="50" spans="1:8">
      <c r="A50">
        <v>500</v>
      </c>
      <c r="B50">
        <v>999</v>
      </c>
      <c r="C50" s="697">
        <v>559816.49162021279</v>
      </c>
      <c r="D50" s="697">
        <v>898.40331214666367</v>
      </c>
      <c r="E50" s="697">
        <f t="shared" si="3"/>
        <v>1814032.0506601892</v>
      </c>
      <c r="F50" s="697">
        <f t="shared" si="2"/>
        <v>81180618.121318266</v>
      </c>
      <c r="G50" s="163">
        <f t="shared" si="0"/>
        <v>0.99993851273949597</v>
      </c>
      <c r="H50" s="163">
        <f t="shared" si="1"/>
        <v>0.99791762720402843</v>
      </c>
    </row>
    <row r="51" spans="1:8">
      <c r="A51">
        <v>1000</v>
      </c>
      <c r="B51">
        <v>1999</v>
      </c>
      <c r="C51" s="697">
        <v>125114.1693136692</v>
      </c>
      <c r="D51" s="697">
        <v>95.467913482803851</v>
      </c>
      <c r="E51" s="697">
        <f t="shared" si="3"/>
        <v>1814127.518573672</v>
      </c>
      <c r="F51" s="697">
        <f t="shared" si="2"/>
        <v>81305732.290631935</v>
      </c>
      <c r="G51" s="163">
        <f t="shared" si="0"/>
        <v>0.99999113697145903</v>
      </c>
      <c r="H51" s="163">
        <f t="shared" si="1"/>
        <v>0.99945560064966688</v>
      </c>
    </row>
    <row r="52" spans="1:8">
      <c r="A52">
        <v>2000</v>
      </c>
      <c r="B52">
        <v>10000</v>
      </c>
      <c r="C52" s="697">
        <v>44286.897595658898</v>
      </c>
      <c r="D52" s="697">
        <v>16.078806481091306</v>
      </c>
      <c r="E52" s="697">
        <f t="shared" si="3"/>
        <v>1814143.5973801531</v>
      </c>
      <c r="F52" s="697">
        <f t="shared" si="2"/>
        <v>81350019.188227594</v>
      </c>
      <c r="G52" s="163">
        <f t="shared" si="0"/>
        <v>1</v>
      </c>
      <c r="H52" s="163">
        <f t="shared" si="1"/>
        <v>1</v>
      </c>
    </row>
    <row r="53" spans="1:8">
      <c r="C53" s="697"/>
      <c r="D53" s="697"/>
      <c r="E53" s="697"/>
      <c r="F53" s="697"/>
    </row>
    <row r="54" spans="1:8">
      <c r="A54" s="685"/>
      <c r="B54" s="686"/>
      <c r="D54" s="687" t="s">
        <v>912</v>
      </c>
      <c r="E54" s="688">
        <f>MAX(E6:E52)/12</f>
        <v>151178.63311501275</v>
      </c>
    </row>
    <row r="55" spans="1:8">
      <c r="A55" s="685"/>
      <c r="B55" s="686"/>
      <c r="D55" s="687" t="s">
        <v>913</v>
      </c>
      <c r="E55" s="688">
        <f>MAX(F6:F52)/E54/12</f>
        <v>44.842105832033944</v>
      </c>
    </row>
    <row r="56" spans="1:8">
      <c r="A56" s="689"/>
      <c r="B56" s="690"/>
      <c r="D56" s="691" t="s">
        <v>914</v>
      </c>
      <c r="E56" s="692">
        <f>VLOOKUP(B3,[17]!Percentiles_All_Bills,9,0)</f>
        <v>25</v>
      </c>
    </row>
  </sheetData>
  <conditionalFormatting sqref="M2:M3">
    <cfRule type="cellIs" dxfId="66" priority="1" operator="equal">
      <formula>0</formula>
    </cfRule>
    <cfRule type="cellIs" dxfId="65" priority="2" operator="lessThan">
      <formula>0</formula>
    </cfRule>
    <cfRule type="cellIs" dxfId="64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95F97-0887-4533-AC24-823A5589193B}">
  <sheetPr codeName="Sheet65">
    <tabColor theme="9" tint="0.79998168889431442"/>
  </sheetPr>
  <dimension ref="A1:M53"/>
  <sheetViews>
    <sheetView zoomScale="80" zoomScaleNormal="80" workbookViewId="0"/>
  </sheetViews>
  <sheetFormatPr defaultRowHeight="15"/>
  <cols>
    <col min="1" max="1" width="25" customWidth="1"/>
    <col min="2" max="2" width="11.14062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Residential CARES Gas Service</v>
      </c>
      <c r="J1" s="682" t="s">
        <v>518</v>
      </c>
      <c r="K1" s="682"/>
      <c r="L1" s="682" t="s">
        <v>898</v>
      </c>
      <c r="M1" s="682" t="s">
        <v>48</v>
      </c>
    </row>
    <row r="2" spans="1:13">
      <c r="A2" t="s">
        <v>899</v>
      </c>
      <c r="B2" t="s">
        <v>518</v>
      </c>
      <c r="J2" s="682" t="s">
        <v>900</v>
      </c>
      <c r="K2" s="683">
        <f>'GRRESC Adjusted'!E49</f>
        <v>69685.695402055382</v>
      </c>
      <c r="L2" s="683">
        <f>VLOOKUP($J1,Summary!$B:$P,7,0)</f>
        <v>69685.695402055382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5752</v>
      </c>
      <c r="J3" s="682" t="s">
        <v>902</v>
      </c>
      <c r="K3" s="683">
        <f>'GRRESC Adjusted'!F49</f>
        <v>2494386.7258533677</v>
      </c>
      <c r="L3" s="683">
        <f>VLOOKUP($J1,Summary!$B:$P,8,0)</f>
        <v>2494386.7258533677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4</v>
      </c>
      <c r="C7" s="697">
        <v>14414.728759147412</v>
      </c>
      <c r="D7" s="697">
        <v>6396.0658100353139</v>
      </c>
      <c r="E7" s="697">
        <f>D7</f>
        <v>6396.0658100353139</v>
      </c>
      <c r="F7" s="697">
        <f>C7</f>
        <v>14414.728759147412</v>
      </c>
      <c r="G7" s="163">
        <f t="shared" ref="G7:G49" si="0">E7/MAX($E$7:$E$50)</f>
        <v>9.1784487090684347E-2</v>
      </c>
      <c r="H7" s="163">
        <f t="shared" ref="H7:H49" si="1">F7/MAX($F$7:$F$50)</f>
        <v>5.7788668492115688E-3</v>
      </c>
    </row>
    <row r="8" spans="1:13">
      <c r="A8">
        <v>5</v>
      </c>
      <c r="B8">
        <v>9</v>
      </c>
      <c r="C8" s="697">
        <v>76235.915129854926</v>
      </c>
      <c r="D8" s="697">
        <v>11351.644469600997</v>
      </c>
      <c r="E8" s="697">
        <f>E7+D8</f>
        <v>17747.710279636311</v>
      </c>
      <c r="F8" s="697">
        <f>F7+C8</f>
        <v>90650.643889002342</v>
      </c>
      <c r="G8" s="163">
        <f t="shared" si="0"/>
        <v>0.25468225834929159</v>
      </c>
      <c r="H8" s="163">
        <f t="shared" si="1"/>
        <v>3.6341856276511965E-2</v>
      </c>
    </row>
    <row r="9" spans="1:13">
      <c r="A9">
        <v>10</v>
      </c>
      <c r="B9">
        <v>14</v>
      </c>
      <c r="C9" s="697">
        <v>100853.4080458377</v>
      </c>
      <c r="D9" s="697">
        <v>8772.5856752319341</v>
      </c>
      <c r="E9" s="697">
        <f>E8+D9</f>
        <v>26520.295954868245</v>
      </c>
      <c r="F9" s="697">
        <f t="shared" ref="F9:F49" si="2">F8+C9</f>
        <v>191504.05193484004</v>
      </c>
      <c r="G9" s="163">
        <f t="shared" si="0"/>
        <v>0.38057015578101022</v>
      </c>
      <c r="H9" s="163">
        <f t="shared" si="1"/>
        <v>7.6774002182569981E-2</v>
      </c>
    </row>
    <row r="10" spans="1:13">
      <c r="A10">
        <v>15</v>
      </c>
      <c r="B10">
        <v>19</v>
      </c>
      <c r="C10" s="697">
        <v>116886.8490041258</v>
      </c>
      <c r="D10" s="697">
        <v>7122.9344904299687</v>
      </c>
      <c r="E10" s="697">
        <f t="shared" ref="E10:E49" si="3">E9+D10</f>
        <v>33643.230445298213</v>
      </c>
      <c r="F10" s="697">
        <f t="shared" si="2"/>
        <v>308390.90093896585</v>
      </c>
      <c r="G10" s="163">
        <f t="shared" si="0"/>
        <v>0.48278531556859378</v>
      </c>
      <c r="H10" s="163">
        <f t="shared" si="1"/>
        <v>0.12363395689313597</v>
      </c>
    </row>
    <row r="11" spans="1:13">
      <c r="A11">
        <v>20</v>
      </c>
      <c r="B11">
        <v>24</v>
      </c>
      <c r="C11" s="697">
        <v>95489.295817986014</v>
      </c>
      <c r="D11" s="697">
        <v>4485.1961932165432</v>
      </c>
      <c r="E11" s="697">
        <f t="shared" si="3"/>
        <v>38128.426638514757</v>
      </c>
      <c r="F11" s="697">
        <f t="shared" si="2"/>
        <v>403880.19675695186</v>
      </c>
      <c r="G11" s="163">
        <f t="shared" si="0"/>
        <v>0.54714854201469532</v>
      </c>
      <c r="H11" s="163">
        <f t="shared" si="1"/>
        <v>0.1619156294294255</v>
      </c>
    </row>
    <row r="12" spans="1:13">
      <c r="A12">
        <v>25</v>
      </c>
      <c r="B12">
        <v>29</v>
      </c>
      <c r="C12" s="697">
        <v>91715.368172348361</v>
      </c>
      <c r="D12" s="697">
        <v>3503.7341859648732</v>
      </c>
      <c r="E12" s="697">
        <f t="shared" si="3"/>
        <v>41632.16082447963</v>
      </c>
      <c r="F12" s="697">
        <f t="shared" si="2"/>
        <v>495595.56492930022</v>
      </c>
      <c r="G12" s="163">
        <f t="shared" si="0"/>
        <v>0.59742764399896753</v>
      </c>
      <c r="H12" s="163">
        <f t="shared" si="1"/>
        <v>0.19868433382548145</v>
      </c>
    </row>
    <row r="13" spans="1:13">
      <c r="A13">
        <v>30</v>
      </c>
      <c r="B13">
        <v>34</v>
      </c>
      <c r="C13" s="697">
        <v>86656.777519320371</v>
      </c>
      <c r="D13" s="697">
        <v>2790.1157158899368</v>
      </c>
      <c r="E13" s="697">
        <f t="shared" si="3"/>
        <v>44422.276540369567</v>
      </c>
      <c r="F13" s="697">
        <f t="shared" si="2"/>
        <v>582252.34244862059</v>
      </c>
      <c r="G13" s="163">
        <f t="shared" si="0"/>
        <v>0.63746621575737805</v>
      </c>
      <c r="H13" s="163">
        <f t="shared" si="1"/>
        <v>0.23342504849540649</v>
      </c>
    </row>
    <row r="14" spans="1:13">
      <c r="A14">
        <v>35</v>
      </c>
      <c r="B14">
        <v>39</v>
      </c>
      <c r="C14" s="697">
        <v>84047.880939124851</v>
      </c>
      <c r="D14" s="697">
        <v>2340.5550086145886</v>
      </c>
      <c r="E14" s="697">
        <f t="shared" si="3"/>
        <v>46762.831548984155</v>
      </c>
      <c r="F14" s="697">
        <f t="shared" si="2"/>
        <v>666300.22338774544</v>
      </c>
      <c r="G14" s="163">
        <f t="shared" si="0"/>
        <v>0.67105352510559702</v>
      </c>
      <c r="H14" s="163">
        <f t="shared" si="1"/>
        <v>0.26711985614812556</v>
      </c>
    </row>
    <row r="15" spans="1:13">
      <c r="A15">
        <v>40</v>
      </c>
      <c r="B15">
        <v>44</v>
      </c>
      <c r="C15" s="697">
        <v>90791.441482219263</v>
      </c>
      <c r="D15" s="697">
        <v>2226.035333708649</v>
      </c>
      <c r="E15" s="697">
        <f t="shared" si="3"/>
        <v>48988.866882692804</v>
      </c>
      <c r="F15" s="697">
        <f t="shared" si="2"/>
        <v>757091.6648699647</v>
      </c>
      <c r="G15" s="163">
        <f t="shared" si="0"/>
        <v>0.7029974602398511</v>
      </c>
      <c r="H15" s="163">
        <f t="shared" si="1"/>
        <v>0.30351815820016925</v>
      </c>
    </row>
    <row r="16" spans="1:13">
      <c r="A16">
        <v>45</v>
      </c>
      <c r="B16">
        <v>49</v>
      </c>
      <c r="C16" s="697">
        <v>86619.967691028607</v>
      </c>
      <c r="D16" s="697">
        <v>1897.6194064990923</v>
      </c>
      <c r="E16" s="697">
        <f t="shared" si="3"/>
        <v>50886.486289191897</v>
      </c>
      <c r="F16" s="697">
        <f t="shared" si="2"/>
        <v>843711.63256099331</v>
      </c>
      <c r="G16" s="163">
        <f t="shared" si="0"/>
        <v>0.73022857841339694</v>
      </c>
      <c r="H16" s="163">
        <f t="shared" si="1"/>
        <v>0.3382441158045959</v>
      </c>
    </row>
    <row r="17" spans="1:8">
      <c r="A17">
        <v>50</v>
      </c>
      <c r="B17">
        <v>54</v>
      </c>
      <c r="C17" s="697">
        <v>93296.350297489436</v>
      </c>
      <c r="D17" s="697">
        <v>1845.5650088145921</v>
      </c>
      <c r="E17" s="697">
        <f t="shared" si="3"/>
        <v>52732.051298006489</v>
      </c>
      <c r="F17" s="697">
        <f t="shared" si="2"/>
        <v>937007.98285848275</v>
      </c>
      <c r="G17" s="163">
        <f t="shared" si="0"/>
        <v>0.75671270830786819</v>
      </c>
      <c r="H17" s="163">
        <f t="shared" si="1"/>
        <v>0.37564663616381216</v>
      </c>
    </row>
    <row r="18" spans="1:8">
      <c r="A18">
        <v>55</v>
      </c>
      <c r="B18">
        <v>59</v>
      </c>
      <c r="C18" s="697">
        <v>95605.246777106076</v>
      </c>
      <c r="D18" s="697">
        <v>1726.3131159373006</v>
      </c>
      <c r="E18" s="697">
        <f t="shared" si="3"/>
        <v>54458.364413943789</v>
      </c>
      <c r="F18" s="697">
        <f t="shared" si="2"/>
        <v>1032613.2296355888</v>
      </c>
      <c r="G18" s="163">
        <f t="shared" si="0"/>
        <v>0.78148555596300384</v>
      </c>
      <c r="H18" s="163">
        <f t="shared" si="1"/>
        <v>0.41397479345642207</v>
      </c>
    </row>
    <row r="19" spans="1:8">
      <c r="A19">
        <v>60</v>
      </c>
      <c r="B19">
        <v>64</v>
      </c>
      <c r="C19" s="697">
        <v>97235.001924733631</v>
      </c>
      <c r="D19" s="697">
        <v>1612.7398846256401</v>
      </c>
      <c r="E19" s="697">
        <f t="shared" si="3"/>
        <v>56071.104298569429</v>
      </c>
      <c r="F19" s="697">
        <f t="shared" si="2"/>
        <v>1129848.2315603225</v>
      </c>
      <c r="G19" s="163">
        <f t="shared" si="0"/>
        <v>0.80462861100924898</v>
      </c>
      <c r="H19" s="163">
        <f t="shared" si="1"/>
        <v>0.45295631982397766</v>
      </c>
    </row>
    <row r="20" spans="1:8">
      <c r="A20">
        <v>65</v>
      </c>
      <c r="B20">
        <v>69</v>
      </c>
      <c r="C20" s="697">
        <v>91703.404978154227</v>
      </c>
      <c r="D20" s="697">
        <v>1409.254511858926</v>
      </c>
      <c r="E20" s="697">
        <f t="shared" si="3"/>
        <v>57480.358810428355</v>
      </c>
      <c r="F20" s="697">
        <f t="shared" si="2"/>
        <v>1221551.6365384767</v>
      </c>
      <c r="G20" s="163">
        <f t="shared" si="0"/>
        <v>0.82485162096456555</v>
      </c>
      <c r="H20" s="163">
        <f t="shared" si="1"/>
        <v>0.48972022817374689</v>
      </c>
    </row>
    <row r="21" spans="1:8">
      <c r="A21">
        <v>70</v>
      </c>
      <c r="B21">
        <v>74</v>
      </c>
      <c r="C21" s="697">
        <v>98980.708031481598</v>
      </c>
      <c r="D21" s="697">
        <v>1414.9331734245134</v>
      </c>
      <c r="E21" s="697">
        <f t="shared" si="3"/>
        <v>58895.291983852869</v>
      </c>
      <c r="F21" s="697">
        <f t="shared" si="2"/>
        <v>1320532.3445699583</v>
      </c>
      <c r="G21" s="163">
        <f t="shared" si="0"/>
        <v>0.84515612055032674</v>
      </c>
      <c r="H21" s="163">
        <f t="shared" si="1"/>
        <v>0.52940160837256867</v>
      </c>
    </row>
    <row r="22" spans="1:8">
      <c r="A22">
        <v>75</v>
      </c>
      <c r="B22">
        <v>79</v>
      </c>
      <c r="C22" s="697">
        <v>94432.853746005334</v>
      </c>
      <c r="D22" s="697">
        <v>1262.5557547479839</v>
      </c>
      <c r="E22" s="697">
        <f t="shared" si="3"/>
        <v>60157.847738600853</v>
      </c>
      <c r="F22" s="697">
        <f t="shared" si="2"/>
        <v>1414965.1983159636</v>
      </c>
      <c r="G22" s="163">
        <f t="shared" si="0"/>
        <v>0.86327398171915914</v>
      </c>
      <c r="H22" s="163">
        <f t="shared" si="1"/>
        <v>0.56725975312905119</v>
      </c>
    </row>
    <row r="23" spans="1:8">
      <c r="A23">
        <v>80</v>
      </c>
      <c r="B23">
        <v>84</v>
      </c>
      <c r="C23" s="697">
        <v>94778.866131951101</v>
      </c>
      <c r="D23" s="697">
        <v>1189.679597989707</v>
      </c>
      <c r="E23" s="697">
        <f t="shared" si="3"/>
        <v>61347.52733659056</v>
      </c>
      <c r="F23" s="697">
        <f t="shared" si="2"/>
        <v>1509744.0644479147</v>
      </c>
      <c r="G23" s="163">
        <f t="shared" si="0"/>
        <v>0.88034605929728749</v>
      </c>
      <c r="H23" s="163">
        <f t="shared" si="1"/>
        <v>0.60525661430122002</v>
      </c>
    </row>
    <row r="24" spans="1:8">
      <c r="A24">
        <v>85</v>
      </c>
      <c r="B24">
        <v>89</v>
      </c>
      <c r="C24" s="697">
        <v>84184.997549512191</v>
      </c>
      <c r="D24" s="697">
        <v>994.71221757136664</v>
      </c>
      <c r="E24" s="697">
        <f t="shared" si="3"/>
        <v>62342.239554161926</v>
      </c>
      <c r="F24" s="697">
        <f t="shared" si="2"/>
        <v>1593929.0619974269</v>
      </c>
      <c r="G24" s="163">
        <f t="shared" si="0"/>
        <v>0.89462032623015397</v>
      </c>
      <c r="H24" s="163">
        <f t="shared" si="1"/>
        <v>0.63900639202292076</v>
      </c>
    </row>
    <row r="25" spans="1:8">
      <c r="A25">
        <v>90</v>
      </c>
      <c r="B25">
        <v>94</v>
      </c>
      <c r="C25" s="697">
        <v>79780.701594374608</v>
      </c>
      <c r="D25" s="697">
        <v>892.49630939082999</v>
      </c>
      <c r="E25" s="697">
        <f t="shared" si="3"/>
        <v>63234.735863552756</v>
      </c>
      <c r="F25" s="697">
        <f t="shared" si="2"/>
        <v>1673709.7635918015</v>
      </c>
      <c r="G25" s="163">
        <f t="shared" si="0"/>
        <v>0.90742777981501843</v>
      </c>
      <c r="H25" s="163">
        <f t="shared" si="1"/>
        <v>0.67099048685772644</v>
      </c>
    </row>
    <row r="26" spans="1:8">
      <c r="A26">
        <v>95</v>
      </c>
      <c r="B26">
        <v>99</v>
      </c>
      <c r="C26" s="697">
        <v>79024.259622973856</v>
      </c>
      <c r="D26" s="697">
        <v>838.54902451780072</v>
      </c>
      <c r="E26" s="697">
        <f t="shared" si="3"/>
        <v>64073.284888070557</v>
      </c>
      <c r="F26" s="697">
        <f t="shared" si="2"/>
        <v>1752734.0232147754</v>
      </c>
      <c r="G26" s="163">
        <f t="shared" si="0"/>
        <v>0.91946108191066012</v>
      </c>
      <c r="H26" s="163">
        <f t="shared" si="1"/>
        <v>0.70267132399653798</v>
      </c>
    </row>
    <row r="27" spans="1:8">
      <c r="A27">
        <v>100</v>
      </c>
      <c r="B27">
        <v>104</v>
      </c>
      <c r="C27" s="697">
        <v>71910.760305544827</v>
      </c>
      <c r="D27" s="697">
        <v>724.97579320612567</v>
      </c>
      <c r="E27" s="697">
        <f t="shared" si="3"/>
        <v>64798.260681276683</v>
      </c>
      <c r="F27" s="697">
        <f t="shared" si="2"/>
        <v>1824644.7835203202</v>
      </c>
      <c r="G27" s="163">
        <f t="shared" si="0"/>
        <v>0.92986459139741118</v>
      </c>
      <c r="H27" s="163">
        <f t="shared" si="1"/>
        <v>0.73150035822776494</v>
      </c>
    </row>
    <row r="28" spans="1:8">
      <c r="A28">
        <v>105</v>
      </c>
      <c r="B28">
        <v>109</v>
      </c>
      <c r="C28" s="697">
        <v>65913.519031070871</v>
      </c>
      <c r="D28" s="697">
        <v>634.11720815682202</v>
      </c>
      <c r="E28" s="697">
        <f t="shared" si="3"/>
        <v>65432.377889433505</v>
      </c>
      <c r="F28" s="697">
        <f t="shared" si="2"/>
        <v>1890558.3025513911</v>
      </c>
      <c r="G28" s="163">
        <f t="shared" si="0"/>
        <v>0.93896426679705025</v>
      </c>
      <c r="H28" s="163">
        <f t="shared" si="1"/>
        <v>0.75792509756264925</v>
      </c>
    </row>
    <row r="29" spans="1:8">
      <c r="A29">
        <v>110</v>
      </c>
      <c r="B29">
        <v>114</v>
      </c>
      <c r="C29" s="697">
        <v>61188.97756979242</v>
      </c>
      <c r="D29" s="697">
        <v>562.1874949927078</v>
      </c>
      <c r="E29" s="697">
        <f t="shared" si="3"/>
        <v>65994.565384426212</v>
      </c>
      <c r="F29" s="697">
        <f t="shared" si="2"/>
        <v>1951747.2801211835</v>
      </c>
      <c r="G29" s="163">
        <f t="shared" si="0"/>
        <v>0.94703174021105774</v>
      </c>
      <c r="H29" s="163">
        <f t="shared" si="1"/>
        <v>0.78245576754080148</v>
      </c>
    </row>
    <row r="30" spans="1:8">
      <c r="A30">
        <v>115</v>
      </c>
      <c r="B30">
        <v>119</v>
      </c>
      <c r="C30" s="697">
        <v>54294.496730700601</v>
      </c>
      <c r="D30" s="697">
        <v>477.9540151033143</v>
      </c>
      <c r="E30" s="697">
        <f t="shared" si="3"/>
        <v>66472.519399529527</v>
      </c>
      <c r="F30" s="697">
        <f t="shared" si="2"/>
        <v>2006041.7768518841</v>
      </c>
      <c r="G30" s="163">
        <f t="shared" si="0"/>
        <v>0.95389045077347279</v>
      </c>
      <c r="H30" s="163">
        <f t="shared" si="1"/>
        <v>0.80422243915108493</v>
      </c>
    </row>
    <row r="31" spans="1:8">
      <c r="A31">
        <v>120</v>
      </c>
      <c r="B31">
        <v>124</v>
      </c>
      <c r="C31" s="697">
        <v>54782.226955570048</v>
      </c>
      <c r="D31" s="697">
        <v>461.86447400077304</v>
      </c>
      <c r="E31" s="697">
        <f t="shared" si="3"/>
        <v>66934.3838735303</v>
      </c>
      <c r="F31" s="697">
        <f t="shared" si="2"/>
        <v>2060824.0038074541</v>
      </c>
      <c r="G31" s="163">
        <f t="shared" si="0"/>
        <v>0.96051827404962753</v>
      </c>
      <c r="H31" s="163">
        <f t="shared" si="1"/>
        <v>0.8261846418792238</v>
      </c>
    </row>
    <row r="32" spans="1:8">
      <c r="A32">
        <v>125</v>
      </c>
      <c r="B32">
        <v>129</v>
      </c>
      <c r="C32" s="697">
        <v>46756.764142206172</v>
      </c>
      <c r="D32" s="697">
        <v>378.57743770552042</v>
      </c>
      <c r="E32" s="697">
        <f t="shared" si="3"/>
        <v>67312.96131123582</v>
      </c>
      <c r="F32" s="697">
        <f t="shared" si="2"/>
        <v>2107580.7679496603</v>
      </c>
      <c r="G32" s="163">
        <f t="shared" si="0"/>
        <v>0.96595091607926209</v>
      </c>
      <c r="H32" s="163">
        <f t="shared" si="1"/>
        <v>0.84492943540205245</v>
      </c>
    </row>
    <row r="33" spans="1:8">
      <c r="A33">
        <v>130</v>
      </c>
      <c r="B33">
        <v>134</v>
      </c>
      <c r="C33" s="697">
        <v>41043.878791287541</v>
      </c>
      <c r="D33" s="697">
        <v>319.8979348612047</v>
      </c>
      <c r="E33" s="697">
        <f t="shared" si="3"/>
        <v>67632.859246097025</v>
      </c>
      <c r="F33" s="697">
        <f t="shared" si="2"/>
        <v>2148624.6467409479</v>
      </c>
      <c r="G33" s="163">
        <f t="shared" si="0"/>
        <v>0.97054149859430394</v>
      </c>
      <c r="H33" s="163">
        <f t="shared" si="1"/>
        <v>0.86138393235951438</v>
      </c>
    </row>
    <row r="34" spans="1:8">
      <c r="A34">
        <v>135</v>
      </c>
      <c r="B34">
        <v>139</v>
      </c>
      <c r="C34" s="697">
        <v>35521.484301780816</v>
      </c>
      <c r="D34" s="697">
        <v>266.89709358240361</v>
      </c>
      <c r="E34" s="697">
        <f t="shared" si="3"/>
        <v>67899.756339679428</v>
      </c>
      <c r="F34" s="697">
        <f t="shared" si="2"/>
        <v>2184146.1310427287</v>
      </c>
      <c r="G34" s="163">
        <f t="shared" si="0"/>
        <v>0.9743715112251965</v>
      </c>
      <c r="H34" s="163">
        <f t="shared" si="1"/>
        <v>0.87562450056556451</v>
      </c>
    </row>
    <row r="35" spans="1:8">
      <c r="A35">
        <v>140</v>
      </c>
      <c r="B35">
        <v>144</v>
      </c>
      <c r="C35" s="697">
        <v>27723.322178120725</v>
      </c>
      <c r="D35" s="697">
        <v>200.64604198395682</v>
      </c>
      <c r="E35" s="697">
        <f t="shared" si="3"/>
        <v>68100.402381663385</v>
      </c>
      <c r="F35" s="697">
        <f t="shared" si="2"/>
        <v>2211869.4532208494</v>
      </c>
      <c r="G35" s="163">
        <f t="shared" si="0"/>
        <v>0.97725081150090332</v>
      </c>
      <c r="H35" s="163">
        <f t="shared" si="1"/>
        <v>0.88673878444575793</v>
      </c>
    </row>
    <row r="36" spans="1:8">
      <c r="A36">
        <v>145</v>
      </c>
      <c r="B36">
        <v>149</v>
      </c>
      <c r="C36" s="697">
        <v>29085.285824923776</v>
      </c>
      <c r="D36" s="697">
        <v>203.48537276672141</v>
      </c>
      <c r="E36" s="697">
        <f t="shared" si="3"/>
        <v>68303.887754430107</v>
      </c>
      <c r="F36" s="697">
        <f t="shared" si="2"/>
        <v>2240954.7390457732</v>
      </c>
      <c r="G36" s="163">
        <f t="shared" si="0"/>
        <v>0.9801708565918319</v>
      </c>
      <c r="H36" s="163">
        <f t="shared" si="1"/>
        <v>0.89839907974939548</v>
      </c>
    </row>
    <row r="37" spans="1:8">
      <c r="A37">
        <v>150</v>
      </c>
      <c r="B37">
        <v>154</v>
      </c>
      <c r="C37" s="697">
        <v>29080.684596387204</v>
      </c>
      <c r="D37" s="697">
        <v>196.86026760686946</v>
      </c>
      <c r="E37" s="697">
        <f t="shared" si="3"/>
        <v>68500.748022036976</v>
      </c>
      <c r="F37" s="697">
        <f t="shared" si="2"/>
        <v>2270035.4236421604</v>
      </c>
      <c r="G37" s="163">
        <f t="shared" si="0"/>
        <v>0.98299583044724193</v>
      </c>
      <c r="H37" s="163">
        <f t="shared" si="1"/>
        <v>0.91005753041984561</v>
      </c>
    </row>
    <row r="38" spans="1:8">
      <c r="A38">
        <v>155</v>
      </c>
      <c r="B38">
        <v>159</v>
      </c>
      <c r="C38" s="697">
        <v>23405.529319468886</v>
      </c>
      <c r="D38" s="697">
        <v>153.32386227077222</v>
      </c>
      <c r="E38" s="697">
        <f t="shared" si="3"/>
        <v>68654.071884307748</v>
      </c>
      <c r="F38" s="697">
        <f t="shared" si="2"/>
        <v>2293440.9529616293</v>
      </c>
      <c r="G38" s="163">
        <f t="shared" si="0"/>
        <v>0.98519605046924441</v>
      </c>
      <c r="H38" s="163">
        <f t="shared" si="1"/>
        <v>0.91944081051706539</v>
      </c>
    </row>
    <row r="39" spans="1:8">
      <c r="A39">
        <v>160</v>
      </c>
      <c r="B39">
        <v>164</v>
      </c>
      <c r="C39" s="697">
        <v>18039.576600202359</v>
      </c>
      <c r="D39" s="697">
        <v>114.51967490592506</v>
      </c>
      <c r="E39" s="697">
        <f t="shared" si="3"/>
        <v>68768.591559213673</v>
      </c>
      <c r="F39" s="697">
        <f t="shared" si="2"/>
        <v>2311480.5295618316</v>
      </c>
      <c r="G39" s="163">
        <f t="shared" si="0"/>
        <v>0.98683942468320895</v>
      </c>
      <c r="H39" s="163">
        <f t="shared" si="1"/>
        <v>0.92667287939124154</v>
      </c>
    </row>
    <row r="40" spans="1:8">
      <c r="A40">
        <v>165</v>
      </c>
      <c r="B40">
        <v>169</v>
      </c>
      <c r="C40" s="697">
        <v>19193.564717155881</v>
      </c>
      <c r="D40" s="697">
        <v>118.30544928299787</v>
      </c>
      <c r="E40" s="697">
        <f t="shared" si="3"/>
        <v>68886.897008496671</v>
      </c>
      <c r="F40" s="697">
        <f t="shared" si="2"/>
        <v>2330674.0942789875</v>
      </c>
      <c r="G40" s="163">
        <f t="shared" si="0"/>
        <v>0.98853712531747007</v>
      </c>
      <c r="H40" s="163">
        <f t="shared" si="1"/>
        <v>0.93436758226879535</v>
      </c>
    </row>
    <row r="41" spans="1:8">
      <c r="A41">
        <v>170</v>
      </c>
      <c r="B41">
        <v>174</v>
      </c>
      <c r="C41" s="697">
        <v>16305.833687649574</v>
      </c>
      <c r="D41" s="697">
        <v>97.483690209206543</v>
      </c>
      <c r="E41" s="697">
        <f t="shared" si="3"/>
        <v>68984.380698705878</v>
      </c>
      <c r="F41" s="697">
        <f t="shared" si="2"/>
        <v>2346979.9279666371</v>
      </c>
      <c r="G41" s="163">
        <f t="shared" si="0"/>
        <v>0.98993603064010149</v>
      </c>
      <c r="H41" s="163">
        <f t="shared" si="1"/>
        <v>0.94090459335799237</v>
      </c>
    </row>
    <row r="42" spans="1:8">
      <c r="A42">
        <v>175</v>
      </c>
      <c r="B42">
        <v>179</v>
      </c>
      <c r="C42" s="697">
        <v>15653.379481174052</v>
      </c>
      <c r="D42" s="697">
        <v>90.858585049281828</v>
      </c>
      <c r="E42" s="697">
        <f t="shared" si="3"/>
        <v>69075.23928375516</v>
      </c>
      <c r="F42" s="697">
        <f t="shared" si="2"/>
        <v>2362633.3074478111</v>
      </c>
      <c r="G42" s="163">
        <f t="shared" si="0"/>
        <v>0.99123986472721315</v>
      </c>
      <c r="H42" s="163">
        <f t="shared" si="1"/>
        <v>0.94718003546122875</v>
      </c>
    </row>
    <row r="43" spans="1:8">
      <c r="A43">
        <v>180</v>
      </c>
      <c r="B43">
        <v>184</v>
      </c>
      <c r="C43" s="697">
        <v>13895.710180229507</v>
      </c>
      <c r="D43" s="697">
        <v>78.554818323929794</v>
      </c>
      <c r="E43" s="697">
        <f t="shared" si="3"/>
        <v>69153.794102079089</v>
      </c>
      <c r="F43" s="697">
        <f t="shared" si="2"/>
        <v>2376529.0176280406</v>
      </c>
      <c r="G43" s="163">
        <f t="shared" si="0"/>
        <v>0.99236713794836284</v>
      </c>
      <c r="H43" s="163">
        <f t="shared" si="1"/>
        <v>0.95275082768691122</v>
      </c>
    </row>
    <row r="44" spans="1:8">
      <c r="A44">
        <v>185</v>
      </c>
      <c r="B44">
        <v>189</v>
      </c>
      <c r="C44" s="697">
        <v>10680.371678923722</v>
      </c>
      <c r="D44" s="697">
        <v>58.679502844373928</v>
      </c>
      <c r="E44" s="697">
        <f t="shared" si="3"/>
        <v>69212.473604923463</v>
      </c>
      <c r="F44" s="697">
        <f t="shared" si="2"/>
        <v>2387209.3893069644</v>
      </c>
      <c r="G44" s="163">
        <f t="shared" si="0"/>
        <v>0.99320919746295644</v>
      </c>
      <c r="H44" s="163">
        <f t="shared" si="1"/>
        <v>0.95703259024130016</v>
      </c>
    </row>
    <row r="45" spans="1:8">
      <c r="A45">
        <v>190</v>
      </c>
      <c r="B45">
        <v>194</v>
      </c>
      <c r="C45" s="697">
        <v>11131.292075500824</v>
      </c>
      <c r="D45" s="697">
        <v>59.62594643860939</v>
      </c>
      <c r="E45" s="697">
        <f t="shared" si="3"/>
        <v>69272.099551362073</v>
      </c>
      <c r="F45" s="697">
        <f t="shared" si="2"/>
        <v>2398340.6813824652</v>
      </c>
      <c r="G45" s="163">
        <f t="shared" si="0"/>
        <v>0.99406483858262384</v>
      </c>
      <c r="H45" s="163">
        <f t="shared" si="1"/>
        <v>0.96149512684804572</v>
      </c>
    </row>
    <row r="46" spans="1:8">
      <c r="A46">
        <v>195</v>
      </c>
      <c r="B46">
        <v>199</v>
      </c>
      <c r="C46" s="697">
        <v>9970.8622385957278</v>
      </c>
      <c r="D46" s="697">
        <v>52.054397684507421</v>
      </c>
      <c r="E46" s="697">
        <f t="shared" si="3"/>
        <v>69324.15394904658</v>
      </c>
      <c r="F46" s="697">
        <f t="shared" si="2"/>
        <v>2408311.5436210609</v>
      </c>
      <c r="G46" s="163">
        <f t="shared" si="0"/>
        <v>0.99481182686169856</v>
      </c>
      <c r="H46" s="163">
        <f t="shared" si="1"/>
        <v>0.96549244696495118</v>
      </c>
    </row>
    <row r="47" spans="1:8">
      <c r="A47">
        <v>200</v>
      </c>
      <c r="B47">
        <v>299</v>
      </c>
      <c r="C47" s="697">
        <v>71383.459515262395</v>
      </c>
      <c r="D47" s="697">
        <v>317.0586040783819</v>
      </c>
      <c r="E47" s="697">
        <f t="shared" si="3"/>
        <v>69641.212553124962</v>
      </c>
      <c r="F47" s="697">
        <f t="shared" si="2"/>
        <v>2479695.0031363233</v>
      </c>
      <c r="G47" s="163">
        <f t="shared" si="0"/>
        <v>0.99936166456151765</v>
      </c>
      <c r="H47" s="163">
        <f t="shared" si="1"/>
        <v>0.99411008623291242</v>
      </c>
    </row>
    <row r="48" spans="1:8">
      <c r="A48">
        <v>300</v>
      </c>
      <c r="B48">
        <v>399</v>
      </c>
      <c r="C48" s="697">
        <v>12012.887463094201</v>
      </c>
      <c r="D48" s="697">
        <v>37.85774377056805</v>
      </c>
      <c r="E48" s="697">
        <f t="shared" si="3"/>
        <v>69679.07029689553</v>
      </c>
      <c r="F48" s="697">
        <f t="shared" si="2"/>
        <v>2491707.8905994175</v>
      </c>
      <c r="G48" s="163">
        <f t="shared" si="0"/>
        <v>0.99990492876448134</v>
      </c>
      <c r="H48" s="163">
        <f t="shared" si="1"/>
        <v>0.99892605455834693</v>
      </c>
    </row>
    <row r="49" spans="1:8">
      <c r="A49">
        <v>400</v>
      </c>
      <c r="B49">
        <v>499</v>
      </c>
      <c r="C49" s="697">
        <v>2678.8352539502084</v>
      </c>
      <c r="D49" s="697">
        <v>6.6251051598519552</v>
      </c>
      <c r="E49" s="697">
        <f t="shared" si="3"/>
        <v>69685.695402055382</v>
      </c>
      <c r="F49" s="697">
        <f t="shared" si="2"/>
        <v>2494386.7258533677</v>
      </c>
      <c r="G49" s="163">
        <f t="shared" si="0"/>
        <v>1</v>
      </c>
      <c r="H49" s="163">
        <f t="shared" si="1"/>
        <v>1</v>
      </c>
    </row>
    <row r="50" spans="1:8">
      <c r="C50" s="697"/>
      <c r="D50" s="697"/>
      <c r="E50" s="697"/>
      <c r="F50" s="697"/>
    </row>
    <row r="51" spans="1:8">
      <c r="A51" s="685"/>
      <c r="B51" s="685"/>
      <c r="C51" s="693" t="s">
        <v>912</v>
      </c>
      <c r="D51" s="694">
        <f>MAX(E6:E50)/12</f>
        <v>5807.1412835046149</v>
      </c>
    </row>
    <row r="52" spans="1:8">
      <c r="A52" s="685"/>
      <c r="B52" s="685"/>
      <c r="C52" s="693" t="s">
        <v>913</v>
      </c>
      <c r="D52" s="694">
        <f>MAX(F6:F50)/D51/12</f>
        <v>35.794817163865112</v>
      </c>
    </row>
    <row r="53" spans="1:8">
      <c r="A53" s="689"/>
      <c r="B53" s="689"/>
      <c r="C53" s="695" t="s">
        <v>914</v>
      </c>
      <c r="D53" s="696">
        <f>VLOOKUP(B3,[17]!Percentiles_All_Bills,9,0)</f>
        <v>21</v>
      </c>
    </row>
  </sheetData>
  <conditionalFormatting sqref="M2:M3">
    <cfRule type="cellIs" dxfId="63" priority="1" operator="equal">
      <formula>0</formula>
    </cfRule>
    <cfRule type="cellIs" dxfId="62" priority="2" operator="lessThan">
      <formula>0</formula>
    </cfRule>
    <cfRule type="cellIs" dxfId="61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300C4-75E5-4DF1-828A-7C97232D8672}">
  <sheetPr codeName="Sheet66">
    <tabColor theme="9" tint="0.79998168889431442"/>
  </sheetPr>
  <dimension ref="A1:M57"/>
  <sheetViews>
    <sheetView view="pageBreakPreview" zoomScale="60" zoomScaleNormal="80" workbookViewId="0"/>
  </sheetViews>
  <sheetFormatPr defaultRowHeight="15"/>
  <cols>
    <col min="1" max="1" width="25" customWidth="1"/>
    <col min="2" max="2" width="9.140625" bestFit="1" customWidth="1"/>
    <col min="3" max="3" width="40.5703125" bestFit="1" customWidth="1"/>
    <col min="4" max="4" width="14.7109375" bestFit="1" customWidth="1"/>
    <col min="5" max="5" width="11.140625" bestFit="1" customWidth="1"/>
    <col min="6" max="6" width="18.42578125" bestFit="1" customWidth="1"/>
    <col min="7" max="7" width="22" style="163" bestFit="1" customWidth="1"/>
    <col min="8" max="8" width="19.85546875" style="163" bestFit="1" customWidth="1"/>
    <col min="9" max="9" width="23.28515625" style="163" bestFit="1" customWidth="1"/>
  </cols>
  <sheetData>
    <row r="1" spans="1:13">
      <c r="A1" s="681" t="str">
        <f>VLOOKUP(B2,'Rate Codes'!$A$1:$C$20,3,0)</f>
        <v>Small Volume Commercial Service</v>
      </c>
      <c r="J1" s="682" t="s">
        <v>521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521</v>
      </c>
      <c r="J2" s="682" t="s">
        <v>900</v>
      </c>
      <c r="K2" s="683">
        <f>'GGSVS Adjusted'!E53</f>
        <v>146536.54071046272</v>
      </c>
      <c r="L2" s="683">
        <f>VLOOKUP($J1,Summary!$B:$P,7,0)</f>
        <v>146536.54071046272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5753</v>
      </c>
      <c r="J3" s="682" t="s">
        <v>902</v>
      </c>
      <c r="K3" s="683">
        <f>'GGSVS Adjusted'!F53</f>
        <v>33757920.187754832</v>
      </c>
      <c r="L3" s="683">
        <f>VLOOKUP($J1,Summary!$B:$P,8,0)</f>
        <v>33757920.187754832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s="163" t="s">
        <v>909</v>
      </c>
      <c r="G6" s="163" t="s">
        <v>910</v>
      </c>
      <c r="H6" s="163" t="s">
        <v>911</v>
      </c>
      <c r="I6"/>
    </row>
    <row r="7" spans="1:13">
      <c r="A7">
        <v>0</v>
      </c>
      <c r="B7">
        <v>9</v>
      </c>
      <c r="C7" s="697">
        <v>96529.000869847601</v>
      </c>
      <c r="D7" s="697">
        <f>C7</f>
        <v>96529.000869847601</v>
      </c>
      <c r="E7" s="697">
        <f>B7</f>
        <v>9</v>
      </c>
      <c r="F7" s="697">
        <f>C7</f>
        <v>96529.000869847601</v>
      </c>
      <c r="G7" s="163">
        <f>E7/MAX($E$7:$E$53)</f>
        <v>6.1418127904239514E-5</v>
      </c>
      <c r="H7" s="163">
        <v>2.8594475113683697E-3</v>
      </c>
      <c r="I7"/>
    </row>
    <row r="8" spans="1:13">
      <c r="A8">
        <v>10</v>
      </c>
      <c r="B8">
        <v>19</v>
      </c>
      <c r="C8" s="697">
        <v>149795.71314488459</v>
      </c>
      <c r="D8" s="697">
        <f>D7+C8</f>
        <v>246324.71401473219</v>
      </c>
      <c r="E8" s="697">
        <f>E7+B8</f>
        <v>28</v>
      </c>
      <c r="F8" s="697">
        <f>F7+C8</f>
        <v>246324.71401473219</v>
      </c>
      <c r="G8" s="163">
        <f t="shared" ref="G8:G53" si="0">E8/MAX($E$7:$E$53)</f>
        <v>1.9107862014652294E-4</v>
      </c>
      <c r="H8" s="163">
        <v>7.2967976890970527E-3</v>
      </c>
      <c r="I8"/>
    </row>
    <row r="9" spans="1:13">
      <c r="A9">
        <v>20</v>
      </c>
      <c r="B9">
        <v>29</v>
      </c>
      <c r="C9" s="697">
        <v>174416.88187035106</v>
      </c>
      <c r="D9" s="697">
        <f>D8+C9</f>
        <v>420741.59588508325</v>
      </c>
      <c r="E9" s="697">
        <f t="shared" ref="E9:F52" si="1">E8+B9</f>
        <v>57</v>
      </c>
      <c r="F9" s="697">
        <f t="shared" si="1"/>
        <v>420741.59588508325</v>
      </c>
      <c r="G9" s="163">
        <f t="shared" si="0"/>
        <v>3.8898147672685026E-4</v>
      </c>
      <c r="H9" s="163">
        <v>1.2463492820203445E-2</v>
      </c>
      <c r="I9"/>
    </row>
    <row r="10" spans="1:13">
      <c r="A10">
        <v>30</v>
      </c>
      <c r="B10">
        <v>39</v>
      </c>
      <c r="C10" s="697">
        <v>191032.85254323151</v>
      </c>
      <c r="D10" s="697">
        <f t="shared" ref="D10:D53" si="2">D9+C10</f>
        <v>611774.44842831476</v>
      </c>
      <c r="E10" s="697">
        <f t="shared" si="1"/>
        <v>96</v>
      </c>
      <c r="F10" s="697">
        <f t="shared" si="1"/>
        <v>611774.44842831476</v>
      </c>
      <c r="G10" s="163">
        <f t="shared" si="0"/>
        <v>6.5512669764522145E-4</v>
      </c>
      <c r="H10" s="163">
        <v>1.8122397500371677E-2</v>
      </c>
      <c r="I10"/>
    </row>
    <row r="11" spans="1:13">
      <c r="A11">
        <v>40</v>
      </c>
      <c r="B11">
        <v>49</v>
      </c>
      <c r="C11" s="697">
        <v>212316.1025470302</v>
      </c>
      <c r="D11" s="697">
        <f t="shared" si="2"/>
        <v>824090.55097534496</v>
      </c>
      <c r="E11" s="697">
        <f t="shared" si="1"/>
        <v>145</v>
      </c>
      <c r="F11" s="697">
        <f t="shared" si="1"/>
        <v>824090.55097534496</v>
      </c>
      <c r="G11" s="163">
        <f t="shared" si="0"/>
        <v>9.8951428290163651E-4</v>
      </c>
      <c r="H11" s="163">
        <v>2.4411769042403008E-2</v>
      </c>
      <c r="I11"/>
    </row>
    <row r="12" spans="1:13">
      <c r="A12">
        <v>50</v>
      </c>
      <c r="B12">
        <v>59</v>
      </c>
      <c r="C12" s="697">
        <v>229239.00827477674</v>
      </c>
      <c r="D12" s="697">
        <f t="shared" si="2"/>
        <v>1053329.5592501217</v>
      </c>
      <c r="E12" s="697">
        <f t="shared" si="1"/>
        <v>204</v>
      </c>
      <c r="F12" s="697">
        <f t="shared" si="1"/>
        <v>1053329.5592501217</v>
      </c>
      <c r="G12" s="163">
        <f t="shared" si="0"/>
        <v>1.3921442324960956E-3</v>
      </c>
      <c r="H12" s="163">
        <v>3.1202442371796375E-2</v>
      </c>
      <c r="I12"/>
    </row>
    <row r="13" spans="1:13">
      <c r="A13">
        <v>60</v>
      </c>
      <c r="B13">
        <v>69</v>
      </c>
      <c r="C13" s="697">
        <v>237520.03309964039</v>
      </c>
      <c r="D13" s="697">
        <f t="shared" si="2"/>
        <v>1290849.5923497621</v>
      </c>
      <c r="E13" s="697">
        <f t="shared" si="1"/>
        <v>273</v>
      </c>
      <c r="F13" s="697">
        <f t="shared" si="1"/>
        <v>1290849.5923497621</v>
      </c>
      <c r="G13" s="163">
        <f t="shared" si="0"/>
        <v>1.8630165464285987E-3</v>
      </c>
      <c r="H13" s="163">
        <v>3.8238421833167259E-2</v>
      </c>
      <c r="I13"/>
    </row>
    <row r="14" spans="1:13">
      <c r="A14">
        <v>70</v>
      </c>
      <c r="B14">
        <v>79</v>
      </c>
      <c r="C14" s="697">
        <v>250934.96149423951</v>
      </c>
      <c r="D14" s="697">
        <f t="shared" si="2"/>
        <v>1541784.5538440016</v>
      </c>
      <c r="E14" s="697">
        <f t="shared" si="1"/>
        <v>352</v>
      </c>
      <c r="F14" s="697">
        <f t="shared" si="1"/>
        <v>1541784.5538440016</v>
      </c>
      <c r="G14" s="163">
        <f t="shared" si="0"/>
        <v>2.4021312246991452E-3</v>
      </c>
      <c r="H14" s="163">
        <v>4.5671787398894922E-2</v>
      </c>
      <c r="I14"/>
    </row>
    <row r="15" spans="1:13">
      <c r="A15">
        <v>80</v>
      </c>
      <c r="B15">
        <v>89</v>
      </c>
      <c r="C15" s="697">
        <v>263573.21976689738</v>
      </c>
      <c r="D15" s="697">
        <f t="shared" si="2"/>
        <v>1805357.773610899</v>
      </c>
      <c r="E15" s="697">
        <f t="shared" si="1"/>
        <v>441</v>
      </c>
      <c r="F15" s="697">
        <f t="shared" si="1"/>
        <v>1805357.773610899</v>
      </c>
      <c r="G15" s="163">
        <f t="shared" si="0"/>
        <v>3.0094882673077361E-3</v>
      </c>
      <c r="H15" s="163">
        <v>5.3479532020037322E-2</v>
      </c>
      <c r="I15"/>
    </row>
    <row r="16" spans="1:13">
      <c r="A16">
        <v>90</v>
      </c>
      <c r="B16">
        <v>99</v>
      </c>
      <c r="C16" s="697">
        <v>260542.23610009602</v>
      </c>
      <c r="D16" s="697">
        <f t="shared" si="2"/>
        <v>2065900.009710995</v>
      </c>
      <c r="E16" s="697">
        <f t="shared" si="1"/>
        <v>540</v>
      </c>
      <c r="F16" s="697">
        <f t="shared" si="1"/>
        <v>2065900.009710995</v>
      </c>
      <c r="G16" s="163">
        <f t="shared" si="0"/>
        <v>3.6850876742543707E-3</v>
      </c>
      <c r="H16" s="163">
        <v>6.1197490787965325E-2</v>
      </c>
      <c r="I16"/>
    </row>
    <row r="17" spans="1:9">
      <c r="A17">
        <v>100</v>
      </c>
      <c r="B17">
        <v>109</v>
      </c>
      <c r="C17" s="697">
        <v>269345.88007243397</v>
      </c>
      <c r="D17" s="697">
        <f t="shared" si="2"/>
        <v>2335245.889783429</v>
      </c>
      <c r="E17" s="697">
        <f t="shared" si="1"/>
        <v>649</v>
      </c>
      <c r="F17" s="697">
        <f t="shared" si="1"/>
        <v>2335245.889783429</v>
      </c>
      <c r="G17" s="163">
        <f t="shared" si="0"/>
        <v>4.4289294455390491E-3</v>
      </c>
      <c r="H17" s="163">
        <v>6.9176237066598187E-2</v>
      </c>
      <c r="I17"/>
    </row>
    <row r="18" spans="1:9">
      <c r="A18">
        <v>110</v>
      </c>
      <c r="B18">
        <v>119</v>
      </c>
      <c r="C18" s="697">
        <v>250670.54109224351</v>
      </c>
      <c r="D18" s="697">
        <f t="shared" si="2"/>
        <v>2585916.4308756725</v>
      </c>
      <c r="E18" s="697">
        <f t="shared" si="1"/>
        <v>768</v>
      </c>
      <c r="F18" s="697">
        <f t="shared" si="1"/>
        <v>2585916.4308756725</v>
      </c>
      <c r="G18" s="163">
        <f t="shared" si="0"/>
        <v>5.2410135811617716E-3</v>
      </c>
      <c r="H18" s="163">
        <v>7.6601769791898311E-2</v>
      </c>
      <c r="I18"/>
    </row>
    <row r="19" spans="1:9">
      <c r="A19">
        <v>120</v>
      </c>
      <c r="B19">
        <v>129</v>
      </c>
      <c r="C19" s="697">
        <v>261809.38014417188</v>
      </c>
      <c r="D19" s="697">
        <f t="shared" si="2"/>
        <v>2847725.8110198444</v>
      </c>
      <c r="E19" s="697">
        <f t="shared" si="1"/>
        <v>897</v>
      </c>
      <c r="F19" s="697">
        <f t="shared" si="1"/>
        <v>2847725.8110198444</v>
      </c>
      <c r="G19" s="163">
        <f t="shared" si="0"/>
        <v>6.1213400811225378E-3</v>
      </c>
      <c r="H19" s="163">
        <v>8.4357264759835918E-2</v>
      </c>
      <c r="I19"/>
    </row>
    <row r="20" spans="1:9">
      <c r="A20">
        <v>130</v>
      </c>
      <c r="B20">
        <v>139</v>
      </c>
      <c r="C20" s="697">
        <v>256104.12111757277</v>
      </c>
      <c r="D20" s="697">
        <f t="shared" si="2"/>
        <v>3103829.9321374171</v>
      </c>
      <c r="E20" s="697">
        <f t="shared" si="1"/>
        <v>1036</v>
      </c>
      <c r="F20" s="697">
        <f t="shared" si="1"/>
        <v>3103829.9321374171</v>
      </c>
      <c r="G20" s="163">
        <f t="shared" si="0"/>
        <v>7.0699089454213486E-3</v>
      </c>
      <c r="H20" s="163">
        <v>9.1943754676666475E-2</v>
      </c>
      <c r="I20"/>
    </row>
    <row r="21" spans="1:9">
      <c r="A21">
        <v>140</v>
      </c>
      <c r="B21">
        <v>149</v>
      </c>
      <c r="C21" s="697">
        <v>253619.6062815655</v>
      </c>
      <c r="D21" s="697">
        <f t="shared" si="2"/>
        <v>3357449.5384189826</v>
      </c>
      <c r="E21" s="697">
        <f t="shared" si="1"/>
        <v>1185</v>
      </c>
      <c r="F21" s="697">
        <f t="shared" si="1"/>
        <v>3357449.5384189826</v>
      </c>
      <c r="G21" s="163">
        <f t="shared" si="0"/>
        <v>8.0867201740582022E-3</v>
      </c>
      <c r="H21" s="163">
        <v>9.9456646610499605E-2</v>
      </c>
      <c r="I21"/>
    </row>
    <row r="22" spans="1:9">
      <c r="A22">
        <v>150</v>
      </c>
      <c r="B22">
        <v>159</v>
      </c>
      <c r="C22" s="697">
        <v>238611.93381847069</v>
      </c>
      <c r="D22" s="697">
        <f t="shared" si="2"/>
        <v>3596061.4722374533</v>
      </c>
      <c r="E22" s="697">
        <f t="shared" si="1"/>
        <v>1344</v>
      </c>
      <c r="F22" s="697">
        <f t="shared" si="1"/>
        <v>3596061.4722374533</v>
      </c>
      <c r="G22" s="163">
        <f t="shared" si="0"/>
        <v>9.1717737670331013E-3</v>
      </c>
      <c r="H22" s="163">
        <v>0.10652497109528299</v>
      </c>
      <c r="I22"/>
    </row>
    <row r="23" spans="1:9">
      <c r="A23">
        <v>160</v>
      </c>
      <c r="B23">
        <v>169</v>
      </c>
      <c r="C23" s="697">
        <v>238734.29306331696</v>
      </c>
      <c r="D23" s="697">
        <f t="shared" si="2"/>
        <v>3834795.7653007703</v>
      </c>
      <c r="E23" s="697">
        <f t="shared" si="1"/>
        <v>1513</v>
      </c>
      <c r="F23" s="697">
        <f t="shared" si="1"/>
        <v>3834795.7653007703</v>
      </c>
      <c r="G23" s="163">
        <f t="shared" si="0"/>
        <v>1.0325069724346042E-2</v>
      </c>
      <c r="H23" s="163">
        <v>0.11359692018857796</v>
      </c>
      <c r="I23"/>
    </row>
    <row r="24" spans="1:9">
      <c r="A24">
        <v>170</v>
      </c>
      <c r="B24">
        <v>179</v>
      </c>
      <c r="C24" s="697">
        <v>238451.20769176818</v>
      </c>
      <c r="D24" s="697">
        <f t="shared" si="2"/>
        <v>4073246.9729925385</v>
      </c>
      <c r="E24" s="697">
        <f t="shared" si="1"/>
        <v>1692</v>
      </c>
      <c r="F24" s="697">
        <f t="shared" si="1"/>
        <v>4073246.9729925385</v>
      </c>
      <c r="G24" s="163">
        <f t="shared" si="0"/>
        <v>1.1546608045997029E-2</v>
      </c>
      <c r="H24" s="163">
        <v>0.12066048353506229</v>
      </c>
      <c r="I24"/>
    </row>
    <row r="25" spans="1:9">
      <c r="A25">
        <v>180</v>
      </c>
      <c r="B25">
        <v>189</v>
      </c>
      <c r="C25" s="697">
        <v>234483.86471907422</v>
      </c>
      <c r="D25" s="697">
        <f t="shared" si="2"/>
        <v>4307730.8377116127</v>
      </c>
      <c r="E25" s="697">
        <f t="shared" si="1"/>
        <v>1881</v>
      </c>
      <c r="F25" s="697">
        <f t="shared" si="1"/>
        <v>4307730.8377116127</v>
      </c>
      <c r="G25" s="163">
        <f t="shared" si="0"/>
        <v>1.2836388731986057E-2</v>
      </c>
      <c r="H25" s="163">
        <v>0.12760652355811233</v>
      </c>
      <c r="I25"/>
    </row>
    <row r="26" spans="1:9">
      <c r="A26">
        <v>190</v>
      </c>
      <c r="B26">
        <v>199</v>
      </c>
      <c r="C26" s="697">
        <v>229786.51404832024</v>
      </c>
      <c r="D26" s="697">
        <f t="shared" si="2"/>
        <v>4537517.3517599329</v>
      </c>
      <c r="E26" s="697">
        <f t="shared" si="1"/>
        <v>2080</v>
      </c>
      <c r="F26" s="697">
        <f t="shared" si="1"/>
        <v>4537517.3517599329</v>
      </c>
      <c r="G26" s="163">
        <f t="shared" si="0"/>
        <v>1.4194411782313131E-2</v>
      </c>
      <c r="H26" s="163">
        <v>0.13441341547474384</v>
      </c>
      <c r="I26"/>
    </row>
    <row r="27" spans="1:9">
      <c r="A27">
        <v>200</v>
      </c>
      <c r="B27">
        <v>249</v>
      </c>
      <c r="C27" s="697">
        <v>1108345.5939493449</v>
      </c>
      <c r="D27" s="697">
        <f t="shared" si="2"/>
        <v>5645862.9457092779</v>
      </c>
      <c r="E27" s="697">
        <f t="shared" si="1"/>
        <v>2329</v>
      </c>
      <c r="F27" s="697">
        <f t="shared" si="1"/>
        <v>5645862.9457092779</v>
      </c>
      <c r="G27" s="163">
        <f t="shared" si="0"/>
        <v>1.5893646654330424E-2</v>
      </c>
      <c r="H27" s="163">
        <v>0.16724558012780741</v>
      </c>
      <c r="I27"/>
    </row>
    <row r="28" spans="1:9">
      <c r="A28">
        <v>250</v>
      </c>
      <c r="B28">
        <v>299</v>
      </c>
      <c r="C28" s="697">
        <v>1103693.8687597197</v>
      </c>
      <c r="D28" s="697">
        <f t="shared" si="2"/>
        <v>6749556.8144689975</v>
      </c>
      <c r="E28" s="697">
        <f t="shared" si="1"/>
        <v>2628</v>
      </c>
      <c r="F28" s="697">
        <f t="shared" si="1"/>
        <v>6749556.8144689975</v>
      </c>
      <c r="G28" s="163">
        <f t="shared" si="0"/>
        <v>1.7934093348037937E-2</v>
      </c>
      <c r="H28" s="163">
        <v>0.19993994822338895</v>
      </c>
      <c r="I28"/>
    </row>
    <row r="29" spans="1:9">
      <c r="A29">
        <v>300</v>
      </c>
      <c r="B29">
        <v>349</v>
      </c>
      <c r="C29" s="697">
        <v>1013097.2173793595</v>
      </c>
      <c r="D29" s="697">
        <f t="shared" si="2"/>
        <v>7762654.0318483571</v>
      </c>
      <c r="E29" s="697">
        <f t="shared" si="1"/>
        <v>2977</v>
      </c>
      <c r="F29" s="697">
        <f t="shared" si="1"/>
        <v>7762654.0318483571</v>
      </c>
      <c r="G29" s="163">
        <f t="shared" si="0"/>
        <v>2.031575186343567E-2</v>
      </c>
      <c r="H29" s="163">
        <v>0.2299506008863704</v>
      </c>
      <c r="I29"/>
    </row>
    <row r="30" spans="1:9">
      <c r="A30">
        <v>350</v>
      </c>
      <c r="B30">
        <v>399</v>
      </c>
      <c r="C30" s="697">
        <v>1019341.6866374733</v>
      </c>
      <c r="D30" s="697">
        <f t="shared" si="2"/>
        <v>8781995.7184858304</v>
      </c>
      <c r="E30" s="697">
        <f t="shared" si="1"/>
        <v>3376</v>
      </c>
      <c r="F30" s="697">
        <f t="shared" si="1"/>
        <v>8781995.7184858304</v>
      </c>
      <c r="G30" s="163">
        <f t="shared" si="0"/>
        <v>2.303862220052362E-2</v>
      </c>
      <c r="H30" s="163">
        <v>0.2601462314515266</v>
      </c>
      <c r="I30"/>
    </row>
    <row r="31" spans="1:9">
      <c r="A31">
        <v>400</v>
      </c>
      <c r="B31">
        <v>449</v>
      </c>
      <c r="C31" s="697">
        <v>954508.91489630751</v>
      </c>
      <c r="D31" s="697">
        <f t="shared" si="2"/>
        <v>9736504.6333821379</v>
      </c>
      <c r="E31" s="697">
        <f t="shared" si="1"/>
        <v>3825</v>
      </c>
      <c r="F31" s="697">
        <f t="shared" si="1"/>
        <v>9736504.6333821379</v>
      </c>
      <c r="G31" s="163">
        <f t="shared" si="0"/>
        <v>2.6102704359301794E-2</v>
      </c>
      <c r="H31" s="163">
        <v>0.28842134169491596</v>
      </c>
      <c r="I31"/>
    </row>
    <row r="32" spans="1:9">
      <c r="A32">
        <v>450</v>
      </c>
      <c r="B32">
        <v>499</v>
      </c>
      <c r="C32" s="697">
        <v>942002.34835327417</v>
      </c>
      <c r="D32" s="697">
        <f t="shared" si="2"/>
        <v>10678506.981735412</v>
      </c>
      <c r="E32" s="697">
        <f t="shared" si="1"/>
        <v>4324</v>
      </c>
      <c r="F32" s="697">
        <f t="shared" si="1"/>
        <v>10678506.981735412</v>
      </c>
      <c r="G32" s="163">
        <f t="shared" si="0"/>
        <v>2.9507998339770185E-2</v>
      </c>
      <c r="H32" s="163">
        <v>0.31632597394459377</v>
      </c>
      <c r="I32"/>
    </row>
    <row r="33" spans="1:9">
      <c r="A33">
        <v>500</v>
      </c>
      <c r="B33">
        <v>599</v>
      </c>
      <c r="C33" s="697">
        <v>1703850.4105842579</v>
      </c>
      <c r="D33" s="697">
        <f t="shared" si="2"/>
        <v>12382357.39231967</v>
      </c>
      <c r="E33" s="697">
        <f t="shared" si="1"/>
        <v>4923</v>
      </c>
      <c r="F33" s="697">
        <f t="shared" si="1"/>
        <v>12382357.39231967</v>
      </c>
      <c r="G33" s="163">
        <f t="shared" si="0"/>
        <v>3.3595715963619016E-2</v>
      </c>
      <c r="H33" s="163">
        <v>0.36679858603407622</v>
      </c>
      <c r="I33"/>
    </row>
    <row r="34" spans="1:9">
      <c r="A34">
        <v>600</v>
      </c>
      <c r="B34">
        <v>699</v>
      </c>
      <c r="C34" s="697">
        <v>1529501.9669355974</v>
      </c>
      <c r="D34" s="697">
        <f t="shared" si="2"/>
        <v>13911859.359255267</v>
      </c>
      <c r="E34" s="697">
        <f t="shared" si="1"/>
        <v>5622</v>
      </c>
      <c r="F34" s="697">
        <f t="shared" si="1"/>
        <v>13911859.359255267</v>
      </c>
      <c r="G34" s="163">
        <f t="shared" si="0"/>
        <v>3.8365857230848281E-2</v>
      </c>
      <c r="H34" s="163">
        <v>0.41210653031585698</v>
      </c>
      <c r="I34"/>
    </row>
    <row r="35" spans="1:9">
      <c r="A35">
        <v>700</v>
      </c>
      <c r="B35">
        <v>799</v>
      </c>
      <c r="C35" s="697">
        <v>1344483.3823593389</v>
      </c>
      <c r="D35" s="697">
        <f t="shared" si="2"/>
        <v>15256342.741614606</v>
      </c>
      <c r="E35" s="697">
        <f t="shared" si="1"/>
        <v>6421</v>
      </c>
      <c r="F35" s="697">
        <f t="shared" si="1"/>
        <v>15256342.741614606</v>
      </c>
      <c r="G35" s="163">
        <f t="shared" si="0"/>
        <v>4.3818422141457994E-2</v>
      </c>
      <c r="H35" s="163">
        <v>0.45193372864091935</v>
      </c>
      <c r="I35"/>
    </row>
    <row r="36" spans="1:9">
      <c r="A36">
        <v>800</v>
      </c>
      <c r="B36">
        <v>899</v>
      </c>
      <c r="C36" s="697">
        <v>1246092.0323052295</v>
      </c>
      <c r="D36" s="697">
        <f t="shared" si="2"/>
        <v>16502434.773919836</v>
      </c>
      <c r="E36" s="697">
        <f t="shared" si="1"/>
        <v>7320</v>
      </c>
      <c r="F36" s="697">
        <f t="shared" si="1"/>
        <v>16502434.773919836</v>
      </c>
      <c r="G36" s="163">
        <f t="shared" si="0"/>
        <v>4.995341069544814E-2</v>
      </c>
      <c r="H36" s="163">
        <v>0.4888463116843863</v>
      </c>
      <c r="I36"/>
    </row>
    <row r="37" spans="1:9">
      <c r="A37">
        <v>900</v>
      </c>
      <c r="B37">
        <v>999</v>
      </c>
      <c r="C37" s="697">
        <v>1099411.2951901406</v>
      </c>
      <c r="D37" s="697">
        <f t="shared" si="2"/>
        <v>17601846.069109976</v>
      </c>
      <c r="E37" s="697">
        <f t="shared" si="1"/>
        <v>8319</v>
      </c>
      <c r="F37" s="697">
        <f t="shared" si="1"/>
        <v>17601846.069109976</v>
      </c>
      <c r="G37" s="163">
        <f t="shared" si="0"/>
        <v>5.677082289281872E-2</v>
      </c>
      <c r="H37" s="163">
        <v>0.52141381848206325</v>
      </c>
      <c r="I37"/>
    </row>
    <row r="38" spans="1:9">
      <c r="A38">
        <v>1000</v>
      </c>
      <c r="B38">
        <v>1499</v>
      </c>
      <c r="C38" s="697">
        <v>4087459.3103641309</v>
      </c>
      <c r="D38" s="697">
        <f t="shared" si="2"/>
        <v>21689305.379474107</v>
      </c>
      <c r="E38" s="697">
        <f t="shared" si="1"/>
        <v>9818</v>
      </c>
      <c r="F38" s="697">
        <f t="shared" si="1"/>
        <v>21689305.379474107</v>
      </c>
      <c r="G38" s="163">
        <f t="shared" si="0"/>
        <v>6.7000353307091504E-2</v>
      </c>
      <c r="H38" s="163">
        <v>0.64249530951084988</v>
      </c>
      <c r="I38"/>
    </row>
    <row r="39" spans="1:9">
      <c r="A39">
        <v>1500</v>
      </c>
      <c r="B39">
        <v>1999</v>
      </c>
      <c r="C39" s="697">
        <v>2506235.6758553647</v>
      </c>
      <c r="D39" s="697">
        <f t="shared" si="2"/>
        <v>24195541.055329472</v>
      </c>
      <c r="E39" s="697">
        <f t="shared" si="1"/>
        <v>11817</v>
      </c>
      <c r="F39" s="697">
        <f t="shared" si="1"/>
        <v>24195541.055329472</v>
      </c>
      <c r="G39" s="163">
        <f t="shared" si="0"/>
        <v>8.0642001938266483E-2</v>
      </c>
      <c r="H39" s="163">
        <v>0.71673672195320948</v>
      </c>
      <c r="I39"/>
    </row>
    <row r="40" spans="1:9">
      <c r="A40">
        <v>2000</v>
      </c>
      <c r="B40">
        <v>2999</v>
      </c>
      <c r="C40" s="697">
        <v>2935668.9258954674</v>
      </c>
      <c r="D40" s="697">
        <f t="shared" si="2"/>
        <v>27131209.981224939</v>
      </c>
      <c r="E40" s="697">
        <f t="shared" si="1"/>
        <v>14816</v>
      </c>
      <c r="F40" s="697">
        <f t="shared" si="1"/>
        <v>27131209.981224939</v>
      </c>
      <c r="G40" s="163">
        <f t="shared" si="0"/>
        <v>0.10110788700324584</v>
      </c>
      <c r="H40" s="163">
        <v>0.80369909728817857</v>
      </c>
      <c r="I40"/>
    </row>
    <row r="41" spans="1:9">
      <c r="A41">
        <v>3000</v>
      </c>
      <c r="B41">
        <v>3999</v>
      </c>
      <c r="C41" s="697">
        <v>1656707.8822079934</v>
      </c>
      <c r="D41" s="697">
        <f t="shared" si="2"/>
        <v>28787917.863432933</v>
      </c>
      <c r="E41" s="697">
        <f t="shared" si="1"/>
        <v>18815</v>
      </c>
      <c r="F41" s="697">
        <f t="shared" si="1"/>
        <v>28787917.863432933</v>
      </c>
      <c r="G41" s="163">
        <f t="shared" si="0"/>
        <v>0.12839800850202959</v>
      </c>
      <c r="H41" s="163">
        <v>0.85277522143900641</v>
      </c>
      <c r="I41"/>
    </row>
    <row r="42" spans="1:9">
      <c r="A42">
        <v>4000</v>
      </c>
      <c r="B42">
        <v>4999</v>
      </c>
      <c r="C42" s="697">
        <v>1329994.181272693</v>
      </c>
      <c r="D42" s="697">
        <f t="shared" si="2"/>
        <v>30117912.044705626</v>
      </c>
      <c r="E42" s="697">
        <f t="shared" si="1"/>
        <v>23814</v>
      </c>
      <c r="F42" s="697">
        <f t="shared" si="1"/>
        <v>30117912.044705626</v>
      </c>
      <c r="G42" s="163">
        <f t="shared" si="0"/>
        <v>0.16251236643461775</v>
      </c>
      <c r="H42" s="163">
        <v>0.89217321082566092</v>
      </c>
      <c r="I42"/>
    </row>
    <row r="43" spans="1:9">
      <c r="A43">
        <v>5000</v>
      </c>
      <c r="B43">
        <v>5999</v>
      </c>
      <c r="C43" s="697">
        <v>949429.96929247677</v>
      </c>
      <c r="D43" s="697">
        <f t="shared" si="2"/>
        <v>31067342.013998102</v>
      </c>
      <c r="E43" s="697">
        <f t="shared" si="1"/>
        <v>29813</v>
      </c>
      <c r="F43" s="697">
        <f t="shared" si="1"/>
        <v>31067342.013998102</v>
      </c>
      <c r="G43" s="163">
        <f t="shared" si="0"/>
        <v>0.2034509608010103</v>
      </c>
      <c r="H43" s="163">
        <v>0.92029786909879907</v>
      </c>
      <c r="I43"/>
    </row>
    <row r="44" spans="1:9">
      <c r="A44">
        <v>6000</v>
      </c>
      <c r="B44">
        <v>6999</v>
      </c>
      <c r="C44" s="697">
        <v>621491.63896599039</v>
      </c>
      <c r="D44" s="697">
        <f t="shared" si="2"/>
        <v>31688833.652964093</v>
      </c>
      <c r="E44" s="697">
        <f t="shared" si="1"/>
        <v>36812</v>
      </c>
      <c r="F44" s="697">
        <f t="shared" si="1"/>
        <v>31688833.652964093</v>
      </c>
      <c r="G44" s="163">
        <f t="shared" si="0"/>
        <v>0.25121379160120721</v>
      </c>
      <c r="H44" s="163">
        <v>0.93870811580562752</v>
      </c>
      <c r="I44"/>
    </row>
    <row r="45" spans="1:9">
      <c r="A45">
        <v>7000</v>
      </c>
      <c r="B45">
        <v>7999</v>
      </c>
      <c r="C45" s="697">
        <v>472520.29530967399</v>
      </c>
      <c r="D45" s="697">
        <f t="shared" si="2"/>
        <v>32161353.948273767</v>
      </c>
      <c r="E45" s="697">
        <f t="shared" si="1"/>
        <v>44811</v>
      </c>
      <c r="F45" s="697">
        <f t="shared" si="1"/>
        <v>32161353.948273767</v>
      </c>
      <c r="G45" s="163">
        <f t="shared" si="0"/>
        <v>0.30580085883520852</v>
      </c>
      <c r="H45" s="163">
        <v>0.95270543236664817</v>
      </c>
      <c r="I45"/>
    </row>
    <row r="46" spans="1:9">
      <c r="A46">
        <v>8000</v>
      </c>
      <c r="B46">
        <v>8999</v>
      </c>
      <c r="C46" s="697">
        <v>379226.55582895502</v>
      </c>
      <c r="D46" s="697">
        <f t="shared" si="2"/>
        <v>32540580.504102722</v>
      </c>
      <c r="E46" s="697">
        <f t="shared" si="1"/>
        <v>53810</v>
      </c>
      <c r="F46" s="697">
        <f t="shared" si="1"/>
        <v>32540580.504102722</v>
      </c>
      <c r="G46" s="163">
        <f t="shared" si="0"/>
        <v>0.36721216250301425</v>
      </c>
      <c r="H46" s="163">
        <v>0.96393913852270785</v>
      </c>
      <c r="I46"/>
    </row>
    <row r="47" spans="1:9">
      <c r="A47">
        <v>9000</v>
      </c>
      <c r="B47">
        <v>9999</v>
      </c>
      <c r="C47" s="697">
        <v>441203.58722856268</v>
      </c>
      <c r="D47" s="697">
        <f t="shared" si="2"/>
        <v>32981784.091331284</v>
      </c>
      <c r="E47" s="697">
        <f t="shared" si="1"/>
        <v>63809</v>
      </c>
      <c r="F47" s="697">
        <f t="shared" si="1"/>
        <v>32981784.091331284</v>
      </c>
      <c r="G47" s="163">
        <f t="shared" si="0"/>
        <v>0.43544770260462434</v>
      </c>
      <c r="H47" s="163">
        <v>0.97700877032391709</v>
      </c>
      <c r="I47"/>
    </row>
    <row r="48" spans="1:9">
      <c r="A48">
        <v>10000</v>
      </c>
      <c r="B48">
        <v>10999</v>
      </c>
      <c r="C48" s="697">
        <v>229135.31399948895</v>
      </c>
      <c r="D48" s="697">
        <f t="shared" si="2"/>
        <v>33210919.405330773</v>
      </c>
      <c r="E48" s="697">
        <f t="shared" si="1"/>
        <v>74808</v>
      </c>
      <c r="F48" s="697">
        <f t="shared" si="1"/>
        <v>33210919.405330773</v>
      </c>
      <c r="G48" s="163">
        <f t="shared" si="0"/>
        <v>0.5105074791400388</v>
      </c>
      <c r="H48" s="163">
        <v>0.98379637195118219</v>
      </c>
      <c r="I48"/>
    </row>
    <row r="49" spans="1:9">
      <c r="A49">
        <v>11000</v>
      </c>
      <c r="B49">
        <v>11999</v>
      </c>
      <c r="C49" s="697">
        <v>164627.10533998534</v>
      </c>
      <c r="D49" s="697">
        <f t="shared" si="2"/>
        <v>33375546.510670759</v>
      </c>
      <c r="E49" s="697">
        <f t="shared" si="1"/>
        <v>86807</v>
      </c>
      <c r="F49" s="697">
        <f t="shared" si="1"/>
        <v>33375546.510670759</v>
      </c>
      <c r="G49" s="163">
        <f t="shared" si="0"/>
        <v>0.59239149210925768</v>
      </c>
      <c r="H49" s="163">
        <v>0.98867306768434227</v>
      </c>
      <c r="I49"/>
    </row>
    <row r="50" spans="1:9">
      <c r="A50">
        <v>12000</v>
      </c>
      <c r="B50">
        <v>12999</v>
      </c>
      <c r="C50" s="697">
        <v>76469.343314498663</v>
      </c>
      <c r="D50" s="697">
        <f t="shared" si="2"/>
        <v>33452015.853985257</v>
      </c>
      <c r="E50" s="697">
        <f t="shared" si="1"/>
        <v>99806</v>
      </c>
      <c r="F50" s="697">
        <f t="shared" si="1"/>
        <v>33452015.853985257</v>
      </c>
      <c r="G50" s="163">
        <f t="shared" si="0"/>
        <v>0.68109974151228103</v>
      </c>
      <c r="H50" s="163">
        <v>0.99093829441896319</v>
      </c>
      <c r="I50"/>
    </row>
    <row r="51" spans="1:9">
      <c r="A51">
        <v>13000</v>
      </c>
      <c r="B51">
        <v>13999</v>
      </c>
      <c r="C51" s="697">
        <v>181544.82635396719</v>
      </c>
      <c r="D51" s="697">
        <f t="shared" si="2"/>
        <v>33633560.680339225</v>
      </c>
      <c r="E51" s="697">
        <f t="shared" si="1"/>
        <v>113805</v>
      </c>
      <c r="F51" s="697">
        <f t="shared" si="1"/>
        <v>33633560.680339225</v>
      </c>
      <c r="G51" s="163">
        <f t="shared" si="0"/>
        <v>0.77663222734910864</v>
      </c>
      <c r="H51" s="163">
        <v>0.99631613835437893</v>
      </c>
      <c r="I51"/>
    </row>
    <row r="52" spans="1:9">
      <c r="A52">
        <v>14000</v>
      </c>
      <c r="B52">
        <v>14999</v>
      </c>
      <c r="C52" s="697">
        <v>44960.800824083388</v>
      </c>
      <c r="D52" s="697">
        <f t="shared" si="2"/>
        <v>33678521.481163308</v>
      </c>
      <c r="E52" s="697">
        <f t="shared" si="1"/>
        <v>128804</v>
      </c>
      <c r="F52" s="697">
        <f t="shared" si="1"/>
        <v>33678521.481163308</v>
      </c>
      <c r="G52" s="163">
        <f t="shared" si="0"/>
        <v>0.87898894961974072</v>
      </c>
      <c r="H52" s="163">
        <v>0.99764799768025025</v>
      </c>
      <c r="I52"/>
    </row>
    <row r="53" spans="1:9">
      <c r="A53">
        <v>15000</v>
      </c>
      <c r="B53">
        <v>15999</v>
      </c>
      <c r="C53" s="697">
        <v>79398.706591524184</v>
      </c>
      <c r="D53" s="697">
        <f t="shared" si="2"/>
        <v>33757920.187754832</v>
      </c>
      <c r="E53" s="697">
        <v>146536.54071046272</v>
      </c>
      <c r="F53" s="697">
        <f t="shared" ref="F53" si="3">F52+C53</f>
        <v>33757920.187754832</v>
      </c>
      <c r="G53" s="163">
        <f t="shared" si="0"/>
        <v>1</v>
      </c>
      <c r="H53" s="163">
        <v>1</v>
      </c>
      <c r="I53"/>
    </row>
    <row r="54" spans="1:9">
      <c r="D54" s="697"/>
      <c r="E54" s="697"/>
      <c r="F54" s="163"/>
      <c r="I54"/>
    </row>
    <row r="55" spans="1:9">
      <c r="A55" s="686"/>
      <c r="C55" s="687" t="s">
        <v>912</v>
      </c>
      <c r="D55" s="688">
        <f>MAX(D6:D52)/12</f>
        <v>2806543.4567636088</v>
      </c>
      <c r="F55" s="163"/>
      <c r="I55"/>
    </row>
    <row r="56" spans="1:9">
      <c r="A56" s="686"/>
      <c r="C56" s="687" t="s">
        <v>913</v>
      </c>
      <c r="D56" s="688">
        <f>MAX(E6:E52)/D55/12</f>
        <v>3.8245146857780327E-3</v>
      </c>
      <c r="F56" s="163"/>
      <c r="I56"/>
    </row>
    <row r="57" spans="1:9">
      <c r="A57" s="699"/>
      <c r="C57" s="695" t="s">
        <v>914</v>
      </c>
      <c r="D57" s="696">
        <f>VLOOKUP(B3,[17]!Percentiles_All_Bills,9,0)</f>
        <v>39</v>
      </c>
      <c r="F57" s="163"/>
      <c r="I57"/>
    </row>
  </sheetData>
  <conditionalFormatting sqref="M2:M3">
    <cfRule type="cellIs" dxfId="60" priority="1" operator="equal">
      <formula>0</formula>
    </cfRule>
    <cfRule type="cellIs" dxfId="59" priority="2" operator="lessThan">
      <formula>0</formula>
    </cfRule>
    <cfRule type="cellIs" dxfId="58" priority="3" operator="greaterThan">
      <formula>0</formula>
    </cfRule>
  </conditionalFormatting>
  <pageMargins left="0.75" right="0.75" top="1" bottom="1" header="0.5" footer="0.5"/>
  <pageSetup scale="48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DD262-5916-463C-8A16-CA4B3AC3711C}">
  <sheetPr codeName="Sheet67">
    <tabColor theme="9" tint="0.79998168889431442"/>
  </sheetPr>
  <dimension ref="A1:M14"/>
  <sheetViews>
    <sheetView zoomScale="80" zoomScaleNormal="80" workbookViewId="0"/>
  </sheetViews>
  <sheetFormatPr defaultRowHeight="15"/>
  <cols>
    <col min="1" max="1" width="25" customWidth="1"/>
    <col min="2" max="2" width="8.4257812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Irrigation Service</v>
      </c>
      <c r="J1" s="682" t="s">
        <v>541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541</v>
      </c>
      <c r="J2" s="682" t="s">
        <v>900</v>
      </c>
      <c r="K2" s="683">
        <f>'GGIRS Adjusted'!E10</f>
        <v>47</v>
      </c>
      <c r="L2" s="683">
        <f>VLOOKUP($J1,Summary!$B:$P,7,0)</f>
        <v>47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5755</v>
      </c>
      <c r="J3" s="682" t="s">
        <v>902</v>
      </c>
      <c r="K3" s="683">
        <f>'GGIRS Adjusted'!F10</f>
        <v>6405.3024178991363</v>
      </c>
      <c r="L3" s="683">
        <f>VLOOKUP($J1,Summary!$B:$P,8,0)</f>
        <v>6405.3024178991363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99</v>
      </c>
      <c r="C7" s="697">
        <v>368.37778700815977</v>
      </c>
      <c r="D7" s="697">
        <v>41.891304347826072</v>
      </c>
      <c r="E7" s="697">
        <f>D7</f>
        <v>41.891304347826072</v>
      </c>
      <c r="F7" s="697">
        <f>C7</f>
        <v>368.37778700815977</v>
      </c>
      <c r="G7" s="163">
        <f>E7/MAX($E$7:$E$10)</f>
        <v>0.89130434782608658</v>
      </c>
      <c r="H7" s="163">
        <f>F7/MAX($F$7:$F$10)</f>
        <v>5.75113808801214E-2</v>
      </c>
    </row>
    <row r="8" spans="1:13">
      <c r="A8">
        <v>100</v>
      </c>
      <c r="B8">
        <v>199</v>
      </c>
      <c r="C8" s="697">
        <v>104.00111664874146</v>
      </c>
      <c r="D8" s="697">
        <v>1.0217391304348027</v>
      </c>
      <c r="E8" s="697">
        <f>E7+D8</f>
        <v>42.913043478260875</v>
      </c>
      <c r="F8" s="697">
        <f>F7+C8</f>
        <v>472.37890365690123</v>
      </c>
      <c r="G8" s="163">
        <f>E8/MAX($E$7:$E$10)</f>
        <v>0.91304347826086962</v>
      </c>
      <c r="H8" s="163">
        <f>F8/MAX($F$7:$F$10)</f>
        <v>7.3748103186646402E-2</v>
      </c>
    </row>
    <row r="9" spans="1:13">
      <c r="A9">
        <v>300</v>
      </c>
      <c r="B9">
        <v>399</v>
      </c>
      <c r="C9" s="697">
        <v>384.90132890562359</v>
      </c>
      <c r="D9" s="697">
        <v>1.0217391304347743</v>
      </c>
      <c r="E9" s="697">
        <f>E8+D9</f>
        <v>43.934782608695649</v>
      </c>
      <c r="F9" s="697">
        <f t="shared" ref="F9:F10" si="0">F8+C9</f>
        <v>857.28023256252482</v>
      </c>
      <c r="G9" s="163">
        <f>E9/MAX($E$7:$E$10)</f>
        <v>0.93478260869565211</v>
      </c>
      <c r="H9" s="163">
        <f>F9/MAX($F$7:$F$10)</f>
        <v>0.13383915022761761</v>
      </c>
    </row>
    <row r="10" spans="1:13">
      <c r="A10">
        <v>1199</v>
      </c>
      <c r="B10">
        <v>5399</v>
      </c>
      <c r="C10" s="697">
        <v>5548.0221853366111</v>
      </c>
      <c r="D10" s="697">
        <v>3.0652173913043512</v>
      </c>
      <c r="E10" s="697">
        <f t="shared" ref="E10" si="1">E9+D10</f>
        <v>47</v>
      </c>
      <c r="F10" s="697">
        <f t="shared" si="0"/>
        <v>6405.3024178991363</v>
      </c>
      <c r="G10" s="163">
        <f>E10/MAX($E$7:$E$10)</f>
        <v>1</v>
      </c>
      <c r="H10" s="163">
        <f>F10/MAX($F$7:$F$10)</f>
        <v>1</v>
      </c>
    </row>
    <row r="12" spans="1:13">
      <c r="A12" s="685"/>
      <c r="B12" s="685"/>
      <c r="C12" s="693" t="s">
        <v>912</v>
      </c>
      <c r="D12" s="694">
        <f>MAX(E6:E10)/12</f>
        <v>3.9166666666666665</v>
      </c>
    </row>
    <row r="13" spans="1:13">
      <c r="A13" s="685"/>
      <c r="B13" s="685"/>
      <c r="C13" s="693" t="s">
        <v>913</v>
      </c>
      <c r="D13" s="694">
        <f>MAX(F6:F10)/D12/12</f>
        <v>136.28303016806674</v>
      </c>
    </row>
    <row r="14" spans="1:13">
      <c r="A14" s="689"/>
      <c r="B14" s="689"/>
      <c r="C14" s="695" t="s">
        <v>914</v>
      </c>
      <c r="D14" s="696">
        <f>VLOOKUP(B3,[17]!Percentiles_All_Bills,9,0)</f>
        <v>0</v>
      </c>
    </row>
  </sheetData>
  <conditionalFormatting sqref="M2:M3">
    <cfRule type="cellIs" dxfId="57" priority="1" operator="equal">
      <formula>0</formula>
    </cfRule>
    <cfRule type="cellIs" dxfId="56" priority="2" operator="lessThan">
      <formula>0</formula>
    </cfRule>
    <cfRule type="cellIs" dxfId="55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CC6D7-FECD-45B9-8C69-C437E9146FBD}">
  <sheetPr codeName="Sheet68">
    <tabColor theme="9" tint="0.79998168889431442"/>
  </sheetPr>
  <dimension ref="A1:M24"/>
  <sheetViews>
    <sheetView zoomScale="80" zoomScaleNormal="80" workbookViewId="0"/>
  </sheetViews>
  <sheetFormatPr defaultRowHeight="15"/>
  <cols>
    <col min="1" max="1" width="25" customWidth="1"/>
    <col min="2" max="2" width="9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Large Volume Commercial Service</v>
      </c>
      <c r="J1" s="682" t="s">
        <v>535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535</v>
      </c>
      <c r="J2" s="682" t="s">
        <v>900</v>
      </c>
      <c r="K2" s="683">
        <f>'GGLVS Adjusted'!E20</f>
        <v>319.42592592592592</v>
      </c>
      <c r="L2" s="683">
        <f>VLOOKUP($J1,Summary!$B:$P,7,0)</f>
        <v>319.42592592592592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5754</v>
      </c>
      <c r="J3" s="682" t="s">
        <v>902</v>
      </c>
      <c r="K3" s="683">
        <f>'GGLVS Adjusted'!F20</f>
        <v>1149625.046884174</v>
      </c>
      <c r="L3" s="683">
        <f>VLOOKUP($J1,Summary!$B:$P,8,0)</f>
        <v>1149625.046884174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249</v>
      </c>
      <c r="C7" s="697">
        <v>5022.7826878633105</v>
      </c>
      <c r="D7" s="697">
        <v>98.676161830620401</v>
      </c>
      <c r="E7" s="697">
        <f>D7</f>
        <v>98.676161830620401</v>
      </c>
      <c r="F7" s="697">
        <f>C7</f>
        <v>5022.7826878633105</v>
      </c>
      <c r="G7" s="163">
        <f t="shared" ref="G7:G20" si="0">E7/MAX($E$7:$E$20)</f>
        <v>0.30891719745222923</v>
      </c>
      <c r="H7" s="163">
        <f t="shared" ref="H7:H20" si="1">F7/MAX($F$7:$F$20)</f>
        <v>4.3690616357711992E-3</v>
      </c>
    </row>
    <row r="8" spans="1:13">
      <c r="A8">
        <v>250</v>
      </c>
      <c r="B8">
        <v>499</v>
      </c>
      <c r="C8" s="697">
        <v>10689.890221114492</v>
      </c>
      <c r="D8" s="697">
        <v>29.501120547298939</v>
      </c>
      <c r="E8" s="697">
        <f>E7+D8</f>
        <v>128.17728237791934</v>
      </c>
      <c r="F8" s="697">
        <f>F7+C8</f>
        <v>15712.672908977802</v>
      </c>
      <c r="G8" s="163">
        <f t="shared" si="0"/>
        <v>0.40127388535031855</v>
      </c>
      <c r="H8" s="163">
        <f t="shared" si="1"/>
        <v>1.3667650119109549E-2</v>
      </c>
    </row>
    <row r="9" spans="1:13">
      <c r="A9">
        <v>500</v>
      </c>
      <c r="B9">
        <v>749</v>
      </c>
      <c r="C9" s="697">
        <v>18393.261006202163</v>
      </c>
      <c r="D9" s="697">
        <v>30.518400566171181</v>
      </c>
      <c r="E9" s="697">
        <f>E8+D9</f>
        <v>158.69568294409052</v>
      </c>
      <c r="F9" s="697">
        <f t="shared" ref="F9:F20" si="2">F8+C9</f>
        <v>34105.933915179965</v>
      </c>
      <c r="G9" s="163">
        <f t="shared" si="0"/>
        <v>0.4968152866242036</v>
      </c>
      <c r="H9" s="163">
        <f t="shared" si="1"/>
        <v>2.9667006653706088E-2</v>
      </c>
    </row>
    <row r="10" spans="1:13">
      <c r="A10">
        <v>750</v>
      </c>
      <c r="B10">
        <v>999</v>
      </c>
      <c r="C10" s="697">
        <v>25996.294181779049</v>
      </c>
      <c r="D10" s="697">
        <v>30.518400566171323</v>
      </c>
      <c r="E10" s="697">
        <f t="shared" ref="E10:E20" si="3">E9+D10</f>
        <v>189.21408351026184</v>
      </c>
      <c r="F10" s="697">
        <f t="shared" si="2"/>
        <v>60102.228096959014</v>
      </c>
      <c r="G10" s="163">
        <f t="shared" si="0"/>
        <v>0.59235668789808915</v>
      </c>
      <c r="H10" s="163">
        <f t="shared" si="1"/>
        <v>5.2279852687494882E-2</v>
      </c>
    </row>
    <row r="11" spans="1:13">
      <c r="A11">
        <v>1000</v>
      </c>
      <c r="B11">
        <v>1999</v>
      </c>
      <c r="C11" s="697">
        <v>48863.43212969727</v>
      </c>
      <c r="D11" s="697">
        <v>36.622080679405514</v>
      </c>
      <c r="E11" s="697">
        <f t="shared" si="3"/>
        <v>225.83616418966736</v>
      </c>
      <c r="F11" s="697">
        <f t="shared" si="2"/>
        <v>108965.66022665628</v>
      </c>
      <c r="G11" s="163">
        <f t="shared" si="0"/>
        <v>0.70700636942675155</v>
      </c>
      <c r="H11" s="163">
        <f t="shared" si="1"/>
        <v>9.4783651871525987E-2</v>
      </c>
    </row>
    <row r="12" spans="1:13">
      <c r="A12">
        <v>2000</v>
      </c>
      <c r="B12">
        <v>2999</v>
      </c>
      <c r="C12" s="697">
        <v>33619.00139843642</v>
      </c>
      <c r="D12" s="697">
        <v>14.241920264213434</v>
      </c>
      <c r="E12" s="697">
        <f t="shared" si="3"/>
        <v>240.07808445388079</v>
      </c>
      <c r="F12" s="697">
        <f t="shared" si="2"/>
        <v>142584.6616250927</v>
      </c>
      <c r="G12" s="163">
        <f t="shared" si="0"/>
        <v>0.75159235668789859</v>
      </c>
      <c r="H12" s="163">
        <f t="shared" si="1"/>
        <v>0.12402710084608853</v>
      </c>
    </row>
    <row r="13" spans="1:13">
      <c r="A13">
        <v>3000</v>
      </c>
      <c r="B13">
        <v>3999</v>
      </c>
      <c r="C13" s="697">
        <v>37833.180997889402</v>
      </c>
      <c r="D13" s="697">
        <v>11.190080207596026</v>
      </c>
      <c r="E13" s="697">
        <f t="shared" si="3"/>
        <v>251.26816466147682</v>
      </c>
      <c r="F13" s="697">
        <f t="shared" si="2"/>
        <v>180417.84262298211</v>
      </c>
      <c r="G13" s="163">
        <f t="shared" si="0"/>
        <v>0.78662420382165621</v>
      </c>
      <c r="H13" s="163">
        <f t="shared" si="1"/>
        <v>0.15693624900742043</v>
      </c>
    </row>
    <row r="14" spans="1:13">
      <c r="A14">
        <v>4000</v>
      </c>
      <c r="B14">
        <v>4999</v>
      </c>
      <c r="C14" s="697">
        <v>44836.155920509569</v>
      </c>
      <c r="D14" s="697">
        <v>10.17280018872367</v>
      </c>
      <c r="E14" s="697">
        <f t="shared" si="3"/>
        <v>261.44096485020049</v>
      </c>
      <c r="F14" s="697">
        <f t="shared" si="2"/>
        <v>225253.99854349167</v>
      </c>
      <c r="G14" s="163">
        <f t="shared" si="0"/>
        <v>0.81847133757961776</v>
      </c>
      <c r="H14" s="163">
        <f t="shared" si="1"/>
        <v>0.19593692669970705</v>
      </c>
    </row>
    <row r="15" spans="1:13">
      <c r="A15">
        <v>5000</v>
      </c>
      <c r="B15">
        <v>5999</v>
      </c>
      <c r="C15" s="697">
        <v>52329.998168089398</v>
      </c>
      <c r="D15" s="697">
        <v>10.172800188723784</v>
      </c>
      <c r="E15" s="697">
        <f t="shared" si="3"/>
        <v>271.61376503892427</v>
      </c>
      <c r="F15" s="697">
        <f t="shared" si="2"/>
        <v>277583.99671158107</v>
      </c>
      <c r="G15" s="163">
        <f t="shared" si="0"/>
        <v>0.85031847133757965</v>
      </c>
      <c r="H15" s="163">
        <f t="shared" si="1"/>
        <v>0.24145611429040825</v>
      </c>
    </row>
    <row r="16" spans="1:13">
      <c r="A16">
        <v>6000</v>
      </c>
      <c r="B16">
        <v>6999</v>
      </c>
      <c r="C16" s="697">
        <v>31416.492499469256</v>
      </c>
      <c r="D16" s="697">
        <v>5.0864000943619203</v>
      </c>
      <c r="E16" s="697">
        <f t="shared" si="3"/>
        <v>276.70016513328619</v>
      </c>
      <c r="F16" s="697">
        <f t="shared" si="2"/>
        <v>309000.48921105033</v>
      </c>
      <c r="G16" s="163">
        <f t="shared" si="0"/>
        <v>0.86624203821656065</v>
      </c>
      <c r="H16" s="163">
        <f t="shared" si="1"/>
        <v>0.26878371347991559</v>
      </c>
    </row>
    <row r="17" spans="1:8">
      <c r="A17">
        <v>9000</v>
      </c>
      <c r="B17">
        <v>9999</v>
      </c>
      <c r="C17" s="697">
        <v>28104.367683559656</v>
      </c>
      <c r="D17" s="697">
        <v>3.0518400566170385</v>
      </c>
      <c r="E17" s="697">
        <f t="shared" si="3"/>
        <v>279.75200518990323</v>
      </c>
      <c r="F17" s="697">
        <f t="shared" si="2"/>
        <v>337104.85689460998</v>
      </c>
      <c r="G17" s="163">
        <f t="shared" si="0"/>
        <v>0.87579617834394885</v>
      </c>
      <c r="H17" s="163">
        <f t="shared" si="1"/>
        <v>0.29323026477916819</v>
      </c>
    </row>
    <row r="18" spans="1:8">
      <c r="A18">
        <v>10000</v>
      </c>
      <c r="B18">
        <v>19999</v>
      </c>
      <c r="C18" s="697">
        <v>232468.46940772783</v>
      </c>
      <c r="D18" s="697">
        <v>15.25920028308559</v>
      </c>
      <c r="E18" s="697">
        <f t="shared" si="3"/>
        <v>295.01120547298882</v>
      </c>
      <c r="F18" s="697">
        <f t="shared" si="2"/>
        <v>569573.32630233781</v>
      </c>
      <c r="G18" s="163">
        <f t="shared" si="0"/>
        <v>0.9235668789808914</v>
      </c>
      <c r="H18" s="163">
        <f t="shared" si="1"/>
        <v>0.49544269050683182</v>
      </c>
    </row>
    <row r="19" spans="1:8">
      <c r="A19">
        <v>20000</v>
      </c>
      <c r="B19">
        <v>29999</v>
      </c>
      <c r="C19" s="697">
        <v>483933.20918077638</v>
      </c>
      <c r="D19" s="697">
        <v>21.362880396320065</v>
      </c>
      <c r="E19" s="697">
        <f t="shared" si="3"/>
        <v>316.37408586930889</v>
      </c>
      <c r="F19" s="697">
        <f t="shared" si="2"/>
        <v>1053506.5354831142</v>
      </c>
      <c r="G19" s="163">
        <f t="shared" si="0"/>
        <v>0.99044585987261169</v>
      </c>
      <c r="H19" s="163">
        <f t="shared" si="1"/>
        <v>0.91639142548123009</v>
      </c>
    </row>
    <row r="20" spans="1:8">
      <c r="A20">
        <v>30000</v>
      </c>
      <c r="B20">
        <v>39999</v>
      </c>
      <c r="C20" s="697">
        <v>96118.511401059804</v>
      </c>
      <c r="D20" s="697">
        <v>3.0518400566170385</v>
      </c>
      <c r="E20" s="697">
        <f t="shared" si="3"/>
        <v>319.42592592592592</v>
      </c>
      <c r="F20" s="697">
        <f t="shared" si="2"/>
        <v>1149625.046884174</v>
      </c>
      <c r="G20" s="163">
        <f t="shared" si="0"/>
        <v>1</v>
      </c>
      <c r="H20" s="163">
        <f t="shared" si="1"/>
        <v>1</v>
      </c>
    </row>
    <row r="22" spans="1:8">
      <c r="A22" s="685"/>
      <c r="B22" s="685"/>
      <c r="C22" s="693" t="s">
        <v>912</v>
      </c>
      <c r="D22" s="694">
        <f>MAX(E6:E20)/12</f>
        <v>26.618827160493826</v>
      </c>
    </row>
    <row r="23" spans="1:8">
      <c r="A23" s="685"/>
      <c r="B23" s="685"/>
      <c r="C23" s="693" t="s">
        <v>913</v>
      </c>
      <c r="D23" s="694">
        <f>MAX(F6:F20)/D22/12</f>
        <v>3599.0348734271779</v>
      </c>
    </row>
    <row r="24" spans="1:8">
      <c r="A24" s="689"/>
      <c r="B24" s="689"/>
      <c r="C24" s="695" t="s">
        <v>914</v>
      </c>
      <c r="D24" s="696">
        <f>VLOOKUP(B3,[17]!Percentiles_All_Bills,9,0)</f>
        <v>735</v>
      </c>
    </row>
  </sheetData>
  <conditionalFormatting sqref="M2:M3">
    <cfRule type="cellIs" dxfId="54" priority="1" operator="equal">
      <formula>0</formula>
    </cfRule>
    <cfRule type="cellIs" dxfId="53" priority="2" operator="lessThan">
      <formula>0</formula>
    </cfRule>
    <cfRule type="cellIs" dxfId="52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DF7AC-5309-4B4E-A5FC-970DFADEA6DD}">
  <sheetPr codeName="Sheet69">
    <tabColor theme="9" tint="0.79998168889431442"/>
  </sheetPr>
  <dimension ref="A1:M35"/>
  <sheetViews>
    <sheetView zoomScale="80" zoomScaleNormal="80" workbookViewId="0"/>
  </sheetViews>
  <sheetFormatPr defaultRowHeight="15"/>
  <cols>
    <col min="1" max="1" width="25" customWidth="1"/>
    <col min="2" max="2" width="8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Small Volume Industrial Service</v>
      </c>
      <c r="J1" s="682" t="s">
        <v>536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536</v>
      </c>
      <c r="J2" s="682" t="s">
        <v>900</v>
      </c>
      <c r="K2" s="683">
        <f>'GISVS Adjusted'!E31</f>
        <v>277.10433201058197</v>
      </c>
      <c r="L2" s="683">
        <f>VLOOKUP($J1,Summary!$B:$P,7,0)</f>
        <v>277.10433201058197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5758</v>
      </c>
      <c r="J3" s="682" t="s">
        <v>902</v>
      </c>
      <c r="K3" s="683">
        <f>'GISVS Adjusted'!F31</f>
        <v>914226.08786027285</v>
      </c>
      <c r="L3" s="683">
        <f>VLOOKUP($J1,Summary!$B:$P,8,0)</f>
        <v>914226.08786027285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249</v>
      </c>
      <c r="C7" s="697">
        <v>12063.679942541172</v>
      </c>
      <c r="D7" s="697">
        <v>126.57852202952509</v>
      </c>
      <c r="E7" s="697">
        <f>D7</f>
        <v>126.57852202952509</v>
      </c>
      <c r="F7" s="697">
        <f>C7</f>
        <v>12063.679942541172</v>
      </c>
      <c r="G7" s="163">
        <f t="shared" ref="G7:G31" si="0">E7/MAX($E$7:$E$31)</f>
        <v>0.4567901234567901</v>
      </c>
      <c r="H7" s="163">
        <f t="shared" ref="H7:H31" si="1">F7/MAX($F$7:$F$31)</f>
        <v>1.3195510500882735E-2</v>
      </c>
    </row>
    <row r="8" spans="1:13">
      <c r="A8">
        <v>250</v>
      </c>
      <c r="B8">
        <v>499</v>
      </c>
      <c r="C8" s="697">
        <v>11771.360444194028</v>
      </c>
      <c r="D8" s="697">
        <v>21.666593860909671</v>
      </c>
      <c r="E8" s="697">
        <f>E7+D8</f>
        <v>148.24511589043476</v>
      </c>
      <c r="F8" s="697">
        <f>F7+C8</f>
        <v>23835.0403867352</v>
      </c>
      <c r="G8" s="163">
        <f t="shared" si="0"/>
        <v>0.53497942386831265</v>
      </c>
      <c r="H8" s="163">
        <f t="shared" si="1"/>
        <v>2.6071275697809735E-2</v>
      </c>
    </row>
    <row r="9" spans="1:13">
      <c r="A9">
        <v>500</v>
      </c>
      <c r="B9">
        <v>749</v>
      </c>
      <c r="C9" s="697">
        <v>3523.5500822273825</v>
      </c>
      <c r="D9" s="697">
        <v>4.5613881812442401</v>
      </c>
      <c r="E9" s="697">
        <f>E8+D9</f>
        <v>152.806504071679</v>
      </c>
      <c r="F9" s="697">
        <f t="shared" ref="F9:F31" si="2">F8+C9</f>
        <v>27358.590468962582</v>
      </c>
      <c r="G9" s="163">
        <f t="shared" si="0"/>
        <v>0.55144032921810715</v>
      </c>
      <c r="H9" s="163">
        <f t="shared" si="1"/>
        <v>2.9925409953018071E-2</v>
      </c>
    </row>
    <row r="10" spans="1:13">
      <c r="A10">
        <v>750</v>
      </c>
      <c r="B10">
        <v>999</v>
      </c>
      <c r="C10" s="697">
        <v>8283.9573967085234</v>
      </c>
      <c r="D10" s="697">
        <v>6.842082271866218</v>
      </c>
      <c r="E10" s="697">
        <f t="shared" ref="E10:E31" si="3">E9+D10</f>
        <v>159.64858634354522</v>
      </c>
      <c r="F10" s="697">
        <f t="shared" si="2"/>
        <v>35642.547865671106</v>
      </c>
      <c r="G10" s="163">
        <f t="shared" si="0"/>
        <v>0.57613168724279851</v>
      </c>
      <c r="H10" s="163">
        <f t="shared" si="1"/>
        <v>3.8986579292537744E-2</v>
      </c>
    </row>
    <row r="11" spans="1:13">
      <c r="A11">
        <v>1000</v>
      </c>
      <c r="B11">
        <v>1499</v>
      </c>
      <c r="C11" s="697">
        <v>18040.513556595884</v>
      </c>
      <c r="D11" s="697">
        <v>10.263123407799213</v>
      </c>
      <c r="E11" s="697">
        <f t="shared" si="3"/>
        <v>169.91170975134443</v>
      </c>
      <c r="F11" s="697">
        <f t="shared" si="2"/>
        <v>53683.06142226699</v>
      </c>
      <c r="G11" s="163">
        <f t="shared" si="0"/>
        <v>0.61316872427983515</v>
      </c>
      <c r="H11" s="163">
        <f t="shared" si="1"/>
        <v>5.8719677916773384E-2</v>
      </c>
    </row>
    <row r="12" spans="1:13">
      <c r="A12">
        <v>1500</v>
      </c>
      <c r="B12">
        <v>1999</v>
      </c>
      <c r="C12" s="697">
        <v>30717.121479542351</v>
      </c>
      <c r="D12" s="697">
        <v>12.543817498421447</v>
      </c>
      <c r="E12" s="697">
        <f t="shared" si="3"/>
        <v>182.45552724976588</v>
      </c>
      <c r="F12" s="697">
        <f t="shared" si="2"/>
        <v>84400.182901809341</v>
      </c>
      <c r="G12" s="163">
        <f t="shared" si="0"/>
        <v>0.65843621399176944</v>
      </c>
      <c r="H12" s="163">
        <f t="shared" si="1"/>
        <v>9.2318720743734428E-2</v>
      </c>
    </row>
    <row r="13" spans="1:13">
      <c r="A13">
        <v>2000</v>
      </c>
      <c r="B13">
        <v>2499</v>
      </c>
      <c r="C13" s="697">
        <v>14259.219400557136</v>
      </c>
      <c r="D13" s="697">
        <v>4.5613881812442401</v>
      </c>
      <c r="E13" s="697">
        <f t="shared" si="3"/>
        <v>187.01691543101012</v>
      </c>
      <c r="F13" s="697">
        <f t="shared" si="2"/>
        <v>98659.402302366478</v>
      </c>
      <c r="G13" s="163">
        <f t="shared" si="0"/>
        <v>0.67489711934156404</v>
      </c>
      <c r="H13" s="163">
        <f t="shared" si="1"/>
        <v>0.10791575914583312</v>
      </c>
    </row>
    <row r="14" spans="1:13">
      <c r="A14">
        <v>2500</v>
      </c>
      <c r="B14">
        <v>2999</v>
      </c>
      <c r="C14" s="697">
        <v>34444.980888571474</v>
      </c>
      <c r="D14" s="697">
        <v>9.1227763624881959</v>
      </c>
      <c r="E14" s="697">
        <f t="shared" si="3"/>
        <v>196.13969179349832</v>
      </c>
      <c r="F14" s="697">
        <f t="shared" si="2"/>
        <v>133104.38319093795</v>
      </c>
      <c r="G14" s="163">
        <f t="shared" si="0"/>
        <v>0.70781893004115215</v>
      </c>
      <c r="H14" s="163">
        <f t="shared" si="1"/>
        <v>0.14559241412861668</v>
      </c>
    </row>
    <row r="15" spans="1:13">
      <c r="A15">
        <v>3000</v>
      </c>
      <c r="B15">
        <v>3499</v>
      </c>
      <c r="C15" s="697">
        <v>30583.53461201812</v>
      </c>
      <c r="D15" s="697">
        <v>6.842082271866218</v>
      </c>
      <c r="E15" s="697">
        <f t="shared" si="3"/>
        <v>202.98177406536453</v>
      </c>
      <c r="F15" s="697">
        <f t="shared" si="2"/>
        <v>163687.91780295607</v>
      </c>
      <c r="G15" s="163">
        <f t="shared" si="0"/>
        <v>0.73251028806584351</v>
      </c>
      <c r="H15" s="163">
        <f t="shared" si="1"/>
        <v>0.17904533678979151</v>
      </c>
    </row>
    <row r="16" spans="1:13">
      <c r="A16">
        <v>3500</v>
      </c>
      <c r="B16">
        <v>3999</v>
      </c>
      <c r="C16" s="697">
        <v>40294.514075926709</v>
      </c>
      <c r="D16" s="697">
        <v>7.9824293171772922</v>
      </c>
      <c r="E16" s="697">
        <f t="shared" si="3"/>
        <v>210.96420338254183</v>
      </c>
      <c r="F16" s="697">
        <f t="shared" si="2"/>
        <v>203982.43187888278</v>
      </c>
      <c r="G16" s="163">
        <f t="shared" si="0"/>
        <v>0.76131687242798352</v>
      </c>
      <c r="H16" s="163">
        <f t="shared" si="1"/>
        <v>0.22312033597323766</v>
      </c>
    </row>
    <row r="17" spans="1:8">
      <c r="A17">
        <v>4000</v>
      </c>
      <c r="B17">
        <v>4499</v>
      </c>
      <c r="C17" s="697">
        <v>86311.260912508907</v>
      </c>
      <c r="D17" s="697">
        <v>14.824511589043482</v>
      </c>
      <c r="E17" s="697">
        <f t="shared" si="3"/>
        <v>225.78871497158531</v>
      </c>
      <c r="F17" s="697">
        <f t="shared" si="2"/>
        <v>290293.69279139169</v>
      </c>
      <c r="G17" s="163">
        <f t="shared" si="0"/>
        <v>0.81481481481481477</v>
      </c>
      <c r="H17" s="163">
        <f t="shared" si="1"/>
        <v>0.31752943461810201</v>
      </c>
    </row>
    <row r="18" spans="1:8">
      <c r="A18">
        <v>4500</v>
      </c>
      <c r="B18">
        <v>4999</v>
      </c>
      <c r="C18" s="697">
        <v>29596.563402544998</v>
      </c>
      <c r="D18" s="697">
        <v>4.5613881812442116</v>
      </c>
      <c r="E18" s="697">
        <f t="shared" si="3"/>
        <v>230.35010315282952</v>
      </c>
      <c r="F18" s="697">
        <f t="shared" si="2"/>
        <v>319890.25619393669</v>
      </c>
      <c r="G18" s="163">
        <f t="shared" si="0"/>
        <v>0.83127572016460927</v>
      </c>
      <c r="H18" s="163">
        <f t="shared" si="1"/>
        <v>0.34990278711323275</v>
      </c>
    </row>
    <row r="19" spans="1:8">
      <c r="A19">
        <v>5000</v>
      </c>
      <c r="B19">
        <v>5499</v>
      </c>
      <c r="C19" s="697">
        <v>25346.929405068338</v>
      </c>
      <c r="D19" s="697">
        <v>3.421041135933109</v>
      </c>
      <c r="E19" s="697">
        <f t="shared" si="3"/>
        <v>233.77114428876263</v>
      </c>
      <c r="F19" s="697">
        <f t="shared" si="2"/>
        <v>345237.18559900502</v>
      </c>
      <c r="G19" s="163">
        <f t="shared" si="0"/>
        <v>0.843621399176955</v>
      </c>
      <c r="H19" s="163">
        <f t="shared" si="1"/>
        <v>0.37762779927558782</v>
      </c>
    </row>
    <row r="20" spans="1:8">
      <c r="A20">
        <v>5500</v>
      </c>
      <c r="B20">
        <v>5999</v>
      </c>
      <c r="C20" s="697">
        <v>17540.741511034546</v>
      </c>
      <c r="D20" s="697">
        <v>2.2806940906220063</v>
      </c>
      <c r="E20" s="697">
        <f t="shared" si="3"/>
        <v>236.05183837938463</v>
      </c>
      <c r="F20" s="697">
        <f t="shared" si="2"/>
        <v>362777.92711003957</v>
      </c>
      <c r="G20" s="163">
        <f t="shared" si="0"/>
        <v>0.85185185185185186</v>
      </c>
      <c r="H20" s="163">
        <f t="shared" si="1"/>
        <v>0.39681423657370551</v>
      </c>
    </row>
    <row r="21" spans="1:8">
      <c r="A21">
        <v>6000</v>
      </c>
      <c r="B21">
        <v>6499</v>
      </c>
      <c r="C21" s="697">
        <v>38688.328445223742</v>
      </c>
      <c r="D21" s="697">
        <v>4.5613881812442969</v>
      </c>
      <c r="E21" s="697">
        <f t="shared" si="3"/>
        <v>240.61322656062893</v>
      </c>
      <c r="F21" s="697">
        <f t="shared" si="2"/>
        <v>401466.25555526331</v>
      </c>
      <c r="G21" s="163">
        <f t="shared" si="0"/>
        <v>0.86831275720164658</v>
      </c>
      <c r="H21" s="163">
        <f t="shared" si="1"/>
        <v>0.43913235564616926</v>
      </c>
    </row>
    <row r="22" spans="1:8">
      <c r="A22">
        <v>6500</v>
      </c>
      <c r="B22">
        <v>6999</v>
      </c>
      <c r="C22" s="697">
        <v>31436.918953967048</v>
      </c>
      <c r="D22" s="697">
        <v>3.42104113593291</v>
      </c>
      <c r="E22" s="697">
        <f t="shared" si="3"/>
        <v>244.03426769656184</v>
      </c>
      <c r="F22" s="697">
        <f t="shared" si="2"/>
        <v>432903.17450923036</v>
      </c>
      <c r="G22" s="163">
        <f t="shared" si="0"/>
        <v>0.88065843621399154</v>
      </c>
      <c r="H22" s="163">
        <f t="shared" si="1"/>
        <v>0.47351872830760194</v>
      </c>
    </row>
    <row r="23" spans="1:8">
      <c r="A23">
        <v>8000</v>
      </c>
      <c r="B23">
        <v>8499</v>
      </c>
      <c r="C23" s="697">
        <v>25460.085339912213</v>
      </c>
      <c r="D23" s="697">
        <v>2.2806940906221485</v>
      </c>
      <c r="E23" s="697">
        <f t="shared" si="3"/>
        <v>246.31496178718399</v>
      </c>
      <c r="F23" s="697">
        <f t="shared" si="2"/>
        <v>458363.25984914257</v>
      </c>
      <c r="G23" s="163">
        <f t="shared" si="0"/>
        <v>0.88888888888888895</v>
      </c>
      <c r="H23" s="163">
        <f t="shared" si="1"/>
        <v>0.5013675128456816</v>
      </c>
    </row>
    <row r="24" spans="1:8">
      <c r="A24">
        <v>8500</v>
      </c>
      <c r="B24">
        <v>8999</v>
      </c>
      <c r="C24" s="697">
        <v>68825.525758690259</v>
      </c>
      <c r="D24" s="697">
        <v>5.7017352265551153</v>
      </c>
      <c r="E24" s="697">
        <f t="shared" si="3"/>
        <v>252.0166970137391</v>
      </c>
      <c r="F24" s="697">
        <f t="shared" si="2"/>
        <v>527188.78560783283</v>
      </c>
      <c r="G24" s="163">
        <f t="shared" si="0"/>
        <v>0.90946502057613154</v>
      </c>
      <c r="H24" s="163">
        <f t="shared" si="1"/>
        <v>0.57665034131951676</v>
      </c>
    </row>
    <row r="25" spans="1:8">
      <c r="A25">
        <v>9000</v>
      </c>
      <c r="B25">
        <v>9499</v>
      </c>
      <c r="C25" s="697">
        <v>72385.222875659121</v>
      </c>
      <c r="D25" s="697">
        <v>5.7017352265553143</v>
      </c>
      <c r="E25" s="697">
        <f t="shared" si="3"/>
        <v>257.71843224029442</v>
      </c>
      <c r="F25" s="697">
        <f t="shared" si="2"/>
        <v>599574.00848349195</v>
      </c>
      <c r="G25" s="163">
        <f t="shared" si="0"/>
        <v>0.9300411522633748</v>
      </c>
      <c r="H25" s="163">
        <f t="shared" si="1"/>
        <v>0.6558268424463608</v>
      </c>
    </row>
    <row r="26" spans="1:8">
      <c r="A26">
        <v>9500</v>
      </c>
      <c r="B26">
        <v>9999</v>
      </c>
      <c r="C26" s="697">
        <v>45713.426066792104</v>
      </c>
      <c r="D26" s="697">
        <v>3.4210411359330237</v>
      </c>
      <c r="E26" s="697">
        <f t="shared" si="3"/>
        <v>261.13947337622744</v>
      </c>
      <c r="F26" s="697">
        <f t="shared" si="2"/>
        <v>645287.43455028406</v>
      </c>
      <c r="G26" s="163">
        <f t="shared" si="0"/>
        <v>0.94238683127572009</v>
      </c>
      <c r="H26" s="163">
        <f t="shared" si="1"/>
        <v>0.70582916317840583</v>
      </c>
    </row>
    <row r="27" spans="1:8">
      <c r="A27">
        <v>10000</v>
      </c>
      <c r="B27">
        <v>10999</v>
      </c>
      <c r="C27" s="697">
        <v>47891.677812540089</v>
      </c>
      <c r="D27" s="697">
        <v>3.4210411359330806</v>
      </c>
      <c r="E27" s="697">
        <f t="shared" si="3"/>
        <v>264.56051451216052</v>
      </c>
      <c r="F27" s="697">
        <f t="shared" si="2"/>
        <v>693179.11236282415</v>
      </c>
      <c r="G27" s="163">
        <f t="shared" si="0"/>
        <v>0.95473251028806572</v>
      </c>
      <c r="H27" s="163">
        <f t="shared" si="1"/>
        <v>0.7582141021431531</v>
      </c>
    </row>
    <row r="28" spans="1:8">
      <c r="A28">
        <v>11000</v>
      </c>
      <c r="B28">
        <v>11999</v>
      </c>
      <c r="C28" s="697">
        <v>70658.023259081296</v>
      </c>
      <c r="D28" s="697">
        <v>4.5613881812442401</v>
      </c>
      <c r="E28" s="697">
        <f t="shared" si="3"/>
        <v>269.12190269340476</v>
      </c>
      <c r="F28" s="697">
        <f t="shared" si="2"/>
        <v>763837.13562190544</v>
      </c>
      <c r="G28" s="163">
        <f t="shared" si="0"/>
        <v>0.97119341563786021</v>
      </c>
      <c r="H28" s="163">
        <f t="shared" si="1"/>
        <v>0.83550135547942017</v>
      </c>
    </row>
    <row r="29" spans="1:8">
      <c r="A29">
        <v>12000</v>
      </c>
      <c r="B29">
        <v>12999</v>
      </c>
      <c r="C29" s="697">
        <v>79020.561166098225</v>
      </c>
      <c r="D29" s="697">
        <v>4.5613881812441264</v>
      </c>
      <c r="E29" s="697">
        <f t="shared" si="3"/>
        <v>273.68329087464889</v>
      </c>
      <c r="F29" s="697">
        <f t="shared" si="2"/>
        <v>842857.69678800367</v>
      </c>
      <c r="G29" s="163">
        <f t="shared" si="0"/>
        <v>0.98765432098765438</v>
      </c>
      <c r="H29" s="163">
        <f t="shared" si="1"/>
        <v>0.92193573119390482</v>
      </c>
    </row>
    <row r="30" spans="1:8">
      <c r="A30">
        <v>13000</v>
      </c>
      <c r="B30">
        <v>14999</v>
      </c>
      <c r="C30" s="697">
        <v>23396.561139214202</v>
      </c>
      <c r="D30" s="697">
        <v>1.1403470453109321</v>
      </c>
      <c r="E30" s="697">
        <f t="shared" si="3"/>
        <v>274.82363791995982</v>
      </c>
      <c r="F30" s="697">
        <f t="shared" si="2"/>
        <v>866254.25792721787</v>
      </c>
      <c r="G30" s="163">
        <f t="shared" si="0"/>
        <v>0.99176954732510259</v>
      </c>
      <c r="H30" s="163">
        <f t="shared" si="1"/>
        <v>0.94752738893578059</v>
      </c>
    </row>
    <row r="31" spans="1:8">
      <c r="A31">
        <v>15000</v>
      </c>
      <c r="B31">
        <v>15999</v>
      </c>
      <c r="C31" s="697">
        <v>47971.829933054978</v>
      </c>
      <c r="D31" s="697">
        <v>2.2806940906221485</v>
      </c>
      <c r="E31" s="697">
        <f t="shared" si="3"/>
        <v>277.10433201058197</v>
      </c>
      <c r="F31" s="697">
        <f t="shared" si="2"/>
        <v>914226.08786027285</v>
      </c>
      <c r="G31" s="163">
        <f t="shared" si="0"/>
        <v>1</v>
      </c>
      <c r="H31" s="163">
        <f t="shared" si="1"/>
        <v>1</v>
      </c>
    </row>
    <row r="33" spans="1:4">
      <c r="A33" s="685"/>
      <c r="B33" s="685"/>
      <c r="C33" s="693" t="s">
        <v>912</v>
      </c>
      <c r="D33" s="694">
        <f>MAX(E6:E31)/12</f>
        <v>23.092027667548496</v>
      </c>
    </row>
    <row r="34" spans="1:4">
      <c r="A34" s="685"/>
      <c r="B34" s="685"/>
      <c r="C34" s="693" t="s">
        <v>913</v>
      </c>
      <c r="D34" s="694">
        <f>MAX(F6:F31)/D33/12</f>
        <v>3299.2125428965173</v>
      </c>
    </row>
    <row r="35" spans="1:4">
      <c r="A35" s="689"/>
      <c r="B35" s="689"/>
      <c r="C35" s="695" t="s">
        <v>914</v>
      </c>
      <c r="D35" s="696">
        <f>VLOOKUP(B3,[17]!Percentiles_All_Bills,9,0)</f>
        <v>656</v>
      </c>
    </row>
  </sheetData>
  <conditionalFormatting sqref="M2:M3">
    <cfRule type="cellIs" dxfId="51" priority="1" operator="equal">
      <formula>0</formula>
    </cfRule>
    <cfRule type="cellIs" dxfId="50" priority="2" operator="lessThan">
      <formula>0</formula>
    </cfRule>
    <cfRule type="cellIs" dxfId="49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2C027-0716-4C1B-9DF8-020D8743B5EF}">
  <sheetPr codeName="Sheet70">
    <tabColor theme="9" tint="0.79998168889431442"/>
  </sheetPr>
  <dimension ref="A1:M20"/>
  <sheetViews>
    <sheetView zoomScale="80" zoomScaleNormal="80" workbookViewId="0"/>
  </sheetViews>
  <sheetFormatPr defaultRowHeight="15"/>
  <cols>
    <col min="1" max="1" width="25" customWidth="1"/>
    <col min="2" max="2" width="8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Large Volume Industrial Service</v>
      </c>
      <c r="J1" s="682" t="s">
        <v>522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522</v>
      </c>
      <c r="J2" s="682" t="s">
        <v>900</v>
      </c>
      <c r="K2" s="683">
        <f>'GILVS Adjusted'!E16</f>
        <v>87.083333333333329</v>
      </c>
      <c r="L2" s="683">
        <f>VLOOKUP($J1,Summary!$B:$P,7,0)</f>
        <v>87.083333333333329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5759</v>
      </c>
      <c r="J3" s="682" t="s">
        <v>902</v>
      </c>
      <c r="K3" s="683">
        <f>'GILVS Adjusted'!F16</f>
        <v>1695093.4627493734</v>
      </c>
      <c r="L3" s="683">
        <f>VLOOKUP($J1,Summary!$B:$P,8,0)</f>
        <v>1695093.4627493734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 s="684">
        <v>0</v>
      </c>
      <c r="B7" s="684">
        <v>499</v>
      </c>
      <c r="C7" s="697">
        <v>2383.7360947958805</v>
      </c>
      <c r="D7" s="697">
        <v>11.973958333333334</v>
      </c>
      <c r="E7" s="697">
        <f>D7</f>
        <v>11.973958333333334</v>
      </c>
      <c r="F7" s="697">
        <f>C7</f>
        <v>2383.7360947958805</v>
      </c>
      <c r="G7" s="163">
        <f t="shared" ref="G7:G16" si="0">E7/MAX($E$7:$E$16)</f>
        <v>0.13750000000000001</v>
      </c>
      <c r="H7" s="163">
        <f t="shared" ref="H7:H16" si="1">F7/MAX($F$7:$F$16)</f>
        <v>1.4062564378778009E-3</v>
      </c>
    </row>
    <row r="8" spans="1:13">
      <c r="A8" s="684">
        <v>500</v>
      </c>
      <c r="B8" s="684">
        <v>1999</v>
      </c>
      <c r="C8" s="697">
        <v>7068.2077069892275</v>
      </c>
      <c r="D8" s="697">
        <v>6.5312499999999982</v>
      </c>
      <c r="E8" s="697">
        <f>E7+D8</f>
        <v>18.505208333333332</v>
      </c>
      <c r="F8" s="697">
        <f>F7+C8</f>
        <v>9451.943801785108</v>
      </c>
      <c r="G8" s="163">
        <f t="shared" si="0"/>
        <v>0.21249999999999999</v>
      </c>
      <c r="H8" s="163">
        <f t="shared" si="1"/>
        <v>5.576060559194438E-3</v>
      </c>
    </row>
    <row r="9" spans="1:13">
      <c r="A9" s="684">
        <v>2000</v>
      </c>
      <c r="B9" s="684">
        <v>2999</v>
      </c>
      <c r="C9" s="697">
        <v>5144.0113943748038</v>
      </c>
      <c r="D9" s="697">
        <v>2.1770833333333321</v>
      </c>
      <c r="E9" s="697">
        <f>E8+D9</f>
        <v>20.682291666666664</v>
      </c>
      <c r="F9" s="697">
        <f t="shared" ref="F9:F16" si="2">F8+C9</f>
        <v>14595.955196159912</v>
      </c>
      <c r="G9" s="163">
        <f t="shared" si="0"/>
        <v>0.23749999999999999</v>
      </c>
      <c r="H9" s="163">
        <f t="shared" si="1"/>
        <v>8.6107082098504824E-3</v>
      </c>
    </row>
    <row r="10" spans="1:13">
      <c r="A10" s="684">
        <v>5000</v>
      </c>
      <c r="B10" s="684">
        <v>9999</v>
      </c>
      <c r="C10" s="697">
        <v>19613.441320110302</v>
      </c>
      <c r="D10" s="697">
        <v>2.1770833333333357</v>
      </c>
      <c r="E10" s="697">
        <f t="shared" ref="E10:E16" si="3">E9+D10</f>
        <v>22.859375</v>
      </c>
      <c r="F10" s="697">
        <f t="shared" si="2"/>
        <v>34209.396516270215</v>
      </c>
      <c r="G10" s="163">
        <f t="shared" si="0"/>
        <v>0.26250000000000001</v>
      </c>
      <c r="H10" s="163">
        <f t="shared" si="1"/>
        <v>2.0181422008898525E-2</v>
      </c>
    </row>
    <row r="11" spans="1:13">
      <c r="A11" s="684">
        <v>10000</v>
      </c>
      <c r="B11" s="684">
        <v>14999</v>
      </c>
      <c r="C11" s="697">
        <v>255165.03116815226</v>
      </c>
      <c r="D11" s="697">
        <v>21.770833333333329</v>
      </c>
      <c r="E11" s="697">
        <f t="shared" si="3"/>
        <v>44.630208333333329</v>
      </c>
      <c r="F11" s="697">
        <f t="shared" si="2"/>
        <v>289374.42768442247</v>
      </c>
      <c r="G11" s="163">
        <f t="shared" si="0"/>
        <v>0.51249999999999996</v>
      </c>
      <c r="H11" s="163">
        <f t="shared" si="1"/>
        <v>0.17071296305695663</v>
      </c>
    </row>
    <row r="12" spans="1:13">
      <c r="A12" s="684">
        <v>15000</v>
      </c>
      <c r="B12" s="684">
        <v>19999</v>
      </c>
      <c r="C12" s="697">
        <v>100590.62659389601</v>
      </c>
      <c r="D12" s="697">
        <v>6.5312500000000071</v>
      </c>
      <c r="E12" s="697">
        <f t="shared" si="3"/>
        <v>51.161458333333336</v>
      </c>
      <c r="F12" s="697">
        <f t="shared" si="2"/>
        <v>389965.05427831848</v>
      </c>
      <c r="G12" s="163">
        <f t="shared" si="0"/>
        <v>0.58750000000000002</v>
      </c>
      <c r="H12" s="163">
        <f t="shared" si="1"/>
        <v>0.23005519332592483</v>
      </c>
    </row>
    <row r="13" spans="1:13">
      <c r="A13" s="684">
        <v>20000</v>
      </c>
      <c r="B13" s="684">
        <v>29999</v>
      </c>
      <c r="C13" s="697">
        <v>264464.13244326465</v>
      </c>
      <c r="D13" s="697">
        <v>13.062499999999993</v>
      </c>
      <c r="E13" s="697">
        <f t="shared" si="3"/>
        <v>64.223958333333329</v>
      </c>
      <c r="F13" s="697">
        <f t="shared" si="2"/>
        <v>654429.18672158313</v>
      </c>
      <c r="G13" s="163">
        <f t="shared" si="0"/>
        <v>0.73749999999999993</v>
      </c>
      <c r="H13" s="163">
        <f t="shared" si="1"/>
        <v>0.38607262732293551</v>
      </c>
    </row>
    <row r="14" spans="1:13">
      <c r="A14" s="684">
        <v>30000</v>
      </c>
      <c r="B14" s="684">
        <v>49999</v>
      </c>
      <c r="C14" s="697">
        <v>559604.06365038687</v>
      </c>
      <c r="D14" s="697">
        <v>15.239583333333329</v>
      </c>
      <c r="E14" s="697">
        <f t="shared" si="3"/>
        <v>79.463541666666657</v>
      </c>
      <c r="F14" s="697">
        <f t="shared" si="2"/>
        <v>1214033.25037197</v>
      </c>
      <c r="G14" s="163">
        <f t="shared" si="0"/>
        <v>0.91249999999999998</v>
      </c>
      <c r="H14" s="163">
        <f t="shared" si="1"/>
        <v>0.71620431383344307</v>
      </c>
    </row>
    <row r="15" spans="1:13">
      <c r="A15" s="684">
        <v>50000</v>
      </c>
      <c r="B15" s="684">
        <v>59999</v>
      </c>
      <c r="C15" s="697">
        <v>104433.95820830832</v>
      </c>
      <c r="D15" s="697">
        <v>2.1770833333333428</v>
      </c>
      <c r="E15" s="697">
        <f t="shared" si="3"/>
        <v>81.640625</v>
      </c>
      <c r="F15" s="697">
        <f t="shared" si="2"/>
        <v>1318467.2085802783</v>
      </c>
      <c r="G15" s="163">
        <f t="shared" si="0"/>
        <v>0.9375</v>
      </c>
      <c r="H15" s="163">
        <f t="shared" si="1"/>
        <v>0.77781387136127444</v>
      </c>
    </row>
    <row r="16" spans="1:13">
      <c r="A16" s="684">
        <v>60000</v>
      </c>
      <c r="B16" s="684">
        <v>99999</v>
      </c>
      <c r="C16" s="697">
        <v>376626.25416909507</v>
      </c>
      <c r="D16" s="697">
        <v>5.4427083333333286</v>
      </c>
      <c r="E16" s="697">
        <f t="shared" si="3"/>
        <v>87.083333333333329</v>
      </c>
      <c r="F16" s="697">
        <f t="shared" si="2"/>
        <v>1695093.4627493734</v>
      </c>
      <c r="G16" s="163">
        <f t="shared" si="0"/>
        <v>1</v>
      </c>
      <c r="H16" s="163">
        <f t="shared" si="1"/>
        <v>1</v>
      </c>
    </row>
    <row r="18" spans="1:4">
      <c r="A18" s="685"/>
      <c r="B18" s="685"/>
      <c r="C18" s="693" t="s">
        <v>912</v>
      </c>
      <c r="D18" s="694">
        <f>MAX(E6:E16)/12</f>
        <v>7.2569444444444438</v>
      </c>
    </row>
    <row r="19" spans="1:4">
      <c r="A19" s="685"/>
      <c r="B19" s="685"/>
      <c r="C19" s="693" t="s">
        <v>913</v>
      </c>
      <c r="D19" s="694">
        <f>MAX(F6:F16)/D18/12</f>
        <v>19465.188088988023</v>
      </c>
    </row>
    <row r="20" spans="1:4">
      <c r="A20" s="689"/>
      <c r="B20" s="689"/>
      <c r="C20" s="695" t="s">
        <v>914</v>
      </c>
      <c r="D20" s="696">
        <f>VLOOKUP(B3,[17]!Percentiles_All_Bills,9,0)</f>
        <v>13945</v>
      </c>
    </row>
  </sheetData>
  <conditionalFormatting sqref="M2:M3">
    <cfRule type="cellIs" dxfId="48" priority="1" operator="equal">
      <formula>0</formula>
    </cfRule>
    <cfRule type="cellIs" dxfId="47" priority="2" operator="lessThan">
      <formula>0</formula>
    </cfRule>
    <cfRule type="cellIs" dxfId="46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B3FD8-5218-47B0-A2DB-CAF46DF47E3F}">
  <sheetPr codeName="Sheet71">
    <tabColor theme="9" tint="0.79998168889431442"/>
  </sheetPr>
  <dimension ref="A1:M30"/>
  <sheetViews>
    <sheetView zoomScale="80" zoomScaleNormal="80" workbookViewId="0"/>
  </sheetViews>
  <sheetFormatPr defaultRowHeight="15"/>
  <cols>
    <col min="1" max="1" width="25" customWidth="1"/>
    <col min="2" max="2" width="11.14062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Small Volume Public Authority Service</v>
      </c>
      <c r="J1" s="682" t="s">
        <v>537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537</v>
      </c>
      <c r="J2" s="682" t="s">
        <v>900</v>
      </c>
      <c r="K2" s="683">
        <f>'GPSVS Adjusted'!E26</f>
        <v>12321.763072238684</v>
      </c>
      <c r="L2" s="683">
        <f>VLOOKUP($J1,Summary!$B:$P,7,0)</f>
        <v>12321.763072238684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5765</v>
      </c>
      <c r="J3" s="682" t="s">
        <v>902</v>
      </c>
      <c r="K3" s="683">
        <f>'GPSVS Adjusted'!F26</f>
        <v>4738352.0913855983</v>
      </c>
      <c r="L3" s="683">
        <f>VLOOKUP($J1,Summary!$B:$P,8,0)</f>
        <v>4738352.0913855983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49</v>
      </c>
      <c r="C7" s="697">
        <v>62162.090575291084</v>
      </c>
      <c r="D7" s="697">
        <v>5759.6361645070174</v>
      </c>
      <c r="E7" s="697">
        <f>D7</f>
        <v>5759.6361645070174</v>
      </c>
      <c r="F7" s="697">
        <f>C7</f>
        <v>62162.090575291084</v>
      </c>
      <c r="G7" s="163">
        <f t="shared" ref="G7:G26" si="0">E7/MAX($E$7:$E$26)</f>
        <v>0.46743604228875796</v>
      </c>
      <c r="H7" s="163">
        <f t="shared" ref="H7:H26" si="1">F7/MAX($F$7:$F$26)</f>
        <v>1.3118926026688221E-2</v>
      </c>
    </row>
    <row r="8" spans="1:13">
      <c r="A8">
        <v>50</v>
      </c>
      <c r="B8">
        <v>99</v>
      </c>
      <c r="C8" s="697">
        <v>93806.187387665239</v>
      </c>
      <c r="D8" s="697">
        <v>1297.7080791922735</v>
      </c>
      <c r="E8" s="697">
        <f>E7+D8</f>
        <v>7057.3442436992909</v>
      </c>
      <c r="F8" s="697">
        <f>F7+C8</f>
        <v>155968.27796295632</v>
      </c>
      <c r="G8" s="163">
        <f t="shared" si="0"/>
        <v>0.57275441852957776</v>
      </c>
      <c r="H8" s="163">
        <f t="shared" si="1"/>
        <v>3.2916143620164741E-2</v>
      </c>
    </row>
    <row r="9" spans="1:13">
      <c r="A9">
        <v>100</v>
      </c>
      <c r="B9">
        <v>199</v>
      </c>
      <c r="C9" s="697">
        <v>189461.82871598736</v>
      </c>
      <c r="D9" s="697">
        <v>1306.657790083259</v>
      </c>
      <c r="E9" s="697">
        <f>E8+D9</f>
        <v>8364.0020337825499</v>
      </c>
      <c r="F9" s="697">
        <f t="shared" ref="F9:F26" si="2">F8+C9</f>
        <v>345430.10667894367</v>
      </c>
      <c r="G9" s="163">
        <f t="shared" si="0"/>
        <v>0.67879912839964496</v>
      </c>
      <c r="H9" s="163">
        <f t="shared" si="1"/>
        <v>7.2900894660601789E-2</v>
      </c>
    </row>
    <row r="10" spans="1:13">
      <c r="A10">
        <v>200</v>
      </c>
      <c r="B10">
        <v>299</v>
      </c>
      <c r="C10" s="697">
        <v>202491.16159694089</v>
      </c>
      <c r="D10" s="697">
        <v>817.40692804294849</v>
      </c>
      <c r="E10" s="697">
        <f t="shared" ref="E10:E26" si="3">E9+D10</f>
        <v>9181.4089618254984</v>
      </c>
      <c r="F10" s="697">
        <f t="shared" si="2"/>
        <v>547921.26827588456</v>
      </c>
      <c r="G10" s="163">
        <f t="shared" si="0"/>
        <v>0.74513759987087391</v>
      </c>
      <c r="H10" s="163">
        <f t="shared" si="1"/>
        <v>0.11563540608812384</v>
      </c>
    </row>
    <row r="11" spans="1:13">
      <c r="A11">
        <v>300</v>
      </c>
      <c r="B11">
        <v>399</v>
      </c>
      <c r="C11" s="697">
        <v>182204.2748990223</v>
      </c>
      <c r="D11" s="697">
        <v>524.05529328301236</v>
      </c>
      <c r="E11" s="697">
        <f t="shared" si="3"/>
        <v>9705.4642551085108</v>
      </c>
      <c r="F11" s="697">
        <f t="shared" si="2"/>
        <v>730125.54317490687</v>
      </c>
      <c r="G11" s="163">
        <f t="shared" si="0"/>
        <v>0.787668469050117</v>
      </c>
      <c r="H11" s="163">
        <f t="shared" si="1"/>
        <v>0.15408849513363243</v>
      </c>
    </row>
    <row r="12" spans="1:13">
      <c r="A12">
        <v>400</v>
      </c>
      <c r="B12">
        <v>499</v>
      </c>
      <c r="C12" s="697">
        <v>164892.94519121724</v>
      </c>
      <c r="D12" s="697">
        <v>365.94373420900956</v>
      </c>
      <c r="E12" s="697">
        <f t="shared" si="3"/>
        <v>10071.40798931752</v>
      </c>
      <c r="F12" s="697">
        <f t="shared" si="2"/>
        <v>895018.4883661241</v>
      </c>
      <c r="G12" s="163">
        <f t="shared" si="0"/>
        <v>0.81736744411266249</v>
      </c>
      <c r="H12" s="163">
        <f t="shared" si="1"/>
        <v>0.18888813475749985</v>
      </c>
    </row>
    <row r="13" spans="1:13">
      <c r="A13">
        <v>500</v>
      </c>
      <c r="B13">
        <v>599</v>
      </c>
      <c r="C13" s="697">
        <v>177044.63904074382</v>
      </c>
      <c r="D13" s="697">
        <v>321.19517975410599</v>
      </c>
      <c r="E13" s="697">
        <f t="shared" si="3"/>
        <v>10392.603169071626</v>
      </c>
      <c r="F13" s="697">
        <f t="shared" si="2"/>
        <v>1072063.1274068679</v>
      </c>
      <c r="G13" s="163">
        <f t="shared" si="0"/>
        <v>0.84343475102897292</v>
      </c>
      <c r="H13" s="163">
        <f t="shared" si="1"/>
        <v>0.22625231446094862</v>
      </c>
    </row>
    <row r="14" spans="1:13">
      <c r="A14">
        <v>600</v>
      </c>
      <c r="B14">
        <v>699</v>
      </c>
      <c r="C14" s="697">
        <v>173813.60493531683</v>
      </c>
      <c r="D14" s="697">
        <v>266.50250208699435</v>
      </c>
      <c r="E14" s="697">
        <f t="shared" si="3"/>
        <v>10659.105671158621</v>
      </c>
      <c r="F14" s="697">
        <f t="shared" si="2"/>
        <v>1245876.7323421848</v>
      </c>
      <c r="G14" s="163">
        <f t="shared" si="0"/>
        <v>0.86506335243321775</v>
      </c>
      <c r="H14" s="163">
        <f t="shared" si="1"/>
        <v>0.26293460433368998</v>
      </c>
    </row>
    <row r="15" spans="1:13">
      <c r="A15">
        <v>700</v>
      </c>
      <c r="B15">
        <v>799</v>
      </c>
      <c r="C15" s="697">
        <v>123027.76002424955</v>
      </c>
      <c r="D15" s="697">
        <v>164.078033001324</v>
      </c>
      <c r="E15" s="697">
        <f t="shared" si="3"/>
        <v>10823.183704159945</v>
      </c>
      <c r="F15" s="697">
        <f t="shared" si="2"/>
        <v>1368904.4923664343</v>
      </c>
      <c r="G15" s="163">
        <f t="shared" si="0"/>
        <v>0.87837946896941355</v>
      </c>
      <c r="H15" s="163">
        <f t="shared" si="1"/>
        <v>0.28889885469995469</v>
      </c>
    </row>
    <row r="16" spans="1:13">
      <c r="A16">
        <v>800</v>
      </c>
      <c r="B16">
        <v>899</v>
      </c>
      <c r="C16" s="697">
        <v>123976.53189954837</v>
      </c>
      <c r="D16" s="697">
        <v>145.18419889813777</v>
      </c>
      <c r="E16" s="697">
        <f t="shared" si="3"/>
        <v>10968.367903058082</v>
      </c>
      <c r="F16" s="697">
        <f t="shared" si="2"/>
        <v>1492881.0242659827</v>
      </c>
      <c r="G16" s="163">
        <f t="shared" si="0"/>
        <v>0.8901622145105319</v>
      </c>
      <c r="H16" s="163">
        <f t="shared" si="1"/>
        <v>0.31506333752193399</v>
      </c>
    </row>
    <row r="17" spans="1:8">
      <c r="A17">
        <v>900</v>
      </c>
      <c r="B17">
        <v>999</v>
      </c>
      <c r="C17" s="697">
        <v>123331.32694950444</v>
      </c>
      <c r="D17" s="697">
        <v>128.27918943739496</v>
      </c>
      <c r="E17" s="697">
        <f t="shared" si="3"/>
        <v>11096.647092495477</v>
      </c>
      <c r="F17" s="697">
        <f t="shared" si="2"/>
        <v>1616212.3512154871</v>
      </c>
      <c r="G17" s="163">
        <f t="shared" si="0"/>
        <v>0.90057299652973921</v>
      </c>
      <c r="H17" s="163">
        <f t="shared" si="1"/>
        <v>0.34109165381647927</v>
      </c>
    </row>
    <row r="18" spans="1:8">
      <c r="A18">
        <v>1000</v>
      </c>
      <c r="B18">
        <v>1999</v>
      </c>
      <c r="C18" s="697">
        <v>951329.65206523216</v>
      </c>
      <c r="D18" s="697">
        <v>671.22831682358628</v>
      </c>
      <c r="E18" s="697">
        <f t="shared" si="3"/>
        <v>11767.875409319064</v>
      </c>
      <c r="F18" s="697">
        <f t="shared" si="2"/>
        <v>2567542.0032807193</v>
      </c>
      <c r="G18" s="163">
        <f t="shared" si="0"/>
        <v>0.9550480187232665</v>
      </c>
      <c r="H18" s="163">
        <f t="shared" si="1"/>
        <v>0.54186391255064237</v>
      </c>
    </row>
    <row r="19" spans="1:8">
      <c r="A19">
        <v>2000</v>
      </c>
      <c r="B19">
        <v>2999</v>
      </c>
      <c r="C19" s="697">
        <v>610703.5170252095</v>
      </c>
      <c r="D19" s="697">
        <v>248.6030803050453</v>
      </c>
      <c r="E19" s="697">
        <f t="shared" si="3"/>
        <v>12016.478489624109</v>
      </c>
      <c r="F19" s="697">
        <f t="shared" si="2"/>
        <v>3178245.5203059288</v>
      </c>
      <c r="G19" s="163">
        <f t="shared" si="0"/>
        <v>0.97522395286901831</v>
      </c>
      <c r="H19" s="163">
        <f t="shared" si="1"/>
        <v>0.6707491252252088</v>
      </c>
    </row>
    <row r="20" spans="1:8">
      <c r="A20">
        <v>3000</v>
      </c>
      <c r="B20">
        <v>3999</v>
      </c>
      <c r="C20" s="697">
        <v>464931.28064083494</v>
      </c>
      <c r="D20" s="697">
        <v>134.24566336471253</v>
      </c>
      <c r="E20" s="697">
        <f t="shared" si="3"/>
        <v>12150.724152988822</v>
      </c>
      <c r="F20" s="697">
        <f t="shared" si="2"/>
        <v>3643176.8009467637</v>
      </c>
      <c r="G20" s="163">
        <f t="shared" si="0"/>
        <v>0.98611895730772336</v>
      </c>
      <c r="H20" s="163">
        <f t="shared" si="1"/>
        <v>0.76887000600274491</v>
      </c>
    </row>
    <row r="21" spans="1:8">
      <c r="A21">
        <v>4000</v>
      </c>
      <c r="B21">
        <v>4999</v>
      </c>
      <c r="C21" s="697">
        <v>295283.45549167879</v>
      </c>
      <c r="D21" s="697">
        <v>65.631213200527782</v>
      </c>
      <c r="E21" s="697">
        <f t="shared" si="3"/>
        <v>12216.355366189349</v>
      </c>
      <c r="F21" s="697">
        <f t="shared" si="2"/>
        <v>3938460.2564384425</v>
      </c>
      <c r="G21" s="163">
        <f t="shared" si="0"/>
        <v>0.9914454039222016</v>
      </c>
      <c r="H21" s="163">
        <f t="shared" si="1"/>
        <v>0.8311877590520611</v>
      </c>
    </row>
    <row r="22" spans="1:8">
      <c r="A22">
        <v>5000</v>
      </c>
      <c r="B22">
        <v>5999</v>
      </c>
      <c r="C22" s="697">
        <v>166381.72555731423</v>
      </c>
      <c r="D22" s="697">
        <v>29.83236963660238</v>
      </c>
      <c r="E22" s="697">
        <f t="shared" si="3"/>
        <v>12246.187735825952</v>
      </c>
      <c r="F22" s="697">
        <f t="shared" si="2"/>
        <v>4104841.9819957567</v>
      </c>
      <c r="G22" s="163">
        <f t="shared" si="0"/>
        <v>0.99386651601969156</v>
      </c>
      <c r="H22" s="163">
        <f t="shared" si="1"/>
        <v>0.86630159659482175</v>
      </c>
    </row>
    <row r="23" spans="1:8">
      <c r="A23">
        <v>6000</v>
      </c>
      <c r="B23">
        <v>7999</v>
      </c>
      <c r="C23" s="697">
        <v>283303.08159007039</v>
      </c>
      <c r="D23" s="697">
        <v>40.770905170029437</v>
      </c>
      <c r="E23" s="697">
        <f t="shared" si="3"/>
        <v>12286.958640995981</v>
      </c>
      <c r="F23" s="697">
        <f t="shared" si="2"/>
        <v>4388145.0635858271</v>
      </c>
      <c r="G23" s="163">
        <f t="shared" si="0"/>
        <v>0.99717536921959504</v>
      </c>
      <c r="H23" s="163">
        <f t="shared" si="1"/>
        <v>0.92609096558348769</v>
      </c>
    </row>
    <row r="24" spans="1:8">
      <c r="A24">
        <v>8000</v>
      </c>
      <c r="B24">
        <v>9999</v>
      </c>
      <c r="C24" s="697">
        <v>193887.09310161974</v>
      </c>
      <c r="D24" s="697">
        <v>21.8770710668432</v>
      </c>
      <c r="E24" s="697">
        <f t="shared" si="3"/>
        <v>12308.835712062824</v>
      </c>
      <c r="F24" s="697">
        <f t="shared" si="2"/>
        <v>4582032.1566874469</v>
      </c>
      <c r="G24" s="163">
        <f t="shared" si="0"/>
        <v>0.99895085142442108</v>
      </c>
      <c r="H24" s="163">
        <f t="shared" si="1"/>
        <v>0.96700964139360945</v>
      </c>
    </row>
    <row r="25" spans="1:8">
      <c r="A25">
        <v>10000</v>
      </c>
      <c r="B25">
        <v>11999</v>
      </c>
      <c r="C25" s="697">
        <v>98102.210409082472</v>
      </c>
      <c r="D25" s="697">
        <v>8.9497108909818053</v>
      </c>
      <c r="E25" s="697">
        <f t="shared" si="3"/>
        <v>12317.785422953806</v>
      </c>
      <c r="F25" s="697">
        <f t="shared" si="2"/>
        <v>4680134.3670965293</v>
      </c>
      <c r="G25" s="163">
        <f t="shared" si="0"/>
        <v>0.9996771850536682</v>
      </c>
      <c r="H25" s="163">
        <f t="shared" si="1"/>
        <v>0.98771350816354286</v>
      </c>
    </row>
    <row r="26" spans="1:8">
      <c r="A26">
        <v>12000</v>
      </c>
      <c r="B26">
        <v>64202300</v>
      </c>
      <c r="C26" s="697">
        <v>58217.724289068952</v>
      </c>
      <c r="D26" s="697">
        <v>3.9776492848777707</v>
      </c>
      <c r="E26" s="697">
        <f t="shared" si="3"/>
        <v>12321.763072238684</v>
      </c>
      <c r="F26" s="697">
        <f t="shared" si="2"/>
        <v>4738352.0913855983</v>
      </c>
      <c r="G26" s="163">
        <f t="shared" si="0"/>
        <v>1</v>
      </c>
      <c r="H26" s="163">
        <f t="shared" si="1"/>
        <v>1</v>
      </c>
    </row>
    <row r="28" spans="1:8">
      <c r="A28" s="685"/>
      <c r="B28" s="685"/>
      <c r="C28" s="693" t="s">
        <v>912</v>
      </c>
      <c r="D28" s="694">
        <f>MAX(E6:E26)/12</f>
        <v>1026.8135893532237</v>
      </c>
    </row>
    <row r="29" spans="1:8">
      <c r="A29" s="685"/>
      <c r="B29" s="685"/>
      <c r="C29" s="693" t="s">
        <v>913</v>
      </c>
      <c r="D29" s="694">
        <f>MAX(F6:F26)/D28/12</f>
        <v>384.55146910438924</v>
      </c>
    </row>
    <row r="30" spans="1:8">
      <c r="A30" s="689"/>
      <c r="B30" s="689"/>
      <c r="C30" s="695" t="s">
        <v>914</v>
      </c>
      <c r="D30" s="696">
        <f>VLOOKUP(B3,[17]!Percentiles_All_Bills,9,0)</f>
        <v>61</v>
      </c>
    </row>
  </sheetData>
  <conditionalFormatting sqref="M2:M3">
    <cfRule type="cellIs" dxfId="45" priority="1" operator="equal">
      <formula>0</formula>
    </cfRule>
    <cfRule type="cellIs" dxfId="44" priority="2" operator="lessThan">
      <formula>0</formula>
    </cfRule>
    <cfRule type="cellIs" dxfId="43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0D3BB-A523-4A1F-8F5C-5D040A4614FD}">
  <sheetPr codeName="Sheet72">
    <tabColor theme="9" tint="0.79998168889431442"/>
  </sheetPr>
  <dimension ref="A1:M20"/>
  <sheetViews>
    <sheetView zoomScale="80" zoomScaleNormal="80" workbookViewId="0"/>
  </sheetViews>
  <sheetFormatPr defaultRowHeight="15"/>
  <cols>
    <col min="1" max="1" width="25" customWidth="1"/>
    <col min="2" max="2" width="9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Large Volume Public Authority Service</v>
      </c>
      <c r="J1" s="682" t="s">
        <v>538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538</v>
      </c>
      <c r="J2" s="682" t="s">
        <v>900</v>
      </c>
      <c r="K2" s="683">
        <f>'GPLVS Adjusted'!E16</f>
        <v>83</v>
      </c>
      <c r="L2" s="683">
        <f>VLOOKUP($J1,Summary!$B:$P,7,0)</f>
        <v>83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5766</v>
      </c>
      <c r="J3" s="682" t="s">
        <v>902</v>
      </c>
      <c r="K3" s="683">
        <f>'GPLVS Adjusted'!F16</f>
        <v>1013261.7770737136</v>
      </c>
      <c r="L3" s="683">
        <f>VLOOKUP($J1,Summary!$B:$P,8,0)</f>
        <v>1013261.7770737136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599</v>
      </c>
      <c r="C7" s="697">
        <v>1085.8437166125782</v>
      </c>
      <c r="D7" s="697">
        <v>6.3846153846153824</v>
      </c>
      <c r="E7" s="697">
        <f>D7</f>
        <v>6.3846153846153824</v>
      </c>
      <c r="F7" s="697">
        <f>C7</f>
        <v>1085.8437166125782</v>
      </c>
      <c r="G7" s="163">
        <f t="shared" ref="G7:G16" si="0">E7/MAX($E$7:$E$16)</f>
        <v>7.69230769230769E-2</v>
      </c>
      <c r="H7" s="163">
        <f t="shared" ref="H7:H16" si="1">F7/MAX($F$7:$F$16)</f>
        <v>1.071631972290991E-3</v>
      </c>
    </row>
    <row r="8" spans="1:13">
      <c r="A8">
        <v>600</v>
      </c>
      <c r="B8">
        <v>799</v>
      </c>
      <c r="C8" s="697">
        <v>761.97492911967288</v>
      </c>
      <c r="D8" s="697">
        <v>1.0641025641025674</v>
      </c>
      <c r="E8" s="697">
        <f>E7+D8</f>
        <v>7.4487179487179498</v>
      </c>
      <c r="F8" s="697">
        <f>F7+C8</f>
        <v>1847.8186457322511</v>
      </c>
      <c r="G8" s="163">
        <f t="shared" si="0"/>
        <v>8.9743589743589758E-2</v>
      </c>
      <c r="H8" s="163">
        <f t="shared" si="1"/>
        <v>1.8236340179225219E-3</v>
      </c>
    </row>
    <row r="9" spans="1:13">
      <c r="A9">
        <v>800</v>
      </c>
      <c r="B9">
        <v>999</v>
      </c>
      <c r="C9" s="697">
        <v>1006.9375029324881</v>
      </c>
      <c r="D9" s="697">
        <v>1.064102564102563</v>
      </c>
      <c r="E9" s="697">
        <f>E8+D9</f>
        <v>8.5128205128205128</v>
      </c>
      <c r="F9" s="697">
        <f t="shared" ref="F9:F16" si="2">F8+C9</f>
        <v>2854.7561486647392</v>
      </c>
      <c r="G9" s="163">
        <f t="shared" si="0"/>
        <v>0.10256410256410256</v>
      </c>
      <c r="H9" s="163">
        <f t="shared" si="1"/>
        <v>2.8173925171728442E-3</v>
      </c>
    </row>
    <row r="10" spans="1:13">
      <c r="A10">
        <v>1000</v>
      </c>
      <c r="B10">
        <v>5999</v>
      </c>
      <c r="C10" s="697">
        <v>73458.151822118205</v>
      </c>
      <c r="D10" s="697">
        <v>22.346153846153854</v>
      </c>
      <c r="E10" s="697">
        <f t="shared" ref="E10:E16" si="3">E9+D10</f>
        <v>30.858974358974365</v>
      </c>
      <c r="F10" s="697">
        <f t="shared" si="2"/>
        <v>76312.907970782951</v>
      </c>
      <c r="G10" s="163">
        <f t="shared" si="0"/>
        <v>0.37179487179487186</v>
      </c>
      <c r="H10" s="163">
        <f t="shared" si="1"/>
        <v>7.5314109046108108E-2</v>
      </c>
    </row>
    <row r="11" spans="1:13">
      <c r="A11">
        <v>6000</v>
      </c>
      <c r="B11">
        <v>7999</v>
      </c>
      <c r="C11" s="697">
        <v>51581.10965314279</v>
      </c>
      <c r="D11" s="697">
        <v>6.3846153846153868</v>
      </c>
      <c r="E11" s="697">
        <f t="shared" si="3"/>
        <v>37.243589743589752</v>
      </c>
      <c r="F11" s="697">
        <f t="shared" si="2"/>
        <v>127894.01762392574</v>
      </c>
      <c r="G11" s="163">
        <f t="shared" si="0"/>
        <v>0.44871794871794879</v>
      </c>
      <c r="H11" s="163">
        <f t="shared" si="1"/>
        <v>0.12622011460185734</v>
      </c>
    </row>
    <row r="12" spans="1:13">
      <c r="A12">
        <v>8000</v>
      </c>
      <c r="B12">
        <v>9999</v>
      </c>
      <c r="C12" s="697">
        <v>74653.522074137523</v>
      </c>
      <c r="D12" s="697">
        <v>7.4487179487179205</v>
      </c>
      <c r="E12" s="697">
        <f t="shared" si="3"/>
        <v>44.692307692307672</v>
      </c>
      <c r="F12" s="697">
        <f t="shared" si="2"/>
        <v>202547.53969806328</v>
      </c>
      <c r="G12" s="163">
        <f t="shared" si="0"/>
        <v>0.53846153846153821</v>
      </c>
      <c r="H12" s="163">
        <f t="shared" si="1"/>
        <v>0.19989655613282664</v>
      </c>
    </row>
    <row r="13" spans="1:13">
      <c r="A13">
        <v>10000</v>
      </c>
      <c r="B13">
        <v>12999</v>
      </c>
      <c r="C13" s="697">
        <v>131838.15060324842</v>
      </c>
      <c r="D13" s="697">
        <v>10.641025641025649</v>
      </c>
      <c r="E13" s="697">
        <f t="shared" si="3"/>
        <v>55.333333333333321</v>
      </c>
      <c r="F13" s="697">
        <f t="shared" si="2"/>
        <v>334385.69030131167</v>
      </c>
      <c r="G13" s="163">
        <f t="shared" si="0"/>
        <v>0.66666666666666652</v>
      </c>
      <c r="H13" s="163">
        <f t="shared" si="1"/>
        <v>0.33000918209607494</v>
      </c>
    </row>
    <row r="14" spans="1:13">
      <c r="A14">
        <v>13000</v>
      </c>
      <c r="B14">
        <v>23999</v>
      </c>
      <c r="C14" s="697">
        <v>442337.63454844698</v>
      </c>
      <c r="D14" s="697">
        <v>21.282051282051306</v>
      </c>
      <c r="E14" s="697">
        <f t="shared" si="3"/>
        <v>76.615384615384627</v>
      </c>
      <c r="F14" s="697">
        <f t="shared" si="2"/>
        <v>776723.32484975865</v>
      </c>
      <c r="G14" s="163">
        <f t="shared" si="0"/>
        <v>0.92307692307692324</v>
      </c>
      <c r="H14" s="163">
        <f t="shared" si="1"/>
        <v>0.7665574113462813</v>
      </c>
    </row>
    <row r="15" spans="1:13">
      <c r="A15">
        <v>24000</v>
      </c>
      <c r="B15">
        <v>26999</v>
      </c>
      <c r="C15" s="697">
        <v>30540.237808239879</v>
      </c>
      <c r="D15" s="697">
        <v>1.064102564102555</v>
      </c>
      <c r="E15" s="697">
        <f t="shared" si="3"/>
        <v>77.679487179487182</v>
      </c>
      <c r="F15" s="697">
        <f t="shared" si="2"/>
        <v>807263.56265799853</v>
      </c>
      <c r="G15" s="163">
        <f t="shared" si="0"/>
        <v>0.9358974358974359</v>
      </c>
      <c r="H15" s="163">
        <f t="shared" si="1"/>
        <v>0.79669793228494701</v>
      </c>
    </row>
    <row r="16" spans="1:13">
      <c r="A16">
        <v>30000</v>
      </c>
      <c r="B16">
        <v>39999</v>
      </c>
      <c r="C16" s="697">
        <v>205998.21441571508</v>
      </c>
      <c r="D16" s="697">
        <v>5.3205128205128176</v>
      </c>
      <c r="E16" s="697">
        <f t="shared" si="3"/>
        <v>83</v>
      </c>
      <c r="F16" s="697">
        <f t="shared" si="2"/>
        <v>1013261.7770737136</v>
      </c>
      <c r="G16" s="163">
        <f t="shared" si="0"/>
        <v>1</v>
      </c>
      <c r="H16" s="163">
        <f t="shared" si="1"/>
        <v>1</v>
      </c>
    </row>
    <row r="18" spans="1:4">
      <c r="A18" s="685"/>
      <c r="B18" s="685"/>
      <c r="C18" s="693" t="s">
        <v>912</v>
      </c>
      <c r="D18" s="694">
        <f>MAX(E6:E16)/12</f>
        <v>6.916666666666667</v>
      </c>
    </row>
    <row r="19" spans="1:4">
      <c r="A19" s="685"/>
      <c r="B19" s="685"/>
      <c r="C19" s="693" t="s">
        <v>913</v>
      </c>
      <c r="D19" s="694">
        <f>MAX(F6:F16)/D18/12</f>
        <v>12207.973217755585</v>
      </c>
    </row>
    <row r="20" spans="1:4">
      <c r="A20" s="689"/>
      <c r="B20" s="689"/>
      <c r="C20" s="695" t="s">
        <v>914</v>
      </c>
      <c r="D20" s="696">
        <f>VLOOKUP(B3,[17]!Percentiles_All_Bills,9,0)</f>
        <v>9612</v>
      </c>
    </row>
  </sheetData>
  <conditionalFormatting sqref="M2:M3">
    <cfRule type="cellIs" dxfId="42" priority="1" operator="equal">
      <formula>0</formula>
    </cfRule>
    <cfRule type="cellIs" dxfId="41" priority="2" operator="lessThan">
      <formula>0</formula>
    </cfRule>
    <cfRule type="cellIs" dxfId="40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33605-66B3-4B06-86F9-CAA5ED0FA434}">
  <sheetPr codeName="Sheet73">
    <tabColor theme="9" tint="0.79998168889431442"/>
  </sheetPr>
  <dimension ref="A1:P48"/>
  <sheetViews>
    <sheetView zoomScaleNormal="100" zoomScaleSheetLayoutView="98" workbookViewId="0"/>
  </sheetViews>
  <sheetFormatPr defaultColWidth="9.140625" defaultRowHeight="9"/>
  <cols>
    <col min="1" max="4" width="12.28515625" style="714" customWidth="1"/>
    <col min="5" max="5" width="18.42578125" style="714" bestFit="1" customWidth="1"/>
    <col min="6" max="6" width="22" style="714" bestFit="1" customWidth="1"/>
    <col min="7" max="7" width="19.85546875" style="714" bestFit="1" customWidth="1"/>
    <col min="8" max="8" width="23.28515625" style="714" bestFit="1" customWidth="1"/>
    <col min="9" max="9" width="9.28515625" style="714" bestFit="1" customWidth="1"/>
    <col min="10" max="10" width="8" style="714" bestFit="1" customWidth="1"/>
    <col min="11" max="11" width="11.28515625" style="714" bestFit="1" customWidth="1"/>
    <col min="12" max="12" width="9.140625" style="714"/>
    <col min="13" max="14" width="9.28515625" style="714" bestFit="1" customWidth="1"/>
    <col min="15" max="15" width="10.42578125" style="714" bestFit="1" customWidth="1"/>
    <col min="16" max="16" width="7.140625" style="714" bestFit="1" customWidth="1"/>
    <col min="17" max="16384" width="9.140625" style="714"/>
  </cols>
  <sheetData>
    <row r="1" spans="1:16" s="700" customFormat="1" ht="15">
      <c r="A1" s="681" t="str">
        <f>VLOOKUP(B2,'Rate Codes'!$A$1:$C$20,3,0)</f>
        <v>Transportation LV Large Commercial</v>
      </c>
      <c r="B1"/>
      <c r="C1"/>
      <c r="D1"/>
      <c r="E1"/>
      <c r="F1"/>
      <c r="G1"/>
      <c r="H1"/>
      <c r="I1"/>
      <c r="J1" s="682" t="str">
        <f>B2</f>
        <v>GTGLVS</v>
      </c>
      <c r="K1" s="683"/>
      <c r="L1" s="683" t="s">
        <v>898</v>
      </c>
      <c r="M1" s="683" t="s">
        <v>48</v>
      </c>
      <c r="N1"/>
      <c r="O1"/>
      <c r="P1"/>
    </row>
    <row r="2" spans="1:16" s="700" customFormat="1" ht="15">
      <c r="A2" t="s">
        <v>899</v>
      </c>
      <c r="B2" t="s">
        <v>542</v>
      </c>
      <c r="C2"/>
      <c r="D2"/>
      <c r="E2"/>
      <c r="F2"/>
      <c r="G2"/>
      <c r="H2"/>
      <c r="I2"/>
      <c r="J2" s="682" t="s">
        <v>900</v>
      </c>
      <c r="K2" s="683">
        <f>E14</f>
        <v>36</v>
      </c>
      <c r="L2" s="683">
        <f>VLOOKUP($J1,Summary!$B:$P,7,0)</f>
        <v>96</v>
      </c>
      <c r="M2" s="683">
        <f>K2-L2</f>
        <v>-60</v>
      </c>
      <c r="N2"/>
      <c r="O2"/>
      <c r="P2"/>
    </row>
    <row r="3" spans="1:16" s="700" customFormat="1" ht="15">
      <c r="A3" t="s">
        <v>901</v>
      </c>
      <c r="B3" s="142" t="str">
        <f>VLOOKUP(B2,'Rate Codes'!$A$1:$C$20,2,0)</f>
        <v>5756</v>
      </c>
      <c r="C3"/>
      <c r="D3" s="701"/>
      <c r="E3" s="701"/>
      <c r="F3" s="701"/>
      <c r="G3" s="701"/>
      <c r="H3" s="701"/>
      <c r="I3" s="701"/>
      <c r="J3" s="682" t="s">
        <v>902</v>
      </c>
      <c r="K3" s="683">
        <f>F14</f>
        <v>1545731</v>
      </c>
      <c r="L3" s="683">
        <f>VLOOKUP($J1,Summary!$B:$P,8,0)</f>
        <v>1545731</v>
      </c>
      <c r="M3" s="683">
        <f>K3-L3</f>
        <v>0</v>
      </c>
      <c r="N3" s="702"/>
      <c r="O3" s="703"/>
      <c r="P3" s="702"/>
    </row>
    <row r="4" spans="1:16" s="700" customFormat="1" ht="15">
      <c r="A4"/>
      <c r="B4"/>
      <c r="C4"/>
      <c r="D4" s="701"/>
      <c r="E4" s="701"/>
      <c r="F4" s="701"/>
      <c r="G4" s="701"/>
      <c r="H4" s="701"/>
      <c r="I4" s="701"/>
      <c r="J4" s="701"/>
      <c r="K4" s="701"/>
      <c r="M4" s="704"/>
      <c r="N4" s="702"/>
      <c r="O4" s="703"/>
      <c r="P4" s="702"/>
    </row>
    <row r="5" spans="1:16" s="700" customFormat="1" ht="15">
      <c r="A5" t="s">
        <v>903</v>
      </c>
      <c r="B5"/>
      <c r="C5"/>
      <c r="D5" s="701"/>
      <c r="E5" s="701"/>
      <c r="F5" s="701"/>
      <c r="G5" s="701"/>
      <c r="H5" s="701"/>
      <c r="I5" s="701"/>
      <c r="J5" s="701"/>
      <c r="K5" s="701"/>
      <c r="M5" s="704"/>
      <c r="N5" s="702"/>
      <c r="O5" s="703"/>
      <c r="P5" s="702"/>
    </row>
    <row r="6" spans="1:16" s="700" customFormat="1" ht="15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1"/>
      <c r="J6" s="707"/>
      <c r="K6" s="707"/>
    </row>
    <row r="7" spans="1:16" s="700" customFormat="1" ht="11.1" customHeight="1">
      <c r="A7" s="708">
        <v>0</v>
      </c>
      <c r="B7" s="708">
        <v>999</v>
      </c>
      <c r="C7" s="709">
        <v>0</v>
      </c>
      <c r="D7" s="709">
        <v>0</v>
      </c>
      <c r="E7" s="710">
        <f>D7</f>
        <v>0</v>
      </c>
      <c r="F7" s="710">
        <f>C7</f>
        <v>0</v>
      </c>
      <c r="G7" s="711">
        <f>E7/MAX($E$7:$E$14)</f>
        <v>0</v>
      </c>
      <c r="H7" s="712">
        <f>F7/MAX($F$7:$F$14)</f>
        <v>0</v>
      </c>
      <c r="I7" s="709"/>
      <c r="J7" s="713"/>
    </row>
    <row r="8" spans="1:16" s="700" customFormat="1" ht="11.1" customHeight="1">
      <c r="A8" s="708">
        <f t="shared" ref="A8:A14" si="0">B7+1</f>
        <v>1000</v>
      </c>
      <c r="B8" s="708">
        <v>9999</v>
      </c>
      <c r="C8" s="709">
        <v>0</v>
      </c>
      <c r="D8" s="709">
        <v>0</v>
      </c>
      <c r="E8" s="707">
        <f t="shared" ref="E8:E14" si="1">E7+D8</f>
        <v>0</v>
      </c>
      <c r="F8" s="707">
        <f t="shared" ref="F8:F14" si="2">F7+C8</f>
        <v>0</v>
      </c>
      <c r="G8" s="711">
        <f t="shared" ref="G8:G14" si="3">E8/MAX($E$7:$E$14)</f>
        <v>0</v>
      </c>
      <c r="H8" s="712">
        <f t="shared" ref="H8:H14" si="4">F8/MAX($F$7:$F$14)</f>
        <v>0</v>
      </c>
      <c r="I8" s="709"/>
      <c r="J8" s="713"/>
    </row>
    <row r="9" spans="1:16" s="700" customFormat="1" ht="11.1" customHeight="1">
      <c r="A9" s="708">
        <f t="shared" si="0"/>
        <v>10000</v>
      </c>
      <c r="B9" s="708">
        <v>49999</v>
      </c>
      <c r="C9" s="709">
        <v>912631</v>
      </c>
      <c r="D9" s="709">
        <v>28</v>
      </c>
      <c r="E9" s="707">
        <f t="shared" si="1"/>
        <v>28</v>
      </c>
      <c r="F9" s="707">
        <f t="shared" si="2"/>
        <v>912631</v>
      </c>
      <c r="G9" s="711">
        <f t="shared" si="3"/>
        <v>0.77777777777777779</v>
      </c>
      <c r="H9" s="712">
        <f t="shared" si="4"/>
        <v>0.59042032539943889</v>
      </c>
      <c r="I9" s="709"/>
      <c r="J9" s="713"/>
    </row>
    <row r="10" spans="1:16" s="700" customFormat="1" ht="11.1" customHeight="1">
      <c r="A10" s="708">
        <f t="shared" si="0"/>
        <v>50000</v>
      </c>
      <c r="B10" s="708">
        <v>99999</v>
      </c>
      <c r="C10" s="709">
        <v>633100</v>
      </c>
      <c r="D10" s="709">
        <v>8</v>
      </c>
      <c r="E10" s="707">
        <f t="shared" si="1"/>
        <v>36</v>
      </c>
      <c r="F10" s="707">
        <f t="shared" si="2"/>
        <v>1545731</v>
      </c>
      <c r="G10" s="711">
        <f t="shared" si="3"/>
        <v>1</v>
      </c>
      <c r="H10" s="712">
        <f t="shared" si="4"/>
        <v>1</v>
      </c>
      <c r="I10" s="709"/>
      <c r="J10" s="713"/>
    </row>
    <row r="11" spans="1:16" s="700" customFormat="1" ht="11.1" customHeight="1">
      <c r="A11" s="708">
        <f t="shared" si="0"/>
        <v>100000</v>
      </c>
      <c r="B11" s="708">
        <v>199999</v>
      </c>
      <c r="C11" s="709">
        <v>0</v>
      </c>
      <c r="D11" s="709">
        <v>0</v>
      </c>
      <c r="E11" s="707">
        <f t="shared" si="1"/>
        <v>36</v>
      </c>
      <c r="F11" s="707">
        <f t="shared" si="2"/>
        <v>1545731</v>
      </c>
      <c r="G11" s="711">
        <f t="shared" si="3"/>
        <v>1</v>
      </c>
      <c r="H11" s="712">
        <f t="shared" si="4"/>
        <v>1</v>
      </c>
      <c r="I11" s="709"/>
      <c r="J11" s="713"/>
    </row>
    <row r="12" spans="1:16" s="700" customFormat="1" ht="11.1" customHeight="1">
      <c r="A12" s="708">
        <f t="shared" si="0"/>
        <v>200000</v>
      </c>
      <c r="B12" s="708">
        <v>499999</v>
      </c>
      <c r="C12" s="709">
        <v>0</v>
      </c>
      <c r="D12" s="709">
        <v>0</v>
      </c>
      <c r="E12" s="707">
        <f t="shared" si="1"/>
        <v>36</v>
      </c>
      <c r="F12" s="707">
        <f t="shared" si="2"/>
        <v>1545731</v>
      </c>
      <c r="G12" s="711">
        <f t="shared" si="3"/>
        <v>1</v>
      </c>
      <c r="H12" s="712">
        <f t="shared" si="4"/>
        <v>1</v>
      </c>
      <c r="I12" s="709"/>
      <c r="J12" s="713"/>
    </row>
    <row r="13" spans="1:16" s="700" customFormat="1" ht="11.1" customHeight="1">
      <c r="A13" s="708">
        <f t="shared" si="0"/>
        <v>500000</v>
      </c>
      <c r="B13" s="700">
        <v>999999</v>
      </c>
      <c r="C13" s="709">
        <v>0</v>
      </c>
      <c r="D13" s="709">
        <v>0</v>
      </c>
      <c r="E13" s="707">
        <f t="shared" si="1"/>
        <v>36</v>
      </c>
      <c r="F13" s="707">
        <f t="shared" si="2"/>
        <v>1545731</v>
      </c>
      <c r="G13" s="711">
        <f t="shared" si="3"/>
        <v>1</v>
      </c>
      <c r="H13" s="712">
        <f t="shared" si="4"/>
        <v>1</v>
      </c>
      <c r="I13" s="709"/>
      <c r="J13" s="713"/>
    </row>
    <row r="14" spans="1:16" s="700" customFormat="1" ht="11.1" customHeight="1">
      <c r="A14" s="708">
        <f t="shared" si="0"/>
        <v>1000000</v>
      </c>
      <c r="B14" s="700">
        <v>1999999</v>
      </c>
      <c r="C14" s="709">
        <v>0</v>
      </c>
      <c r="D14" s="709">
        <v>0</v>
      </c>
      <c r="E14" s="707">
        <f t="shared" si="1"/>
        <v>36</v>
      </c>
      <c r="F14" s="707">
        <f t="shared" si="2"/>
        <v>1545731</v>
      </c>
      <c r="G14" s="711">
        <f t="shared" si="3"/>
        <v>1</v>
      </c>
      <c r="H14" s="712">
        <f t="shared" si="4"/>
        <v>1</v>
      </c>
      <c r="I14" s="709"/>
      <c r="J14" s="713"/>
    </row>
    <row r="15" spans="1:16" ht="11.25">
      <c r="E15" s="707"/>
      <c r="F15" s="707"/>
      <c r="G15" s="715"/>
      <c r="H15" s="701"/>
      <c r="I15" s="708"/>
      <c r="J15" s="716"/>
    </row>
    <row r="16" spans="1:16" ht="11.25">
      <c r="B16" s="700"/>
      <c r="C16" s="701"/>
      <c r="D16" s="717" t="s">
        <v>912</v>
      </c>
      <c r="E16" s="718">
        <f>+E14/12</f>
        <v>3</v>
      </c>
      <c r="F16" s="707"/>
      <c r="G16" s="707"/>
      <c r="H16" s="715"/>
      <c r="I16" s="701"/>
    </row>
    <row r="17" spans="2:9" ht="11.25">
      <c r="B17" s="700"/>
      <c r="C17" s="701"/>
      <c r="D17" s="717" t="s">
        <v>913</v>
      </c>
      <c r="E17" s="718">
        <f>F14/E14</f>
        <v>42936.972222222219</v>
      </c>
      <c r="F17" s="707"/>
      <c r="G17" s="707"/>
      <c r="H17" s="715"/>
      <c r="I17" s="701"/>
    </row>
    <row r="18" spans="2:9" ht="11.25">
      <c r="B18" s="700"/>
      <c r="C18" s="701"/>
      <c r="D18" s="719" t="s">
        <v>914</v>
      </c>
      <c r="E18" s="708">
        <v>36131.5</v>
      </c>
      <c r="F18" s="707"/>
      <c r="G18" s="707"/>
      <c r="H18" s="715"/>
      <c r="I18" s="701"/>
    </row>
    <row r="19" spans="2:9" ht="11.25">
      <c r="F19" s="707"/>
      <c r="G19" s="707"/>
      <c r="H19" s="715"/>
      <c r="I19" s="701"/>
    </row>
    <row r="20" spans="2:9" ht="11.25">
      <c r="F20" s="707"/>
      <c r="G20" s="707"/>
      <c r="H20" s="715"/>
      <c r="I20" s="701"/>
    </row>
    <row r="21" spans="2:9" ht="11.25">
      <c r="F21" s="707"/>
      <c r="G21" s="707"/>
      <c r="H21" s="715"/>
      <c r="I21" s="701"/>
    </row>
    <row r="22" spans="2:9" ht="11.25">
      <c r="F22" s="707"/>
      <c r="G22" s="707"/>
      <c r="H22" s="715"/>
      <c r="I22" s="701"/>
    </row>
    <row r="23" spans="2:9" ht="11.25">
      <c r="F23" s="707"/>
      <c r="G23" s="707"/>
      <c r="H23" s="715"/>
      <c r="I23" s="701"/>
    </row>
    <row r="24" spans="2:9" ht="11.25">
      <c r="F24" s="707"/>
      <c r="G24" s="707"/>
      <c r="H24" s="715"/>
      <c r="I24" s="701"/>
    </row>
    <row r="25" spans="2:9" ht="11.25">
      <c r="F25" s="707"/>
      <c r="G25" s="707"/>
      <c r="H25" s="715"/>
      <c r="I25" s="701"/>
    </row>
    <row r="26" spans="2:9" ht="11.25">
      <c r="F26" s="707"/>
      <c r="G26" s="707"/>
      <c r="H26" s="715"/>
      <c r="I26" s="701"/>
    </row>
    <row r="27" spans="2:9" ht="11.25">
      <c r="F27" s="707"/>
      <c r="G27" s="707"/>
      <c r="H27" s="715"/>
      <c r="I27" s="701"/>
    </row>
    <row r="28" spans="2:9" ht="11.25">
      <c r="F28" s="707"/>
      <c r="G28" s="707"/>
      <c r="H28" s="715"/>
      <c r="I28" s="701"/>
    </row>
    <row r="29" spans="2:9" ht="11.25">
      <c r="F29" s="707"/>
      <c r="G29" s="707"/>
      <c r="H29" s="715"/>
      <c r="I29" s="701"/>
    </row>
    <row r="30" spans="2:9" ht="11.25">
      <c r="F30" s="707"/>
      <c r="G30" s="707"/>
      <c r="H30" s="715"/>
      <c r="I30" s="701"/>
    </row>
    <row r="31" spans="2:9" ht="11.25">
      <c r="F31" s="707"/>
      <c r="G31" s="707"/>
      <c r="H31" s="715"/>
      <c r="I31" s="701"/>
    </row>
    <row r="32" spans="2:9" ht="11.25">
      <c r="F32" s="707"/>
      <c r="G32" s="707"/>
      <c r="H32" s="715"/>
      <c r="I32" s="701"/>
    </row>
    <row r="33" spans="6:9" ht="11.25">
      <c r="F33" s="707"/>
      <c r="G33" s="707"/>
      <c r="H33" s="715"/>
      <c r="I33" s="701"/>
    </row>
    <row r="34" spans="6:9" ht="11.25">
      <c r="F34" s="707"/>
      <c r="G34" s="707"/>
      <c r="H34" s="715"/>
      <c r="I34" s="701"/>
    </row>
    <row r="35" spans="6:9" ht="11.25">
      <c r="F35" s="707"/>
      <c r="G35" s="707"/>
      <c r="H35" s="715"/>
      <c r="I35" s="701"/>
    </row>
    <row r="36" spans="6:9" ht="11.25">
      <c r="F36" s="707"/>
      <c r="G36" s="707"/>
      <c r="H36" s="715"/>
      <c r="I36" s="701"/>
    </row>
    <row r="37" spans="6:9" ht="11.25">
      <c r="F37" s="707"/>
      <c r="G37" s="707"/>
      <c r="H37" s="715"/>
      <c r="I37" s="701"/>
    </row>
    <row r="38" spans="6:9" ht="11.25">
      <c r="F38" s="707"/>
      <c r="G38" s="707"/>
      <c r="H38" s="715"/>
      <c r="I38" s="701"/>
    </row>
    <row r="39" spans="6:9" ht="11.25">
      <c r="F39" s="707"/>
      <c r="G39" s="707"/>
      <c r="H39" s="715"/>
      <c r="I39" s="701"/>
    </row>
    <row r="40" spans="6:9" ht="11.25">
      <c r="F40" s="707"/>
      <c r="G40" s="707"/>
      <c r="H40" s="715"/>
      <c r="I40" s="701"/>
    </row>
    <row r="41" spans="6:9" ht="11.25">
      <c r="F41" s="707"/>
      <c r="G41" s="707"/>
      <c r="H41" s="715"/>
      <c r="I41" s="701"/>
    </row>
    <row r="42" spans="6:9" ht="11.25">
      <c r="F42" s="707"/>
      <c r="G42" s="707"/>
      <c r="H42" s="715"/>
      <c r="I42" s="701"/>
    </row>
    <row r="43" spans="6:9" ht="11.25">
      <c r="F43" s="707"/>
      <c r="G43" s="707"/>
      <c r="H43" s="715"/>
      <c r="I43" s="701"/>
    </row>
    <row r="44" spans="6:9" ht="11.25">
      <c r="F44" s="707"/>
      <c r="G44" s="707"/>
      <c r="H44" s="715"/>
      <c r="I44" s="701"/>
    </row>
    <row r="45" spans="6:9" ht="11.25">
      <c r="F45" s="707"/>
      <c r="G45" s="707"/>
      <c r="H45" s="715"/>
      <c r="I45" s="701"/>
    </row>
    <row r="46" spans="6:9" ht="11.25">
      <c r="F46" s="707"/>
      <c r="G46" s="707"/>
      <c r="H46" s="715"/>
      <c r="I46" s="701"/>
    </row>
    <row r="47" spans="6:9" ht="11.25">
      <c r="F47" s="707"/>
      <c r="G47" s="707"/>
      <c r="H47" s="715"/>
      <c r="I47" s="701"/>
    </row>
    <row r="48" spans="6:9" ht="11.25">
      <c r="F48" s="707"/>
      <c r="G48" s="707"/>
      <c r="H48" s="715"/>
      <c r="I48" s="701"/>
    </row>
  </sheetData>
  <conditionalFormatting sqref="M2:M3">
    <cfRule type="cellIs" dxfId="39" priority="1" operator="equal">
      <formula>0</formula>
    </cfRule>
    <cfRule type="cellIs" dxfId="38" priority="2" operator="lessThan">
      <formula>0</formula>
    </cfRule>
    <cfRule type="cellIs" dxfId="37" priority="3" operator="greaterThan">
      <formula>0</formula>
    </cfRule>
  </conditionalFormatting>
  <conditionalFormatting sqref="P3:P5">
    <cfRule type="cellIs" dxfId="36" priority="4" operator="notEqual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  <legacy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1DE7F-BCBA-4937-8953-1067C0CE3E61}">
  <sheetPr codeName="Sheet74">
    <tabColor theme="9" tint="0.79998168889431442"/>
  </sheetPr>
  <dimension ref="A1:P48"/>
  <sheetViews>
    <sheetView zoomScaleNormal="100" zoomScaleSheetLayoutView="98" workbookViewId="0"/>
  </sheetViews>
  <sheetFormatPr defaultColWidth="9.140625" defaultRowHeight="9"/>
  <cols>
    <col min="1" max="4" width="12.28515625" style="714" customWidth="1"/>
    <col min="5" max="5" width="18.42578125" style="714" bestFit="1" customWidth="1"/>
    <col min="6" max="6" width="22" style="714" bestFit="1" customWidth="1"/>
    <col min="7" max="7" width="19.85546875" style="714" bestFit="1" customWidth="1"/>
    <col min="8" max="8" width="23.28515625" style="714" bestFit="1" customWidth="1"/>
    <col min="9" max="9" width="9.28515625" style="714" bestFit="1" customWidth="1"/>
    <col min="10" max="10" width="8" style="714" bestFit="1" customWidth="1"/>
    <col min="11" max="11" width="11.28515625" style="714" bestFit="1" customWidth="1"/>
    <col min="12" max="12" width="9.140625" style="714"/>
    <col min="13" max="14" width="9.28515625" style="714" bestFit="1" customWidth="1"/>
    <col min="15" max="15" width="10.42578125" style="714" bestFit="1" customWidth="1"/>
    <col min="16" max="16" width="7.140625" style="714" bestFit="1" customWidth="1"/>
    <col min="17" max="16384" width="9.140625" style="714"/>
  </cols>
  <sheetData>
    <row r="1" spans="1:16" s="700" customFormat="1" ht="15">
      <c r="A1" s="681" t="str">
        <f>VLOOKUP(B2,'Rate Codes'!$A$1:$C$20,3,0)</f>
        <v>Transportation LV Public Authority</v>
      </c>
      <c r="B1"/>
      <c r="C1"/>
      <c r="D1"/>
      <c r="E1"/>
      <c r="F1"/>
      <c r="G1"/>
      <c r="H1"/>
      <c r="I1"/>
      <c r="J1" s="682" t="str">
        <f>B2</f>
        <v>GTPLVS</v>
      </c>
      <c r="K1" s="683"/>
      <c r="L1" s="683" t="s">
        <v>898</v>
      </c>
      <c r="M1" s="683" t="s">
        <v>48</v>
      </c>
      <c r="N1"/>
      <c r="O1"/>
      <c r="P1"/>
    </row>
    <row r="2" spans="1:16" s="700" customFormat="1" ht="15">
      <c r="A2" t="s">
        <v>899</v>
      </c>
      <c r="B2" t="s">
        <v>544</v>
      </c>
      <c r="C2"/>
      <c r="D2"/>
      <c r="E2"/>
      <c r="F2"/>
      <c r="G2"/>
      <c r="H2"/>
      <c r="I2"/>
      <c r="J2" s="682" t="s">
        <v>900</v>
      </c>
      <c r="K2" s="683">
        <f>E14</f>
        <v>48</v>
      </c>
      <c r="L2" s="683">
        <f>VLOOKUP($J1,Summary!$B:$P,7,0)</f>
        <v>84</v>
      </c>
      <c r="M2" s="683">
        <f>K2-L2</f>
        <v>-36</v>
      </c>
      <c r="N2"/>
      <c r="O2"/>
      <c r="P2"/>
    </row>
    <row r="3" spans="1:16" s="700" customFormat="1" ht="15">
      <c r="A3" t="s">
        <v>901</v>
      </c>
      <c r="B3" s="142" t="str">
        <f>VLOOKUP(B2,'Rate Codes'!$A$1:$C$20,2,0)</f>
        <v>5756</v>
      </c>
      <c r="C3"/>
      <c r="D3" s="701"/>
      <c r="E3" s="701"/>
      <c r="F3" s="701"/>
      <c r="G3" s="701"/>
      <c r="H3" s="701"/>
      <c r="I3" s="701"/>
      <c r="J3" s="682" t="s">
        <v>902</v>
      </c>
      <c r="K3" s="683">
        <f>F14</f>
        <v>4904946</v>
      </c>
      <c r="L3" s="683">
        <f>VLOOKUP($J1,Summary!$B:$P,8,0)</f>
        <v>4904946</v>
      </c>
      <c r="M3" s="683">
        <f>K3-L3</f>
        <v>0</v>
      </c>
      <c r="N3" s="702"/>
      <c r="O3" s="703"/>
      <c r="P3" s="702"/>
    </row>
    <row r="4" spans="1:16" s="700" customFormat="1" ht="15">
      <c r="A4"/>
      <c r="B4"/>
      <c r="C4"/>
      <c r="D4" s="701"/>
      <c r="E4" s="701"/>
      <c r="F4" s="701"/>
      <c r="G4" s="701"/>
      <c r="H4" s="701"/>
      <c r="I4" s="701"/>
      <c r="J4" s="701"/>
      <c r="K4" s="701"/>
      <c r="M4" s="704"/>
      <c r="N4" s="702"/>
      <c r="O4" s="703"/>
      <c r="P4" s="702"/>
    </row>
    <row r="5" spans="1:16" s="700" customFormat="1" ht="15">
      <c r="A5" t="s">
        <v>903</v>
      </c>
      <c r="B5"/>
      <c r="C5"/>
      <c r="D5" s="701"/>
      <c r="E5" s="701"/>
      <c r="F5" s="701"/>
      <c r="G5" s="701"/>
      <c r="H5" s="701"/>
      <c r="I5" s="701"/>
      <c r="J5" s="701"/>
      <c r="K5" s="701"/>
      <c r="M5" s="704"/>
      <c r="N5" s="702"/>
      <c r="O5" s="703"/>
      <c r="P5" s="702"/>
    </row>
    <row r="6" spans="1:16" s="700" customFormat="1" ht="15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1"/>
      <c r="J6" s="707"/>
      <c r="K6" s="707"/>
    </row>
    <row r="7" spans="1:16" s="700" customFormat="1" ht="11.1" customHeight="1">
      <c r="A7" s="708">
        <v>0</v>
      </c>
      <c r="B7" s="708">
        <v>999</v>
      </c>
      <c r="C7" s="709">
        <v>0</v>
      </c>
      <c r="D7" s="709">
        <v>0</v>
      </c>
      <c r="E7" s="710">
        <f>D7</f>
        <v>0</v>
      </c>
      <c r="F7" s="710">
        <f>C7</f>
        <v>0</v>
      </c>
      <c r="G7" s="711">
        <f>E7/MAX($E$7:$E$14)</f>
        <v>0</v>
      </c>
      <c r="H7" s="712">
        <f>F7/MAX($F$7:$F$14)</f>
        <v>0</v>
      </c>
      <c r="I7" s="709"/>
      <c r="J7" s="713"/>
    </row>
    <row r="8" spans="1:16" s="700" customFormat="1" ht="11.1" customHeight="1">
      <c r="A8" s="708">
        <f t="shared" ref="A8:A14" si="0">B7+1</f>
        <v>1000</v>
      </c>
      <c r="B8" s="708">
        <v>9999</v>
      </c>
      <c r="C8" s="709">
        <v>0</v>
      </c>
      <c r="D8" s="709">
        <v>0</v>
      </c>
      <c r="E8" s="707">
        <f t="shared" ref="E8:E14" si="1">E7+D8</f>
        <v>0</v>
      </c>
      <c r="F8" s="707">
        <f t="shared" ref="F8:F14" si="2">F7+C8</f>
        <v>0</v>
      </c>
      <c r="G8" s="711">
        <f t="shared" ref="G8:G14" si="3">E8/MAX($E$7:$E$14)</f>
        <v>0</v>
      </c>
      <c r="H8" s="712">
        <f t="shared" ref="H8:H14" si="4">F8/MAX($F$7:$F$14)</f>
        <v>0</v>
      </c>
      <c r="I8" s="709"/>
      <c r="J8" s="713"/>
    </row>
    <row r="9" spans="1:16" s="700" customFormat="1" ht="11.1" customHeight="1">
      <c r="A9" s="708">
        <f t="shared" si="0"/>
        <v>10000</v>
      </c>
      <c r="B9" s="708">
        <v>49999</v>
      </c>
      <c r="C9" s="709">
        <v>778704</v>
      </c>
      <c r="D9" s="709">
        <v>24</v>
      </c>
      <c r="E9" s="707">
        <f t="shared" si="1"/>
        <v>24</v>
      </c>
      <c r="F9" s="707">
        <f t="shared" si="2"/>
        <v>778704</v>
      </c>
      <c r="G9" s="711">
        <f t="shared" si="3"/>
        <v>0.5</v>
      </c>
      <c r="H9" s="712">
        <f t="shared" si="4"/>
        <v>0.15875893434912433</v>
      </c>
      <c r="I9" s="709"/>
      <c r="J9" s="713"/>
    </row>
    <row r="10" spans="1:16" s="700" customFormat="1" ht="11.1" customHeight="1">
      <c r="A10" s="708">
        <f t="shared" si="0"/>
        <v>50000</v>
      </c>
      <c r="B10" s="708">
        <v>99999</v>
      </c>
      <c r="C10" s="709">
        <v>905999</v>
      </c>
      <c r="D10" s="709">
        <v>13</v>
      </c>
      <c r="E10" s="707">
        <f t="shared" si="1"/>
        <v>37</v>
      </c>
      <c r="F10" s="707">
        <f t="shared" si="2"/>
        <v>1684703</v>
      </c>
      <c r="G10" s="711">
        <f t="shared" si="3"/>
        <v>0.77083333333333337</v>
      </c>
      <c r="H10" s="712">
        <f t="shared" si="4"/>
        <v>0.34347024411685673</v>
      </c>
      <c r="I10" s="709"/>
      <c r="J10" s="713"/>
    </row>
    <row r="11" spans="1:16" s="700" customFormat="1" ht="11.1" customHeight="1">
      <c r="A11" s="708">
        <f t="shared" si="0"/>
        <v>100000</v>
      </c>
      <c r="B11" s="708">
        <v>199999</v>
      </c>
      <c r="C11" s="709">
        <v>536040</v>
      </c>
      <c r="D11" s="709">
        <v>4</v>
      </c>
      <c r="E11" s="707">
        <f t="shared" si="1"/>
        <v>41</v>
      </c>
      <c r="F11" s="707">
        <f t="shared" si="2"/>
        <v>2220743</v>
      </c>
      <c r="G11" s="711">
        <f t="shared" si="3"/>
        <v>0.85416666666666663</v>
      </c>
      <c r="H11" s="712">
        <f t="shared" si="4"/>
        <v>0.45275585093087672</v>
      </c>
      <c r="I11" s="709"/>
      <c r="J11" s="713"/>
    </row>
    <row r="12" spans="1:16" s="700" customFormat="1" ht="11.1" customHeight="1">
      <c r="A12" s="708">
        <f t="shared" si="0"/>
        <v>200000</v>
      </c>
      <c r="B12" s="708">
        <v>499999</v>
      </c>
      <c r="C12" s="709">
        <v>2684203</v>
      </c>
      <c r="D12" s="709">
        <v>7</v>
      </c>
      <c r="E12" s="707">
        <f t="shared" si="1"/>
        <v>48</v>
      </c>
      <c r="F12" s="707">
        <f t="shared" si="2"/>
        <v>4904946</v>
      </c>
      <c r="G12" s="711">
        <f t="shared" si="3"/>
        <v>1</v>
      </c>
      <c r="H12" s="712">
        <f t="shared" si="4"/>
        <v>1</v>
      </c>
      <c r="I12" s="709"/>
      <c r="J12" s="713"/>
    </row>
    <row r="13" spans="1:16" s="700" customFormat="1" ht="11.1" customHeight="1">
      <c r="A13" s="708">
        <f t="shared" si="0"/>
        <v>500000</v>
      </c>
      <c r="B13" s="700">
        <v>999999</v>
      </c>
      <c r="C13" s="709">
        <v>0</v>
      </c>
      <c r="D13" s="709">
        <v>0</v>
      </c>
      <c r="E13" s="707">
        <f t="shared" si="1"/>
        <v>48</v>
      </c>
      <c r="F13" s="707">
        <f t="shared" si="2"/>
        <v>4904946</v>
      </c>
      <c r="G13" s="711">
        <f t="shared" si="3"/>
        <v>1</v>
      </c>
      <c r="H13" s="712">
        <f t="shared" si="4"/>
        <v>1</v>
      </c>
      <c r="I13" s="709"/>
      <c r="J13" s="713"/>
    </row>
    <row r="14" spans="1:16" s="700" customFormat="1" ht="11.1" customHeight="1">
      <c r="A14" s="708">
        <f t="shared" si="0"/>
        <v>1000000</v>
      </c>
      <c r="B14" s="700">
        <v>1999999</v>
      </c>
      <c r="C14" s="709">
        <v>0</v>
      </c>
      <c r="D14" s="709">
        <v>0</v>
      </c>
      <c r="E14" s="707">
        <f t="shared" si="1"/>
        <v>48</v>
      </c>
      <c r="F14" s="707">
        <f t="shared" si="2"/>
        <v>4904946</v>
      </c>
      <c r="G14" s="711">
        <f t="shared" si="3"/>
        <v>1</v>
      </c>
      <c r="H14" s="712">
        <f t="shared" si="4"/>
        <v>1</v>
      </c>
      <c r="I14" s="709"/>
      <c r="J14" s="713"/>
    </row>
    <row r="15" spans="1:16" ht="11.25">
      <c r="E15" s="707"/>
      <c r="F15" s="707"/>
      <c r="G15" s="715"/>
      <c r="H15" s="701"/>
      <c r="I15" s="708"/>
      <c r="J15" s="716"/>
    </row>
    <row r="16" spans="1:16" ht="11.25">
      <c r="B16" s="700"/>
      <c r="C16" s="701"/>
      <c r="D16" s="717" t="s">
        <v>912</v>
      </c>
      <c r="E16" s="718">
        <f>+E14/12</f>
        <v>4</v>
      </c>
      <c r="F16" s="707"/>
      <c r="G16" s="707"/>
      <c r="H16" s="715"/>
      <c r="I16" s="701"/>
    </row>
    <row r="17" spans="2:9" ht="11.25">
      <c r="B17" s="700"/>
      <c r="C17" s="701"/>
      <c r="D17" s="717" t="s">
        <v>913</v>
      </c>
      <c r="E17" s="718">
        <f>F14/E14</f>
        <v>102186.375</v>
      </c>
      <c r="F17" s="707"/>
      <c r="G17" s="707"/>
      <c r="H17" s="715"/>
      <c r="I17" s="701"/>
    </row>
    <row r="18" spans="2:9" ht="11.25">
      <c r="B18" s="700"/>
      <c r="C18" s="701"/>
      <c r="D18" s="719" t="s">
        <v>914</v>
      </c>
      <c r="E18" s="708">
        <v>51845.5</v>
      </c>
      <c r="F18" s="707"/>
      <c r="G18" s="707"/>
      <c r="H18" s="715"/>
      <c r="I18" s="701"/>
    </row>
    <row r="19" spans="2:9" ht="11.25">
      <c r="F19" s="707"/>
      <c r="G19" s="707"/>
      <c r="H19" s="715"/>
      <c r="I19" s="701"/>
    </row>
    <row r="20" spans="2:9" ht="11.25">
      <c r="F20" s="707"/>
      <c r="G20" s="707"/>
      <c r="H20" s="715"/>
      <c r="I20" s="701"/>
    </row>
    <row r="21" spans="2:9" ht="11.25">
      <c r="F21" s="707"/>
      <c r="G21" s="707"/>
      <c r="H21" s="715"/>
      <c r="I21" s="701"/>
    </row>
    <row r="22" spans="2:9" ht="11.25">
      <c r="F22" s="707"/>
      <c r="G22" s="707"/>
      <c r="H22" s="715"/>
      <c r="I22" s="701"/>
    </row>
    <row r="23" spans="2:9" ht="11.25">
      <c r="F23" s="707"/>
      <c r="G23" s="707"/>
      <c r="H23" s="715"/>
      <c r="I23" s="701"/>
    </row>
    <row r="24" spans="2:9" ht="11.25">
      <c r="F24" s="707"/>
      <c r="G24" s="707"/>
      <c r="H24" s="715"/>
      <c r="I24" s="701"/>
    </row>
    <row r="25" spans="2:9" ht="11.25">
      <c r="F25" s="707"/>
      <c r="G25" s="707"/>
      <c r="H25" s="715"/>
      <c r="I25" s="701"/>
    </row>
    <row r="26" spans="2:9" ht="11.25">
      <c r="F26" s="707"/>
      <c r="G26" s="707"/>
      <c r="H26" s="715"/>
      <c r="I26" s="701"/>
    </row>
    <row r="27" spans="2:9" ht="11.25">
      <c r="F27" s="707"/>
      <c r="G27" s="707"/>
      <c r="H27" s="715"/>
      <c r="I27" s="701"/>
    </row>
    <row r="28" spans="2:9" ht="11.25">
      <c r="F28" s="707"/>
      <c r="G28" s="707"/>
      <c r="H28" s="715"/>
      <c r="I28" s="701"/>
    </row>
    <row r="29" spans="2:9" ht="11.25">
      <c r="F29" s="707"/>
      <c r="G29" s="707"/>
      <c r="H29" s="715"/>
      <c r="I29" s="701"/>
    </row>
    <row r="30" spans="2:9" ht="11.25">
      <c r="F30" s="707"/>
      <c r="G30" s="707"/>
      <c r="H30" s="715"/>
      <c r="I30" s="701"/>
    </row>
    <row r="31" spans="2:9" ht="11.25">
      <c r="F31" s="707"/>
      <c r="G31" s="707"/>
      <c r="H31" s="715"/>
      <c r="I31" s="701"/>
    </row>
    <row r="32" spans="2:9" ht="11.25">
      <c r="F32" s="707"/>
      <c r="G32" s="707"/>
      <c r="H32" s="715"/>
      <c r="I32" s="701"/>
    </row>
    <row r="33" spans="6:9" ht="11.25">
      <c r="F33" s="707"/>
      <c r="G33" s="707"/>
      <c r="H33" s="715"/>
      <c r="I33" s="701"/>
    </row>
    <row r="34" spans="6:9" ht="11.25">
      <c r="F34" s="707"/>
      <c r="G34" s="707"/>
      <c r="H34" s="715"/>
      <c r="I34" s="701"/>
    </row>
    <row r="35" spans="6:9" ht="11.25">
      <c r="F35" s="707"/>
      <c r="G35" s="707"/>
      <c r="H35" s="715"/>
      <c r="I35" s="701"/>
    </row>
    <row r="36" spans="6:9" ht="11.25">
      <c r="F36" s="707"/>
      <c r="G36" s="707"/>
      <c r="H36" s="715"/>
      <c r="I36" s="701"/>
    </row>
    <row r="37" spans="6:9" ht="11.25">
      <c r="F37" s="707"/>
      <c r="G37" s="707"/>
      <c r="H37" s="715"/>
      <c r="I37" s="701"/>
    </row>
    <row r="38" spans="6:9" ht="11.25">
      <c r="F38" s="707"/>
      <c r="G38" s="707"/>
      <c r="H38" s="715"/>
      <c r="I38" s="701"/>
    </row>
    <row r="39" spans="6:9" ht="11.25">
      <c r="F39" s="707"/>
      <c r="G39" s="707"/>
      <c r="H39" s="715"/>
      <c r="I39" s="701"/>
    </row>
    <row r="40" spans="6:9" ht="11.25">
      <c r="F40" s="707"/>
      <c r="G40" s="707"/>
      <c r="H40" s="715"/>
      <c r="I40" s="701"/>
    </row>
    <row r="41" spans="6:9" ht="11.25">
      <c r="F41" s="707"/>
      <c r="G41" s="707"/>
      <c r="H41" s="715"/>
      <c r="I41" s="701"/>
    </row>
    <row r="42" spans="6:9" ht="11.25">
      <c r="F42" s="707"/>
      <c r="G42" s="707"/>
      <c r="H42" s="715"/>
      <c r="I42" s="701"/>
    </row>
    <row r="43" spans="6:9" ht="11.25">
      <c r="F43" s="707"/>
      <c r="G43" s="707"/>
      <c r="H43" s="715"/>
      <c r="I43" s="701"/>
    </row>
    <row r="44" spans="6:9" ht="11.25">
      <c r="F44" s="707"/>
      <c r="G44" s="707"/>
      <c r="H44" s="715"/>
      <c r="I44" s="701"/>
    </row>
    <row r="45" spans="6:9" ht="11.25">
      <c r="F45" s="707"/>
      <c r="G45" s="707"/>
      <c r="H45" s="715"/>
      <c r="I45" s="701"/>
    </row>
    <row r="46" spans="6:9" ht="11.25">
      <c r="F46" s="707"/>
      <c r="G46" s="707"/>
      <c r="H46" s="715"/>
      <c r="I46" s="701"/>
    </row>
    <row r="47" spans="6:9" ht="11.25">
      <c r="F47" s="707"/>
      <c r="G47" s="707"/>
      <c r="H47" s="715"/>
      <c r="I47" s="701"/>
    </row>
    <row r="48" spans="6:9" ht="11.25">
      <c r="F48" s="707"/>
      <c r="G48" s="707"/>
      <c r="H48" s="715"/>
      <c r="I48" s="701"/>
    </row>
  </sheetData>
  <conditionalFormatting sqref="M2:M3">
    <cfRule type="cellIs" dxfId="35" priority="1" operator="equal">
      <formula>0</formula>
    </cfRule>
    <cfRule type="cellIs" dxfId="34" priority="2" operator="lessThan">
      <formula>0</formula>
    </cfRule>
    <cfRule type="cellIs" dxfId="33" priority="3" operator="greaterThan">
      <formula>0</formula>
    </cfRule>
  </conditionalFormatting>
  <conditionalFormatting sqref="P3:P5">
    <cfRule type="cellIs" dxfId="32" priority="4" operator="notEqual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  <legacy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EDFD0-BEAA-48F4-A5F8-7A57343269A4}">
  <sheetPr codeName="Sheet75">
    <tabColor theme="9" tint="0.79998168889431442"/>
  </sheetPr>
  <dimension ref="A1:P48"/>
  <sheetViews>
    <sheetView zoomScaleNormal="100" zoomScaleSheetLayoutView="100" workbookViewId="0"/>
  </sheetViews>
  <sheetFormatPr defaultColWidth="9.140625" defaultRowHeight="9"/>
  <cols>
    <col min="1" max="4" width="12.28515625" style="714" customWidth="1"/>
    <col min="5" max="5" width="18.42578125" style="714" bestFit="1" customWidth="1"/>
    <col min="6" max="6" width="22" style="714" bestFit="1" customWidth="1"/>
    <col min="7" max="7" width="19.85546875" style="714" bestFit="1" customWidth="1"/>
    <col min="8" max="8" width="23.28515625" style="714" bestFit="1" customWidth="1"/>
    <col min="9" max="9" width="9.28515625" style="714" bestFit="1" customWidth="1"/>
    <col min="10" max="10" width="9.7109375" style="714" customWidth="1"/>
    <col min="11" max="11" width="11.28515625" style="714" bestFit="1" customWidth="1"/>
    <col min="12" max="12" width="9.140625" style="714"/>
    <col min="13" max="14" width="9.28515625" style="714" bestFit="1" customWidth="1"/>
    <col min="15" max="15" width="10.42578125" style="714" bestFit="1" customWidth="1"/>
    <col min="16" max="16" width="7.140625" style="714" bestFit="1" customWidth="1"/>
    <col min="17" max="16384" width="9.140625" style="714"/>
  </cols>
  <sheetData>
    <row r="1" spans="1:16" s="700" customFormat="1" ht="15">
      <c r="A1" s="681" t="str">
        <f>VLOOKUP(B2,'Rate Codes'!$A$1:$C$20,3,0)</f>
        <v>Transportation LV Industrial</v>
      </c>
      <c r="B1"/>
      <c r="C1"/>
      <c r="D1"/>
      <c r="E1"/>
      <c r="F1"/>
      <c r="G1"/>
      <c r="H1"/>
      <c r="I1"/>
      <c r="J1" s="682" t="str">
        <f>B2</f>
        <v>GTILVS</v>
      </c>
      <c r="K1" s="683"/>
      <c r="L1" s="683" t="s">
        <v>898</v>
      </c>
      <c r="M1" s="683" t="s">
        <v>48</v>
      </c>
      <c r="N1"/>
      <c r="O1"/>
      <c r="P1"/>
    </row>
    <row r="2" spans="1:16" s="700" customFormat="1" ht="15">
      <c r="A2" t="s">
        <v>899</v>
      </c>
      <c r="B2" t="s">
        <v>543</v>
      </c>
      <c r="C2"/>
      <c r="D2"/>
      <c r="E2"/>
      <c r="F2"/>
      <c r="G2"/>
      <c r="H2"/>
      <c r="I2"/>
      <c r="J2" s="682" t="s">
        <v>900</v>
      </c>
      <c r="K2" s="683">
        <f>E14</f>
        <v>66</v>
      </c>
      <c r="L2" s="683">
        <f>VLOOKUP($J1,Summary!$B:$P,7,0)</f>
        <v>96</v>
      </c>
      <c r="M2" s="683">
        <f>K2-L2</f>
        <v>-30</v>
      </c>
      <c r="N2"/>
      <c r="O2"/>
      <c r="P2"/>
    </row>
    <row r="3" spans="1:16" s="700" customFormat="1" ht="15">
      <c r="A3" t="s">
        <v>901</v>
      </c>
      <c r="B3" s="142" t="str">
        <f>VLOOKUP(B2,'Rate Codes'!$A$1:$C$20,2,0)</f>
        <v>5756</v>
      </c>
      <c r="C3"/>
      <c r="D3" s="701"/>
      <c r="E3" s="701"/>
      <c r="F3" s="701"/>
      <c r="G3" s="701"/>
      <c r="H3" s="701"/>
      <c r="I3" s="701"/>
      <c r="J3" s="682" t="s">
        <v>902</v>
      </c>
      <c r="K3" s="683">
        <f>F14</f>
        <v>14114075</v>
      </c>
      <c r="L3" s="683">
        <f>VLOOKUP($J1,Summary!$B:$P,8,0)</f>
        <v>14114075</v>
      </c>
      <c r="M3" s="683">
        <f>K3-L3</f>
        <v>0</v>
      </c>
      <c r="N3" s="702"/>
      <c r="O3" s="703"/>
      <c r="P3" s="702"/>
    </row>
    <row r="4" spans="1:16" s="700" customFormat="1" ht="15">
      <c r="A4"/>
      <c r="B4"/>
      <c r="C4"/>
      <c r="D4" s="701"/>
      <c r="E4" s="701"/>
      <c r="F4" s="701"/>
      <c r="G4" s="701"/>
      <c r="H4" s="701"/>
      <c r="I4" s="701"/>
      <c r="J4" s="701"/>
      <c r="K4" s="701"/>
      <c r="M4" s="704"/>
      <c r="N4" s="702"/>
      <c r="O4" s="703"/>
      <c r="P4" s="702"/>
    </row>
    <row r="5" spans="1:16" s="700" customFormat="1" ht="15">
      <c r="A5" t="s">
        <v>903</v>
      </c>
      <c r="B5"/>
      <c r="C5"/>
      <c r="D5" s="701"/>
      <c r="E5" s="701"/>
      <c r="F5" s="701"/>
      <c r="G5" s="701"/>
      <c r="H5" s="701"/>
      <c r="I5" s="701"/>
      <c r="J5" s="701"/>
      <c r="K5" s="701"/>
      <c r="M5" s="704"/>
      <c r="N5" s="702"/>
      <c r="O5" s="703"/>
      <c r="P5" s="702"/>
    </row>
    <row r="6" spans="1:16" s="700" customFormat="1" ht="15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1"/>
      <c r="J6" s="707"/>
      <c r="K6" s="707"/>
    </row>
    <row r="7" spans="1:16" s="700" customFormat="1" ht="11.1" customHeight="1">
      <c r="A7" s="708">
        <v>0</v>
      </c>
      <c r="B7" s="708">
        <v>999</v>
      </c>
      <c r="C7" s="709">
        <v>2181</v>
      </c>
      <c r="D7" s="709">
        <v>7</v>
      </c>
      <c r="E7" s="710">
        <f>D7</f>
        <v>7</v>
      </c>
      <c r="F7" s="710">
        <f>C7</f>
        <v>2181</v>
      </c>
      <c r="G7" s="711">
        <f>E7/MAX($E$7:$E$14)</f>
        <v>0.10606060606060606</v>
      </c>
      <c r="H7" s="712">
        <f>F7/MAX($F$7:$F$14)</f>
        <v>1.5452659844871167E-4</v>
      </c>
      <c r="I7" s="709"/>
      <c r="J7" s="713"/>
    </row>
    <row r="8" spans="1:16" s="700" customFormat="1" ht="11.1" customHeight="1">
      <c r="A8" s="708">
        <f t="shared" ref="A8:A14" si="0">B7+1</f>
        <v>1000</v>
      </c>
      <c r="B8" s="708">
        <v>9999</v>
      </c>
      <c r="C8" s="709">
        <v>35838</v>
      </c>
      <c r="D8" s="709">
        <v>8</v>
      </c>
      <c r="E8" s="707">
        <f t="shared" ref="E8:E14" si="1">E7+D8</f>
        <v>15</v>
      </c>
      <c r="F8" s="707">
        <f t="shared" ref="F8:F14" si="2">F7+C8</f>
        <v>38019</v>
      </c>
      <c r="G8" s="711">
        <f t="shared" ref="G8:G14" si="3">E8/MAX($E$7:$E$14)</f>
        <v>0.22727272727272727</v>
      </c>
      <c r="H8" s="712">
        <f t="shared" ref="H8:H14" si="4">F8/MAX($F$7:$F$14)</f>
        <v>2.6936940607159873E-3</v>
      </c>
      <c r="I8" s="709"/>
      <c r="J8" s="713"/>
    </row>
    <row r="9" spans="1:16" s="700" customFormat="1" ht="11.1" customHeight="1">
      <c r="A9" s="708">
        <f t="shared" si="0"/>
        <v>10000</v>
      </c>
      <c r="B9" s="708">
        <v>49999</v>
      </c>
      <c r="C9" s="709">
        <v>296985</v>
      </c>
      <c r="D9" s="709">
        <v>12</v>
      </c>
      <c r="E9" s="707">
        <f t="shared" si="1"/>
        <v>27</v>
      </c>
      <c r="F9" s="707">
        <f t="shared" si="2"/>
        <v>335004</v>
      </c>
      <c r="G9" s="711">
        <f t="shared" si="3"/>
        <v>0.40909090909090912</v>
      </c>
      <c r="H9" s="712">
        <f t="shared" si="4"/>
        <v>2.3735455564746537E-2</v>
      </c>
      <c r="I9" s="709"/>
      <c r="J9" s="713"/>
    </row>
    <row r="10" spans="1:16" s="700" customFormat="1" ht="11.1" customHeight="1">
      <c r="A10" s="708">
        <f t="shared" si="0"/>
        <v>50000</v>
      </c>
      <c r="B10" s="708">
        <v>99999</v>
      </c>
      <c r="C10" s="709">
        <v>902705</v>
      </c>
      <c r="D10" s="709">
        <v>11</v>
      </c>
      <c r="E10" s="707">
        <f t="shared" si="1"/>
        <v>38</v>
      </c>
      <c r="F10" s="707">
        <f t="shared" si="2"/>
        <v>1237709</v>
      </c>
      <c r="G10" s="711">
        <f t="shared" si="3"/>
        <v>0.5757575757575758</v>
      </c>
      <c r="H10" s="712">
        <f t="shared" si="4"/>
        <v>8.7693242383932349E-2</v>
      </c>
      <c r="I10" s="709"/>
      <c r="J10" s="713"/>
    </row>
    <row r="11" spans="1:16" s="700" customFormat="1" ht="11.1" customHeight="1">
      <c r="A11" s="708">
        <f t="shared" si="0"/>
        <v>100000</v>
      </c>
      <c r="B11" s="708">
        <v>199999</v>
      </c>
      <c r="C11" s="709">
        <v>325281</v>
      </c>
      <c r="D11" s="709">
        <v>3</v>
      </c>
      <c r="E11" s="707">
        <f t="shared" si="1"/>
        <v>41</v>
      </c>
      <c r="F11" s="707">
        <f t="shared" si="2"/>
        <v>1562990</v>
      </c>
      <c r="G11" s="711">
        <f t="shared" si="3"/>
        <v>0.62121212121212122</v>
      </c>
      <c r="H11" s="712">
        <f t="shared" si="4"/>
        <v>0.110739811145966</v>
      </c>
      <c r="I11" s="709"/>
      <c r="J11" s="713"/>
    </row>
    <row r="12" spans="1:16" s="700" customFormat="1" ht="11.1" customHeight="1">
      <c r="A12" s="708">
        <f t="shared" si="0"/>
        <v>200000</v>
      </c>
      <c r="B12" s="708">
        <v>499999</v>
      </c>
      <c r="C12" s="709">
        <v>3931756</v>
      </c>
      <c r="D12" s="709">
        <v>14</v>
      </c>
      <c r="E12" s="707">
        <f t="shared" si="1"/>
        <v>55</v>
      </c>
      <c r="F12" s="707">
        <f t="shared" si="2"/>
        <v>5494746</v>
      </c>
      <c r="G12" s="711">
        <f t="shared" si="3"/>
        <v>0.83333333333333337</v>
      </c>
      <c r="H12" s="712">
        <f t="shared" si="4"/>
        <v>0.3893096784592685</v>
      </c>
      <c r="I12" s="709"/>
      <c r="J12" s="713"/>
    </row>
    <row r="13" spans="1:16" s="700" customFormat="1" ht="11.1" customHeight="1">
      <c r="A13" s="708">
        <f t="shared" si="0"/>
        <v>500000</v>
      </c>
      <c r="B13" s="700">
        <v>999999</v>
      </c>
      <c r="C13" s="709">
        <v>8619329</v>
      </c>
      <c r="D13" s="709">
        <v>11</v>
      </c>
      <c r="E13" s="707">
        <f t="shared" si="1"/>
        <v>66</v>
      </c>
      <c r="F13" s="707">
        <f t="shared" si="2"/>
        <v>14114075</v>
      </c>
      <c r="G13" s="711">
        <f t="shared" si="3"/>
        <v>1</v>
      </c>
      <c r="H13" s="712">
        <f t="shared" si="4"/>
        <v>1</v>
      </c>
      <c r="I13" s="709"/>
      <c r="J13" s="713"/>
    </row>
    <row r="14" spans="1:16" s="700" customFormat="1" ht="11.1" customHeight="1">
      <c r="A14" s="708">
        <f t="shared" si="0"/>
        <v>1000000</v>
      </c>
      <c r="B14" s="700">
        <v>1999999</v>
      </c>
      <c r="C14" s="709">
        <v>0</v>
      </c>
      <c r="D14" s="709">
        <v>0</v>
      </c>
      <c r="E14" s="707">
        <f t="shared" si="1"/>
        <v>66</v>
      </c>
      <c r="F14" s="707">
        <f t="shared" si="2"/>
        <v>14114075</v>
      </c>
      <c r="G14" s="711">
        <f t="shared" si="3"/>
        <v>1</v>
      </c>
      <c r="H14" s="712">
        <f t="shared" si="4"/>
        <v>1</v>
      </c>
      <c r="I14" s="709"/>
      <c r="J14" s="713"/>
    </row>
    <row r="15" spans="1:16" ht="11.25">
      <c r="E15" s="707"/>
      <c r="F15" s="707"/>
      <c r="G15" s="715"/>
      <c r="H15" s="701"/>
      <c r="I15" s="708"/>
      <c r="J15" s="716"/>
    </row>
    <row r="16" spans="1:16" ht="11.25">
      <c r="B16" s="700"/>
      <c r="C16" s="701"/>
      <c r="D16" s="717" t="s">
        <v>912</v>
      </c>
      <c r="E16" s="718">
        <f>+E14/12</f>
        <v>5.5</v>
      </c>
      <c r="F16" s="707"/>
      <c r="G16" s="707"/>
      <c r="H16" s="715"/>
      <c r="I16" s="701"/>
    </row>
    <row r="17" spans="2:9" ht="11.25">
      <c r="B17" s="700"/>
      <c r="C17" s="701"/>
      <c r="D17" s="717" t="s">
        <v>913</v>
      </c>
      <c r="E17" s="718">
        <f>F14/E14</f>
        <v>213849.62121212122</v>
      </c>
      <c r="F17" s="707"/>
      <c r="G17" s="707"/>
      <c r="H17" s="715"/>
      <c r="I17" s="701"/>
    </row>
    <row r="18" spans="2:9" ht="11.25">
      <c r="B18" s="700"/>
      <c r="C18" s="701"/>
      <c r="D18" s="719" t="s">
        <v>914</v>
      </c>
      <c r="E18" s="708">
        <v>74617.5</v>
      </c>
      <c r="F18" s="707"/>
      <c r="G18" s="707"/>
      <c r="H18" s="715"/>
      <c r="I18" s="701"/>
    </row>
    <row r="19" spans="2:9" ht="11.25">
      <c r="F19" s="707"/>
      <c r="G19" s="707"/>
      <c r="H19" s="715"/>
      <c r="I19" s="701"/>
    </row>
    <row r="20" spans="2:9" ht="11.25">
      <c r="F20" s="707"/>
      <c r="G20" s="707"/>
      <c r="H20" s="715"/>
      <c r="I20" s="701"/>
    </row>
    <row r="21" spans="2:9" ht="11.25">
      <c r="F21" s="707"/>
      <c r="G21" s="707"/>
      <c r="H21" s="715"/>
      <c r="I21" s="701"/>
    </row>
    <row r="22" spans="2:9" ht="11.25">
      <c r="F22" s="707"/>
      <c r="G22" s="707"/>
      <c r="H22" s="715"/>
      <c r="I22" s="701"/>
    </row>
    <row r="23" spans="2:9" ht="11.25">
      <c r="F23" s="707"/>
      <c r="G23" s="707"/>
      <c r="H23" s="715"/>
      <c r="I23" s="701"/>
    </row>
    <row r="24" spans="2:9" ht="11.25">
      <c r="F24" s="707"/>
      <c r="G24" s="707"/>
      <c r="H24" s="715"/>
      <c r="I24" s="701"/>
    </row>
    <row r="25" spans="2:9" ht="11.25">
      <c r="F25" s="707"/>
      <c r="G25" s="707"/>
      <c r="H25" s="715"/>
      <c r="I25" s="701"/>
    </row>
    <row r="26" spans="2:9" ht="11.25">
      <c r="F26" s="707"/>
      <c r="G26" s="707"/>
      <c r="H26" s="715"/>
      <c r="I26" s="701"/>
    </row>
    <row r="27" spans="2:9" ht="11.25">
      <c r="F27" s="707"/>
      <c r="G27" s="707"/>
      <c r="H27" s="715"/>
      <c r="I27" s="701"/>
    </row>
    <row r="28" spans="2:9" ht="11.25">
      <c r="F28" s="707"/>
      <c r="G28" s="707"/>
      <c r="H28" s="715"/>
      <c r="I28" s="701"/>
    </row>
    <row r="29" spans="2:9" ht="11.25">
      <c r="F29" s="707"/>
      <c r="G29" s="707"/>
      <c r="H29" s="715"/>
      <c r="I29" s="701"/>
    </row>
    <row r="30" spans="2:9" ht="11.25">
      <c r="F30" s="707"/>
      <c r="G30" s="707"/>
      <c r="H30" s="715"/>
      <c r="I30" s="701"/>
    </row>
    <row r="31" spans="2:9" ht="11.25">
      <c r="F31" s="707"/>
      <c r="G31" s="707"/>
      <c r="H31" s="715"/>
      <c r="I31" s="701"/>
    </row>
    <row r="32" spans="2:9" ht="11.25">
      <c r="F32" s="707"/>
      <c r="G32" s="707"/>
      <c r="H32" s="715"/>
      <c r="I32" s="701"/>
    </row>
    <row r="33" spans="6:9" ht="11.25">
      <c r="F33" s="707"/>
      <c r="G33" s="707"/>
      <c r="H33" s="715"/>
      <c r="I33" s="701"/>
    </row>
    <row r="34" spans="6:9" ht="11.25">
      <c r="F34" s="707"/>
      <c r="G34" s="707"/>
      <c r="H34" s="715"/>
      <c r="I34" s="701"/>
    </row>
    <row r="35" spans="6:9" ht="11.25">
      <c r="F35" s="707"/>
      <c r="G35" s="707"/>
      <c r="H35" s="715"/>
      <c r="I35" s="701"/>
    </row>
    <row r="36" spans="6:9" ht="11.25">
      <c r="F36" s="707"/>
      <c r="G36" s="707"/>
      <c r="H36" s="715"/>
      <c r="I36" s="701"/>
    </row>
    <row r="37" spans="6:9" ht="11.25">
      <c r="F37" s="707"/>
      <c r="G37" s="707"/>
      <c r="H37" s="715"/>
      <c r="I37" s="701"/>
    </row>
    <row r="38" spans="6:9" ht="11.25">
      <c r="F38" s="707"/>
      <c r="G38" s="707"/>
      <c r="H38" s="715"/>
      <c r="I38" s="701"/>
    </row>
    <row r="39" spans="6:9" ht="11.25">
      <c r="F39" s="707"/>
      <c r="G39" s="707"/>
      <c r="H39" s="715"/>
      <c r="I39" s="701"/>
    </row>
    <row r="40" spans="6:9" ht="11.25">
      <c r="F40" s="707"/>
      <c r="G40" s="707"/>
      <c r="H40" s="715"/>
      <c r="I40" s="701"/>
    </row>
    <row r="41" spans="6:9" ht="11.25">
      <c r="F41" s="707"/>
      <c r="G41" s="707"/>
      <c r="H41" s="715"/>
      <c r="I41" s="701"/>
    </row>
    <row r="42" spans="6:9" ht="11.25">
      <c r="F42" s="707"/>
      <c r="G42" s="707"/>
      <c r="H42" s="715"/>
      <c r="I42" s="701"/>
    </row>
    <row r="43" spans="6:9" ht="11.25">
      <c r="F43" s="707"/>
      <c r="G43" s="707"/>
      <c r="H43" s="715"/>
      <c r="I43" s="701"/>
    </row>
    <row r="44" spans="6:9" ht="11.25">
      <c r="F44" s="707"/>
      <c r="G44" s="707"/>
      <c r="H44" s="715"/>
      <c r="I44" s="701"/>
    </row>
    <row r="45" spans="6:9" ht="11.25">
      <c r="F45" s="707"/>
      <c r="G45" s="707"/>
      <c r="H45" s="715"/>
      <c r="I45" s="701"/>
    </row>
    <row r="46" spans="6:9" ht="11.25">
      <c r="F46" s="707"/>
      <c r="G46" s="707"/>
      <c r="H46" s="715"/>
      <c r="I46" s="701"/>
    </row>
    <row r="47" spans="6:9" ht="11.25">
      <c r="F47" s="707"/>
      <c r="G47" s="707"/>
      <c r="H47" s="715"/>
      <c r="I47" s="701"/>
    </row>
    <row r="48" spans="6:9" ht="11.25">
      <c r="F48" s="707"/>
      <c r="G48" s="707"/>
      <c r="H48" s="715"/>
      <c r="I48" s="701"/>
    </row>
  </sheetData>
  <conditionalFormatting sqref="M2:M3">
    <cfRule type="cellIs" dxfId="31" priority="1" operator="equal">
      <formula>0</formula>
    </cfRule>
    <cfRule type="cellIs" dxfId="30" priority="2" operator="lessThan">
      <formula>0</formula>
    </cfRule>
    <cfRule type="cellIs" dxfId="29" priority="3" operator="greaterThan">
      <formula>0</formula>
    </cfRule>
  </conditionalFormatting>
  <conditionalFormatting sqref="P3:P5">
    <cfRule type="cellIs" dxfId="28" priority="4" operator="notEqual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  <legacy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FE934-4BD9-473B-9F27-7CA1908453C8}">
  <sheetPr codeName="Sheet76">
    <tabColor theme="9" tint="0.79998168889431442"/>
  </sheetPr>
  <dimension ref="A1:P48"/>
  <sheetViews>
    <sheetView zoomScaleNormal="100" zoomScaleSheetLayoutView="96" workbookViewId="0"/>
  </sheetViews>
  <sheetFormatPr defaultColWidth="9.140625" defaultRowHeight="9"/>
  <cols>
    <col min="1" max="4" width="12.28515625" style="714" customWidth="1"/>
    <col min="5" max="5" width="15.7109375" style="714" bestFit="1" customWidth="1"/>
    <col min="6" max="6" width="18.5703125" style="714" bestFit="1" customWidth="1"/>
    <col min="7" max="7" width="17.42578125" style="714" bestFit="1" customWidth="1"/>
    <col min="8" max="8" width="19.7109375" style="714" bestFit="1" customWidth="1"/>
    <col min="9" max="9" width="9.140625" style="714"/>
    <col min="10" max="10" width="7.85546875" style="714" bestFit="1" customWidth="1"/>
    <col min="11" max="11" width="11.140625" style="714" bestFit="1" customWidth="1"/>
    <col min="12" max="12" width="9.140625" style="714"/>
    <col min="13" max="13" width="9.28515625" style="714" bestFit="1" customWidth="1"/>
    <col min="14" max="14" width="9.140625" style="714"/>
    <col min="15" max="15" width="10.28515625" style="714" bestFit="1" customWidth="1"/>
    <col min="16" max="16" width="7" style="714" bestFit="1" customWidth="1"/>
    <col min="17" max="16384" width="9.140625" style="714"/>
  </cols>
  <sheetData>
    <row r="1" spans="1:16" s="700" customFormat="1" ht="15">
      <c r="A1" s="681" t="str">
        <f>VLOOKUP(B2,'Rate Codes'!$A$1:$C$20,3,0)</f>
        <v>Transportation NSP LV General Service</v>
      </c>
      <c r="B1"/>
      <c r="C1"/>
      <c r="D1"/>
      <c r="E1"/>
      <c r="F1"/>
      <c r="G1"/>
      <c r="H1"/>
      <c r="I1"/>
      <c r="J1" s="682" t="str">
        <f>B2</f>
        <v>GTNGLVS</v>
      </c>
      <c r="K1" s="683"/>
      <c r="L1" s="683" t="s">
        <v>898</v>
      </c>
      <c r="M1" s="683" t="s">
        <v>48</v>
      </c>
      <c r="N1"/>
      <c r="O1"/>
      <c r="P1"/>
    </row>
    <row r="2" spans="1:16" s="700" customFormat="1" ht="15">
      <c r="A2" t="s">
        <v>899</v>
      </c>
      <c r="B2" t="s">
        <v>546</v>
      </c>
      <c r="C2"/>
      <c r="D2"/>
      <c r="E2"/>
      <c r="F2"/>
      <c r="G2"/>
      <c r="H2"/>
      <c r="I2"/>
      <c r="J2" s="682" t="s">
        <v>900</v>
      </c>
      <c r="K2" s="683">
        <f>E14</f>
        <v>60</v>
      </c>
      <c r="L2" s="683">
        <f>VLOOKUP($J1,Summary!$B:$P,7,0)</f>
        <v>72</v>
      </c>
      <c r="M2" s="683">
        <f>K2-L2</f>
        <v>-12</v>
      </c>
      <c r="N2"/>
      <c r="O2"/>
      <c r="P2"/>
    </row>
    <row r="3" spans="1:16" s="700" customFormat="1" ht="15">
      <c r="A3" t="s">
        <v>901</v>
      </c>
      <c r="B3" s="142" t="str">
        <f>VLOOKUP(B2,'Rate Codes'!$A$1:$C$20,2,0)</f>
        <v>5756</v>
      </c>
      <c r="C3"/>
      <c r="D3" s="701"/>
      <c r="E3" s="701"/>
      <c r="F3" s="701"/>
      <c r="G3" s="701"/>
      <c r="H3" s="701"/>
      <c r="I3" s="701"/>
      <c r="J3" s="682" t="s">
        <v>902</v>
      </c>
      <c r="K3" s="683">
        <f>F14</f>
        <v>1437848</v>
      </c>
      <c r="L3" s="683">
        <f>VLOOKUP($J1,Summary!$B:$P,8,0)</f>
        <v>1437848</v>
      </c>
      <c r="M3" s="683">
        <f>K3-L3</f>
        <v>0</v>
      </c>
      <c r="N3" s="702"/>
      <c r="O3" s="703"/>
      <c r="P3" s="702"/>
    </row>
    <row r="4" spans="1:16" s="700" customFormat="1" ht="15">
      <c r="A4"/>
      <c r="B4"/>
      <c r="C4"/>
      <c r="D4" s="701"/>
      <c r="E4" s="701"/>
      <c r="F4" s="701"/>
      <c r="G4" s="701"/>
      <c r="H4" s="701"/>
      <c r="I4" s="701"/>
      <c r="J4" s="701"/>
      <c r="K4" s="701"/>
      <c r="M4" s="704"/>
      <c r="N4" s="702"/>
      <c r="O4" s="703"/>
      <c r="P4" s="702"/>
    </row>
    <row r="5" spans="1:16" s="700" customFormat="1" ht="15">
      <c r="A5" t="s">
        <v>903</v>
      </c>
      <c r="B5"/>
      <c r="C5"/>
      <c r="D5" s="701"/>
      <c r="E5" s="701"/>
      <c r="F5" s="701"/>
      <c r="G5" s="701"/>
      <c r="H5" s="701"/>
      <c r="I5" s="701"/>
      <c r="J5" s="701"/>
      <c r="K5" s="701"/>
      <c r="M5" s="704"/>
      <c r="N5" s="702"/>
      <c r="O5" s="703"/>
      <c r="P5" s="702"/>
    </row>
    <row r="6" spans="1:16" s="700" customFormat="1" ht="15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1"/>
      <c r="J6" s="707"/>
      <c r="K6" s="707"/>
    </row>
    <row r="7" spans="1:16" s="700" customFormat="1" ht="11.1" customHeight="1">
      <c r="A7" s="708">
        <v>0</v>
      </c>
      <c r="B7" s="708">
        <v>999</v>
      </c>
      <c r="C7" s="709">
        <v>0</v>
      </c>
      <c r="D7" s="709">
        <v>0</v>
      </c>
      <c r="E7" s="710">
        <f>D7</f>
        <v>0</v>
      </c>
      <c r="F7" s="710">
        <f>C7</f>
        <v>0</v>
      </c>
      <c r="G7" s="711">
        <f>E7/MAX($E$7:$E$14)</f>
        <v>0</v>
      </c>
      <c r="H7" s="712">
        <f>F7/MAX($F$7:$F$14)</f>
        <v>0</v>
      </c>
      <c r="I7" s="709"/>
      <c r="J7" s="713"/>
    </row>
    <row r="8" spans="1:16" s="700" customFormat="1" ht="11.1" customHeight="1">
      <c r="A8" s="708">
        <f t="shared" ref="A8:A14" si="0">B7+1</f>
        <v>1000</v>
      </c>
      <c r="B8" s="708">
        <v>9999</v>
      </c>
      <c r="C8" s="709">
        <v>74681</v>
      </c>
      <c r="D8" s="709">
        <v>10</v>
      </c>
      <c r="E8" s="707">
        <f t="shared" ref="E8:E14" si="1">E7+D8</f>
        <v>10</v>
      </c>
      <c r="F8" s="707">
        <f t="shared" ref="F8:F14" si="2">F7+C8</f>
        <v>74681</v>
      </c>
      <c r="G8" s="711">
        <f t="shared" ref="G8:G14" si="3">E8/MAX($E$7:$E$14)</f>
        <v>0.16666666666666666</v>
      </c>
      <c r="H8" s="712">
        <f t="shared" ref="H8:H14" si="4">F8/MAX($F$7:$F$14)</f>
        <v>5.1939426142401698E-2</v>
      </c>
      <c r="I8" s="709"/>
      <c r="J8" s="713"/>
    </row>
    <row r="9" spans="1:16" s="700" customFormat="1" ht="11.1" customHeight="1">
      <c r="A9" s="708">
        <f t="shared" si="0"/>
        <v>10000</v>
      </c>
      <c r="B9" s="708">
        <v>49999</v>
      </c>
      <c r="C9" s="709">
        <v>1085167</v>
      </c>
      <c r="D9" s="709">
        <v>45</v>
      </c>
      <c r="E9" s="707">
        <f t="shared" si="1"/>
        <v>55</v>
      </c>
      <c r="F9" s="707">
        <f t="shared" si="2"/>
        <v>1159848</v>
      </c>
      <c r="G9" s="711">
        <f t="shared" si="3"/>
        <v>0.91666666666666663</v>
      </c>
      <c r="H9" s="712">
        <f t="shared" si="4"/>
        <v>0.80665550183329526</v>
      </c>
      <c r="I9" s="709"/>
      <c r="J9" s="713"/>
    </row>
    <row r="10" spans="1:16" s="700" customFormat="1" ht="11.1" customHeight="1">
      <c r="A10" s="708">
        <f t="shared" si="0"/>
        <v>50000</v>
      </c>
      <c r="B10" s="708">
        <v>99999</v>
      </c>
      <c r="C10" s="709">
        <v>278000</v>
      </c>
      <c r="D10" s="709">
        <v>5</v>
      </c>
      <c r="E10" s="707">
        <f t="shared" si="1"/>
        <v>60</v>
      </c>
      <c r="F10" s="707">
        <f t="shared" si="2"/>
        <v>1437848</v>
      </c>
      <c r="G10" s="711">
        <f t="shared" si="3"/>
        <v>1</v>
      </c>
      <c r="H10" s="712">
        <f t="shared" si="4"/>
        <v>1</v>
      </c>
      <c r="I10" s="709"/>
      <c r="J10" s="713"/>
    </row>
    <row r="11" spans="1:16" s="700" customFormat="1" ht="11.1" customHeight="1">
      <c r="A11" s="708">
        <f t="shared" si="0"/>
        <v>100000</v>
      </c>
      <c r="B11" s="708">
        <v>199999</v>
      </c>
      <c r="C11" s="709">
        <v>0</v>
      </c>
      <c r="D11" s="709">
        <v>0</v>
      </c>
      <c r="E11" s="707">
        <f t="shared" si="1"/>
        <v>60</v>
      </c>
      <c r="F11" s="707">
        <f t="shared" si="2"/>
        <v>1437848</v>
      </c>
      <c r="G11" s="711">
        <f t="shared" si="3"/>
        <v>1</v>
      </c>
      <c r="H11" s="712">
        <f t="shared" si="4"/>
        <v>1</v>
      </c>
      <c r="I11" s="709"/>
      <c r="J11" s="713"/>
    </row>
    <row r="12" spans="1:16" s="700" customFormat="1" ht="11.1" customHeight="1">
      <c r="A12" s="708">
        <f t="shared" si="0"/>
        <v>200000</v>
      </c>
      <c r="B12" s="708">
        <v>499999</v>
      </c>
      <c r="C12" s="709">
        <v>0</v>
      </c>
      <c r="D12" s="709">
        <v>0</v>
      </c>
      <c r="E12" s="707">
        <f t="shared" si="1"/>
        <v>60</v>
      </c>
      <c r="F12" s="707">
        <f t="shared" si="2"/>
        <v>1437848</v>
      </c>
      <c r="G12" s="711">
        <f t="shared" si="3"/>
        <v>1</v>
      </c>
      <c r="H12" s="712">
        <f t="shared" si="4"/>
        <v>1</v>
      </c>
      <c r="I12" s="709"/>
      <c r="J12" s="713"/>
    </row>
    <row r="13" spans="1:16" s="700" customFormat="1" ht="11.1" customHeight="1">
      <c r="A13" s="708">
        <f t="shared" si="0"/>
        <v>500000</v>
      </c>
      <c r="B13" s="700">
        <v>999999</v>
      </c>
      <c r="C13" s="709">
        <v>0</v>
      </c>
      <c r="D13" s="709">
        <v>0</v>
      </c>
      <c r="E13" s="707">
        <f t="shared" si="1"/>
        <v>60</v>
      </c>
      <c r="F13" s="707">
        <f t="shared" si="2"/>
        <v>1437848</v>
      </c>
      <c r="G13" s="711">
        <f t="shared" si="3"/>
        <v>1</v>
      </c>
      <c r="H13" s="712">
        <f t="shared" si="4"/>
        <v>1</v>
      </c>
      <c r="I13" s="709"/>
      <c r="J13" s="713"/>
    </row>
    <row r="14" spans="1:16" s="700" customFormat="1" ht="11.1" customHeight="1">
      <c r="A14" s="708">
        <f t="shared" si="0"/>
        <v>1000000</v>
      </c>
      <c r="B14" s="700">
        <v>1999999</v>
      </c>
      <c r="C14" s="709">
        <v>0</v>
      </c>
      <c r="D14" s="709">
        <v>0</v>
      </c>
      <c r="E14" s="707">
        <f t="shared" si="1"/>
        <v>60</v>
      </c>
      <c r="F14" s="707">
        <f t="shared" si="2"/>
        <v>1437848</v>
      </c>
      <c r="G14" s="711">
        <f t="shared" si="3"/>
        <v>1</v>
      </c>
      <c r="H14" s="712">
        <f t="shared" si="4"/>
        <v>1</v>
      </c>
      <c r="I14" s="709"/>
      <c r="J14" s="713"/>
    </row>
    <row r="15" spans="1:16" ht="11.25">
      <c r="E15" s="707"/>
      <c r="F15" s="707"/>
      <c r="G15" s="715"/>
      <c r="H15" s="701"/>
      <c r="I15" s="708"/>
      <c r="J15" s="716"/>
    </row>
    <row r="16" spans="1:16" ht="11.25">
      <c r="B16" s="700"/>
      <c r="C16" s="701"/>
      <c r="D16" s="717" t="s">
        <v>912</v>
      </c>
      <c r="E16" s="718">
        <f>+E14/12</f>
        <v>5</v>
      </c>
      <c r="F16" s="707"/>
      <c r="G16" s="707"/>
      <c r="H16" s="715"/>
      <c r="I16" s="701"/>
    </row>
    <row r="17" spans="2:9" ht="11.25">
      <c r="B17" s="700"/>
      <c r="C17" s="701"/>
      <c r="D17" s="717" t="s">
        <v>913</v>
      </c>
      <c r="E17" s="718">
        <f>F14/E14</f>
        <v>23964.133333333335</v>
      </c>
      <c r="F17" s="707"/>
      <c r="G17" s="707"/>
      <c r="H17" s="715"/>
      <c r="I17" s="701"/>
    </row>
    <row r="18" spans="2:9" ht="11.25">
      <c r="B18" s="700"/>
      <c r="C18" s="701"/>
      <c r="D18" s="719" t="s">
        <v>914</v>
      </c>
      <c r="E18" s="708">
        <v>17662</v>
      </c>
      <c r="F18" s="707"/>
      <c r="G18" s="707"/>
      <c r="H18" s="715"/>
      <c r="I18" s="701"/>
    </row>
    <row r="19" spans="2:9" ht="11.25">
      <c r="F19" s="707"/>
      <c r="G19" s="707"/>
      <c r="H19" s="715"/>
      <c r="I19" s="701"/>
    </row>
    <row r="20" spans="2:9" ht="11.25">
      <c r="F20" s="707"/>
      <c r="G20" s="707"/>
      <c r="H20" s="715"/>
      <c r="I20" s="701"/>
    </row>
    <row r="21" spans="2:9" ht="11.25">
      <c r="F21" s="707"/>
      <c r="G21" s="707"/>
      <c r="H21" s="715"/>
      <c r="I21" s="701"/>
    </row>
    <row r="22" spans="2:9" ht="11.25">
      <c r="F22" s="707"/>
      <c r="G22" s="707"/>
      <c r="H22" s="715"/>
      <c r="I22" s="701"/>
    </row>
    <row r="23" spans="2:9" ht="11.25">
      <c r="F23" s="707"/>
      <c r="G23" s="707"/>
      <c r="H23" s="715"/>
      <c r="I23" s="701"/>
    </row>
    <row r="24" spans="2:9" ht="11.25">
      <c r="F24" s="707"/>
      <c r="G24" s="707"/>
      <c r="H24" s="715"/>
      <c r="I24" s="701"/>
    </row>
    <row r="25" spans="2:9" ht="11.25">
      <c r="F25" s="707"/>
      <c r="G25" s="707"/>
      <c r="H25" s="715"/>
      <c r="I25" s="701"/>
    </row>
    <row r="26" spans="2:9" ht="11.25">
      <c r="F26" s="707"/>
      <c r="G26" s="707"/>
      <c r="H26" s="715"/>
      <c r="I26" s="701"/>
    </row>
    <row r="27" spans="2:9" ht="11.25">
      <c r="F27" s="707"/>
      <c r="G27" s="707"/>
      <c r="H27" s="715"/>
      <c r="I27" s="701"/>
    </row>
    <row r="28" spans="2:9" ht="11.25">
      <c r="F28" s="707"/>
      <c r="G28" s="707"/>
      <c r="H28" s="715"/>
      <c r="I28" s="701"/>
    </row>
    <row r="29" spans="2:9" ht="11.25">
      <c r="F29" s="707"/>
      <c r="G29" s="707"/>
      <c r="H29" s="715"/>
      <c r="I29" s="701"/>
    </row>
    <row r="30" spans="2:9" ht="11.25">
      <c r="F30" s="707"/>
      <c r="G30" s="707"/>
      <c r="H30" s="715"/>
      <c r="I30" s="701"/>
    </row>
    <row r="31" spans="2:9" ht="11.25">
      <c r="F31" s="707"/>
      <c r="G31" s="707"/>
      <c r="H31" s="715"/>
      <c r="I31" s="701"/>
    </row>
    <row r="32" spans="2:9" ht="11.25">
      <c r="F32" s="707"/>
      <c r="G32" s="707"/>
      <c r="H32" s="715"/>
      <c r="I32" s="701"/>
    </row>
    <row r="33" spans="6:9" ht="11.25">
      <c r="F33" s="707"/>
      <c r="G33" s="707"/>
      <c r="H33" s="715"/>
      <c r="I33" s="701"/>
    </row>
    <row r="34" spans="6:9" ht="11.25">
      <c r="F34" s="707"/>
      <c r="G34" s="707"/>
      <c r="H34" s="715"/>
      <c r="I34" s="701"/>
    </row>
    <row r="35" spans="6:9" ht="11.25">
      <c r="F35" s="707"/>
      <c r="G35" s="707"/>
      <c r="H35" s="715"/>
      <c r="I35" s="701"/>
    </row>
    <row r="36" spans="6:9" ht="11.25">
      <c r="F36" s="707"/>
      <c r="G36" s="707"/>
      <c r="H36" s="715"/>
      <c r="I36" s="701"/>
    </row>
    <row r="37" spans="6:9" ht="11.25">
      <c r="F37" s="707"/>
      <c r="G37" s="707"/>
      <c r="H37" s="715"/>
      <c r="I37" s="701"/>
    </row>
    <row r="38" spans="6:9" ht="11.25">
      <c r="F38" s="707"/>
      <c r="G38" s="707"/>
      <c r="H38" s="715"/>
      <c r="I38" s="701"/>
    </row>
    <row r="39" spans="6:9" ht="11.25">
      <c r="F39" s="707"/>
      <c r="G39" s="707"/>
      <c r="H39" s="715"/>
      <c r="I39" s="701"/>
    </row>
    <row r="40" spans="6:9" ht="11.25">
      <c r="F40" s="707"/>
      <c r="G40" s="707"/>
      <c r="H40" s="715"/>
      <c r="I40" s="701"/>
    </row>
    <row r="41" spans="6:9" ht="11.25">
      <c r="F41" s="707"/>
      <c r="G41" s="707"/>
      <c r="H41" s="715"/>
      <c r="I41" s="701"/>
    </row>
    <row r="42" spans="6:9" ht="11.25">
      <c r="F42" s="707"/>
      <c r="G42" s="707"/>
      <c r="H42" s="715"/>
      <c r="I42" s="701"/>
    </row>
    <row r="43" spans="6:9" ht="11.25">
      <c r="F43" s="707"/>
      <c r="G43" s="707"/>
      <c r="H43" s="715"/>
      <c r="I43" s="701"/>
    </row>
    <row r="44" spans="6:9" ht="11.25">
      <c r="F44" s="707"/>
      <c r="G44" s="707"/>
      <c r="H44" s="715"/>
      <c r="I44" s="701"/>
    </row>
    <row r="45" spans="6:9" ht="11.25">
      <c r="F45" s="707"/>
      <c r="G45" s="707"/>
      <c r="H45" s="715"/>
      <c r="I45" s="701"/>
    </row>
    <row r="46" spans="6:9" ht="11.25">
      <c r="F46" s="707"/>
      <c r="G46" s="707"/>
      <c r="H46" s="715"/>
      <c r="I46" s="701"/>
    </row>
    <row r="47" spans="6:9" ht="11.25">
      <c r="F47" s="707"/>
      <c r="G47" s="707"/>
      <c r="H47" s="715"/>
      <c r="I47" s="701"/>
    </row>
    <row r="48" spans="6:9" ht="11.25">
      <c r="F48" s="707"/>
      <c r="G48" s="707"/>
      <c r="H48" s="715"/>
      <c r="I48" s="701"/>
    </row>
  </sheetData>
  <conditionalFormatting sqref="M2:M3">
    <cfRule type="cellIs" dxfId="27" priority="1" operator="equal">
      <formula>0</formula>
    </cfRule>
    <cfRule type="cellIs" dxfId="26" priority="2" operator="lessThan">
      <formula>0</formula>
    </cfRule>
    <cfRule type="cellIs" dxfId="25" priority="3" operator="greaterThan">
      <formula>0</formula>
    </cfRule>
  </conditionalFormatting>
  <conditionalFormatting sqref="P3:P5">
    <cfRule type="cellIs" dxfId="24" priority="4" operator="notEqual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  <legacy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CB5C1-A396-4BCB-8DEC-3E39E8BEF7CD}">
  <sheetPr codeName="Sheet77">
    <tabColor theme="9" tint="0.79998168889431442"/>
  </sheetPr>
  <dimension ref="A1:M48"/>
  <sheetViews>
    <sheetView zoomScaleNormal="100" zoomScaleSheetLayoutView="118" workbookViewId="0"/>
  </sheetViews>
  <sheetFormatPr defaultColWidth="9.140625" defaultRowHeight="9"/>
  <cols>
    <col min="1" max="4" width="12.28515625" style="714" customWidth="1"/>
    <col min="5" max="5" width="18.42578125" style="714" bestFit="1" customWidth="1"/>
    <col min="6" max="6" width="22" style="714" bestFit="1" customWidth="1"/>
    <col min="7" max="7" width="19.85546875" style="714" bestFit="1" customWidth="1"/>
    <col min="8" max="8" width="23.28515625" style="714" bestFit="1" customWidth="1"/>
    <col min="9" max="9" width="9.140625" style="714"/>
    <col min="10" max="11" width="9.28515625" style="714" bestFit="1" customWidth="1"/>
    <col min="12" max="12" width="10.42578125" style="714" bestFit="1" customWidth="1"/>
    <col min="13" max="13" width="7.140625" style="714" bestFit="1" customWidth="1"/>
    <col min="14" max="16384" width="9.140625" style="714"/>
  </cols>
  <sheetData>
    <row r="1" spans="1:13" ht="15">
      <c r="A1" s="681" t="str">
        <f>VLOOKUP(B2,'Rate Codes'!$A$1:$C$20,3,0)</f>
        <v>Transportation NSP LV Industrial</v>
      </c>
      <c r="B1"/>
      <c r="C1"/>
      <c r="D1"/>
      <c r="E1"/>
      <c r="F1"/>
      <c r="G1"/>
      <c r="H1"/>
      <c r="I1"/>
      <c r="J1" s="682" t="str">
        <f>B2</f>
        <v>GTNILVS</v>
      </c>
      <c r="K1" s="683"/>
      <c r="L1" s="683" t="s">
        <v>898</v>
      </c>
      <c r="M1" s="683" t="s">
        <v>48</v>
      </c>
    </row>
    <row r="2" spans="1:13" ht="15">
      <c r="A2" t="s">
        <v>899</v>
      </c>
      <c r="B2" t="s">
        <v>545</v>
      </c>
      <c r="C2"/>
      <c r="D2"/>
      <c r="E2"/>
      <c r="F2"/>
      <c r="G2"/>
      <c r="H2"/>
      <c r="I2"/>
      <c r="J2" s="682" t="s">
        <v>900</v>
      </c>
      <c r="K2" s="683">
        <f>E14</f>
        <v>72</v>
      </c>
      <c r="L2" s="683">
        <f>VLOOKUP($J1,Summary!$B:$P,7,0)</f>
        <v>96</v>
      </c>
      <c r="M2" s="683">
        <f>K2-L2</f>
        <v>-24</v>
      </c>
    </row>
    <row r="3" spans="1:13" ht="15">
      <c r="A3" t="s">
        <v>901</v>
      </c>
      <c r="B3" s="142" t="str">
        <f>VLOOKUP(B2,'Rate Codes'!$A$1:$C$20,2,0)</f>
        <v>5756</v>
      </c>
      <c r="C3"/>
      <c r="J3" s="682" t="s">
        <v>902</v>
      </c>
      <c r="K3" s="683">
        <f>F14</f>
        <v>13532527</v>
      </c>
      <c r="L3" s="683">
        <f>VLOOKUP($J1,Summary!$B:$P,8,0)</f>
        <v>13532527</v>
      </c>
      <c r="M3" s="683">
        <f>K3-L3</f>
        <v>0</v>
      </c>
    </row>
    <row r="4" spans="1:13" ht="15">
      <c r="A4"/>
      <c r="B4"/>
      <c r="C4"/>
    </row>
    <row r="5" spans="1:13" s="700" customFormat="1" ht="11.1" customHeight="1">
      <c r="A5" t="s">
        <v>903</v>
      </c>
      <c r="B5"/>
      <c r="C5"/>
      <c r="D5" s="701"/>
      <c r="E5" s="701"/>
      <c r="F5" s="701"/>
      <c r="G5" s="701"/>
      <c r="H5" s="701"/>
      <c r="I5" s="704"/>
      <c r="J5" s="702"/>
      <c r="K5" s="703"/>
      <c r="L5" s="702"/>
    </row>
    <row r="6" spans="1:13" s="700" customFormat="1" ht="11.1" customHeight="1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4"/>
      <c r="J6" s="702"/>
      <c r="K6" s="703"/>
      <c r="L6" s="702"/>
    </row>
    <row r="7" spans="1:13" s="700" customFormat="1" ht="11.1" customHeight="1">
      <c r="A7" s="708">
        <v>0</v>
      </c>
      <c r="B7" s="708">
        <v>999</v>
      </c>
      <c r="C7" s="709">
        <v>0</v>
      </c>
      <c r="D7" s="709">
        <v>0</v>
      </c>
      <c r="E7" s="710">
        <f>D7</f>
        <v>0</v>
      </c>
      <c r="F7" s="710">
        <f>C7</f>
        <v>0</v>
      </c>
      <c r="G7" s="711">
        <f>E7/MAX($E$7:$E$14)</f>
        <v>0</v>
      </c>
      <c r="H7" s="712">
        <f>F7/MAX($F$7:$F$14)</f>
        <v>0</v>
      </c>
    </row>
    <row r="8" spans="1:13" s="700" customFormat="1" ht="11.1" customHeight="1">
      <c r="A8" s="708">
        <f t="shared" ref="A8:A14" si="0">B7+1</f>
        <v>1000</v>
      </c>
      <c r="B8" s="708">
        <v>9999</v>
      </c>
      <c r="C8" s="709">
        <v>69798</v>
      </c>
      <c r="D8" s="709">
        <v>12</v>
      </c>
      <c r="E8" s="707">
        <f t="shared" ref="E8:E14" si="1">E7+D8</f>
        <v>12</v>
      </c>
      <c r="F8" s="707">
        <f t="shared" ref="F8:F14" si="2">F7+C8</f>
        <v>69798</v>
      </c>
      <c r="G8" s="711">
        <f t="shared" ref="G8:G14" si="3">E8/MAX($E$7:$E$14)</f>
        <v>0.16666666666666666</v>
      </c>
      <c r="H8" s="712">
        <f t="shared" ref="H8:H14" si="4">F8/MAX($F$7:$F$14)</f>
        <v>5.1577949927607758E-3</v>
      </c>
    </row>
    <row r="9" spans="1:13" s="700" customFormat="1" ht="11.1" customHeight="1">
      <c r="A9" s="708">
        <f t="shared" si="0"/>
        <v>10000</v>
      </c>
      <c r="B9" s="708">
        <v>49999</v>
      </c>
      <c r="C9" s="709">
        <v>816496</v>
      </c>
      <c r="D9" s="709">
        <v>31</v>
      </c>
      <c r="E9" s="707">
        <f t="shared" si="1"/>
        <v>43</v>
      </c>
      <c r="F9" s="707">
        <f t="shared" si="2"/>
        <v>886294</v>
      </c>
      <c r="G9" s="711">
        <f t="shared" si="3"/>
        <v>0.59722222222222221</v>
      </c>
      <c r="H9" s="712">
        <f t="shared" si="4"/>
        <v>6.549360662646378E-2</v>
      </c>
    </row>
    <row r="10" spans="1:13" s="700" customFormat="1" ht="11.1" customHeight="1">
      <c r="A10" s="708">
        <f t="shared" si="0"/>
        <v>50000</v>
      </c>
      <c r="B10" s="708">
        <v>99999</v>
      </c>
      <c r="C10" s="709">
        <v>204368</v>
      </c>
      <c r="D10" s="709">
        <v>3</v>
      </c>
      <c r="E10" s="707">
        <f t="shared" si="1"/>
        <v>46</v>
      </c>
      <c r="F10" s="707">
        <f t="shared" si="2"/>
        <v>1090662</v>
      </c>
      <c r="G10" s="711">
        <f t="shared" si="3"/>
        <v>0.63888888888888884</v>
      </c>
      <c r="H10" s="712">
        <f t="shared" si="4"/>
        <v>8.059559016582786E-2</v>
      </c>
    </row>
    <row r="11" spans="1:13" s="700" customFormat="1" ht="11.1" customHeight="1">
      <c r="A11" s="708">
        <f t="shared" si="0"/>
        <v>100000</v>
      </c>
      <c r="B11" s="708">
        <v>199999</v>
      </c>
      <c r="C11" s="709">
        <v>1017623</v>
      </c>
      <c r="D11" s="709">
        <v>7</v>
      </c>
      <c r="E11" s="707">
        <f t="shared" si="1"/>
        <v>53</v>
      </c>
      <c r="F11" s="707">
        <f t="shared" si="2"/>
        <v>2108285</v>
      </c>
      <c r="G11" s="711">
        <f t="shared" si="3"/>
        <v>0.73611111111111116</v>
      </c>
      <c r="H11" s="712">
        <f t="shared" si="4"/>
        <v>0.15579388831073457</v>
      </c>
    </row>
    <row r="12" spans="1:13" s="700" customFormat="1" ht="11.1" customHeight="1">
      <c r="A12" s="708">
        <f t="shared" si="0"/>
        <v>200000</v>
      </c>
      <c r="B12" s="708">
        <v>499999</v>
      </c>
      <c r="C12" s="709">
        <v>2988194</v>
      </c>
      <c r="D12" s="709">
        <v>12</v>
      </c>
      <c r="E12" s="707">
        <f t="shared" si="1"/>
        <v>65</v>
      </c>
      <c r="F12" s="707">
        <f t="shared" si="2"/>
        <v>5096479</v>
      </c>
      <c r="G12" s="711">
        <f t="shared" si="3"/>
        <v>0.90277777777777779</v>
      </c>
      <c r="H12" s="712">
        <f t="shared" si="4"/>
        <v>0.37660955710637045</v>
      </c>
    </row>
    <row r="13" spans="1:13" s="700" customFormat="1" ht="11.1" customHeight="1">
      <c r="A13" s="708">
        <f t="shared" si="0"/>
        <v>500000</v>
      </c>
      <c r="B13" s="700">
        <v>999999</v>
      </c>
      <c r="C13" s="709">
        <v>635221</v>
      </c>
      <c r="D13" s="709">
        <v>1</v>
      </c>
      <c r="E13" s="707">
        <f t="shared" si="1"/>
        <v>66</v>
      </c>
      <c r="F13" s="707">
        <f t="shared" si="2"/>
        <v>5731700</v>
      </c>
      <c r="G13" s="711">
        <f t="shared" si="3"/>
        <v>0.91666666666666663</v>
      </c>
      <c r="H13" s="712">
        <f t="shared" si="4"/>
        <v>0.42354986618537693</v>
      </c>
    </row>
    <row r="14" spans="1:13" s="700" customFormat="1" ht="11.1" customHeight="1">
      <c r="A14" s="708">
        <f t="shared" si="0"/>
        <v>1000000</v>
      </c>
      <c r="B14" s="700">
        <v>1999999</v>
      </c>
      <c r="C14" s="709">
        <v>7800827</v>
      </c>
      <c r="D14" s="709">
        <v>6</v>
      </c>
      <c r="E14" s="707">
        <f t="shared" si="1"/>
        <v>72</v>
      </c>
      <c r="F14" s="707">
        <f t="shared" si="2"/>
        <v>13532527</v>
      </c>
      <c r="G14" s="711">
        <f t="shared" si="3"/>
        <v>1</v>
      </c>
      <c r="H14" s="712">
        <f t="shared" si="4"/>
        <v>1</v>
      </c>
    </row>
    <row r="15" spans="1:13" ht="11.25">
      <c r="F15" s="707"/>
      <c r="G15" s="707"/>
      <c r="H15" s="715"/>
    </row>
    <row r="16" spans="1:13" ht="11.25">
      <c r="B16" s="700"/>
      <c r="C16" s="701"/>
      <c r="D16" s="717" t="s">
        <v>912</v>
      </c>
      <c r="E16" s="718">
        <f>+E13/12</f>
        <v>5.5</v>
      </c>
      <c r="F16" s="707"/>
      <c r="G16" s="707"/>
      <c r="H16" s="715"/>
    </row>
    <row r="17" spans="2:8" ht="11.25">
      <c r="B17" s="700"/>
      <c r="C17" s="701"/>
      <c r="D17" s="717" t="s">
        <v>915</v>
      </c>
      <c r="E17" s="718">
        <f>F13/E13</f>
        <v>86843.939393939392</v>
      </c>
      <c r="F17" s="707"/>
      <c r="G17" s="707"/>
      <c r="H17" s="715"/>
    </row>
    <row r="18" spans="2:8" ht="11.25">
      <c r="B18" s="700"/>
      <c r="C18" s="701"/>
      <c r="D18" s="719" t="s">
        <v>914</v>
      </c>
      <c r="E18" s="708">
        <v>34218.5</v>
      </c>
      <c r="F18" s="707"/>
      <c r="G18" s="707"/>
      <c r="H18" s="715"/>
    </row>
    <row r="19" spans="2:8" ht="11.25">
      <c r="F19" s="707"/>
      <c r="G19" s="707"/>
      <c r="H19" s="715"/>
    </row>
    <row r="20" spans="2:8" ht="11.25">
      <c r="F20" s="707"/>
      <c r="G20" s="707"/>
      <c r="H20" s="715"/>
    </row>
    <row r="21" spans="2:8" ht="11.25">
      <c r="F21" s="707"/>
      <c r="G21" s="707"/>
      <c r="H21" s="715"/>
    </row>
    <row r="22" spans="2:8" ht="11.25">
      <c r="F22" s="707"/>
      <c r="G22" s="707"/>
      <c r="H22" s="715"/>
    </row>
    <row r="23" spans="2:8" ht="11.25">
      <c r="F23" s="707"/>
      <c r="G23" s="707"/>
      <c r="H23" s="715"/>
    </row>
    <row r="24" spans="2:8" ht="11.25">
      <c r="F24" s="707"/>
      <c r="G24" s="707"/>
      <c r="H24" s="715"/>
    </row>
    <row r="25" spans="2:8" ht="11.25">
      <c r="F25" s="707"/>
      <c r="G25" s="707"/>
      <c r="H25" s="715"/>
    </row>
    <row r="26" spans="2:8" ht="11.25">
      <c r="F26" s="707"/>
      <c r="G26" s="707"/>
      <c r="H26" s="715"/>
    </row>
    <row r="27" spans="2:8" ht="11.25">
      <c r="F27" s="707"/>
      <c r="G27" s="707"/>
      <c r="H27" s="715"/>
    </row>
    <row r="28" spans="2:8" ht="11.25">
      <c r="F28" s="707"/>
      <c r="G28" s="707"/>
      <c r="H28" s="715"/>
    </row>
    <row r="29" spans="2:8" ht="11.25">
      <c r="F29" s="707"/>
      <c r="G29" s="707"/>
      <c r="H29" s="715"/>
    </row>
    <row r="30" spans="2:8" ht="11.25">
      <c r="F30" s="707"/>
      <c r="G30" s="707"/>
      <c r="H30" s="715"/>
    </row>
    <row r="31" spans="2:8" ht="11.25">
      <c r="F31" s="707"/>
      <c r="G31" s="707"/>
      <c r="H31" s="715"/>
    </row>
    <row r="32" spans="2:8" ht="11.25">
      <c r="F32" s="707"/>
      <c r="G32" s="707"/>
      <c r="H32" s="715"/>
    </row>
    <row r="33" spans="6:8" ht="11.25">
      <c r="F33" s="707"/>
      <c r="G33" s="707"/>
      <c r="H33" s="715"/>
    </row>
    <row r="34" spans="6:8" ht="11.25">
      <c r="F34" s="707"/>
      <c r="G34" s="707"/>
      <c r="H34" s="715"/>
    </row>
    <row r="35" spans="6:8" ht="11.25">
      <c r="F35" s="707"/>
      <c r="G35" s="707"/>
      <c r="H35" s="715"/>
    </row>
    <row r="36" spans="6:8" ht="11.25">
      <c r="F36" s="707"/>
      <c r="G36" s="707"/>
      <c r="H36" s="715"/>
    </row>
    <row r="37" spans="6:8" ht="11.25">
      <c r="F37" s="707"/>
      <c r="G37" s="707"/>
      <c r="H37" s="715"/>
    </row>
    <row r="38" spans="6:8" ht="11.25">
      <c r="F38" s="707"/>
      <c r="G38" s="707"/>
      <c r="H38" s="715"/>
    </row>
    <row r="39" spans="6:8" ht="11.25">
      <c r="F39" s="707"/>
      <c r="G39" s="707"/>
      <c r="H39" s="715"/>
    </row>
    <row r="40" spans="6:8" ht="11.25">
      <c r="F40" s="707"/>
      <c r="G40" s="707"/>
      <c r="H40" s="715"/>
    </row>
    <row r="41" spans="6:8" ht="11.25">
      <c r="F41" s="707"/>
      <c r="G41" s="707"/>
      <c r="H41" s="715"/>
    </row>
    <row r="42" spans="6:8" ht="11.25">
      <c r="F42" s="707"/>
      <c r="G42" s="707"/>
      <c r="H42" s="715"/>
    </row>
    <row r="43" spans="6:8" ht="11.25">
      <c r="F43" s="707"/>
      <c r="G43" s="707"/>
      <c r="H43" s="715"/>
    </row>
    <row r="44" spans="6:8" ht="11.25">
      <c r="F44" s="707"/>
      <c r="G44" s="707"/>
      <c r="H44" s="715"/>
    </row>
    <row r="45" spans="6:8" ht="11.25">
      <c r="F45" s="707"/>
      <c r="G45" s="707"/>
      <c r="H45" s="715"/>
    </row>
    <row r="46" spans="6:8" ht="11.25">
      <c r="F46" s="707"/>
      <c r="G46" s="707"/>
      <c r="H46" s="715"/>
    </row>
    <row r="47" spans="6:8" ht="11.25">
      <c r="F47" s="707"/>
      <c r="G47" s="707"/>
      <c r="H47" s="715"/>
    </row>
    <row r="48" spans="6:8" ht="11.25">
      <c r="F48" s="707"/>
      <c r="G48" s="707"/>
      <c r="H48" s="715"/>
    </row>
  </sheetData>
  <conditionalFormatting sqref="L5:L6">
    <cfRule type="cellIs" dxfId="23" priority="4" operator="notEqual">
      <formula>0</formula>
    </cfRule>
  </conditionalFormatting>
  <conditionalFormatting sqref="M2:M3">
    <cfRule type="cellIs" dxfId="22" priority="1" operator="equal">
      <formula>0</formula>
    </cfRule>
    <cfRule type="cellIs" dxfId="21" priority="2" operator="lessThan">
      <formula>0</formula>
    </cfRule>
    <cfRule type="cellIs" dxfId="20" priority="3" operator="greaterThan">
      <formula>0</formula>
    </cfRule>
  </conditionalFormatting>
  <pageMargins left="0.7" right="0.7" top="0.75" bottom="0.75" header="0.3" footer="0.3"/>
  <pageSetup scale="57" orientation="portrait" horizontalDpi="1200" verticalDpi="1200" r:id="rId1"/>
  <headerFooter>
    <oddHeader>&amp;LUNS Gas
Bill Count
Test Period Ending June 30, 2024
Adjusted Billing Activity
&amp;RSchedule H-5
Unadjusted
Page &amp;P of &amp;N</oddHeader>
  </headerFooter>
  <legacy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1BD08-2DF0-45F8-B18A-2DDB8E64CD57}">
  <sheetPr codeName="Sheet78">
    <tabColor theme="9" tint="0.79998168889431442"/>
  </sheetPr>
  <dimension ref="A1:M56"/>
  <sheetViews>
    <sheetView zoomScale="80" zoomScaleNormal="80" workbookViewId="0"/>
  </sheetViews>
  <sheetFormatPr defaultRowHeight="15"/>
  <cols>
    <col min="1" max="1" width="25" customWidth="1"/>
    <col min="2" max="2" width="9.4257812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Residential Gas Service</v>
      </c>
      <c r="J1" s="682" t="s">
        <v>516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516</v>
      </c>
      <c r="J2" s="682" t="s">
        <v>900</v>
      </c>
      <c r="K2" s="683">
        <f>E52</f>
        <v>1814167.5973801531</v>
      </c>
      <c r="L2" s="683">
        <f>VLOOKUP($J1,Summary!$B:$P,12,0)</f>
        <v>1814167.5973801531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5751</v>
      </c>
      <c r="J3" s="682" t="s">
        <v>902</v>
      </c>
      <c r="K3" s="683">
        <f>F52</f>
        <v>81350796.845077872</v>
      </c>
      <c r="L3" s="683">
        <f>VLOOKUP($J1,Summary!$B:$P,13,0)</f>
        <v>81350796.845077872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4</v>
      </c>
      <c r="C7" s="697">
        <v>364623.71385814855</v>
      </c>
      <c r="D7" s="697">
        <v>193211.52426780469</v>
      </c>
      <c r="E7" s="697">
        <f>D7</f>
        <v>193211.52426780469</v>
      </c>
      <c r="F7" s="697">
        <f>C7</f>
        <v>364623.71385814855</v>
      </c>
      <c r="G7" s="163">
        <f t="shared" ref="G7:G52" si="0">E7/MAX($E$7:$E$52)</f>
        <v>0.10650147458637352</v>
      </c>
      <c r="H7" s="163">
        <f t="shared" ref="H7:H52" si="1">F7/MAX($F$7:$F$52)</f>
        <v>4.4821160701416056E-3</v>
      </c>
    </row>
    <row r="8" spans="1:13">
      <c r="A8">
        <v>5</v>
      </c>
      <c r="B8">
        <v>9</v>
      </c>
      <c r="C8" s="697">
        <v>1585318.6337362009</v>
      </c>
      <c r="D8" s="697">
        <v>229881.73741721653</v>
      </c>
      <c r="E8" s="697">
        <f>E7+D8</f>
        <v>423093.26168502122</v>
      </c>
      <c r="F8" s="697">
        <f>F7+C8</f>
        <v>1949942.3475943494</v>
      </c>
      <c r="G8" s="163">
        <f t="shared" si="0"/>
        <v>0.23321619363944762</v>
      </c>
      <c r="H8" s="163">
        <f t="shared" si="1"/>
        <v>2.3969554364756424E-2</v>
      </c>
    </row>
    <row r="9" spans="1:13">
      <c r="A9">
        <v>10</v>
      </c>
      <c r="B9">
        <v>14</v>
      </c>
      <c r="C9" s="697">
        <v>2324831.4729787027</v>
      </c>
      <c r="D9" s="697">
        <v>198713.5636482659</v>
      </c>
      <c r="E9" s="697">
        <f>E8+D9</f>
        <v>621806.82533328712</v>
      </c>
      <c r="F9" s="697">
        <f t="shared" ref="F9:F52" si="2">F8+C9</f>
        <v>4274773.8205730524</v>
      </c>
      <c r="G9" s="163">
        <f t="shared" si="0"/>
        <v>0.34275048580475193</v>
      </c>
      <c r="H9" s="163">
        <f t="shared" si="1"/>
        <v>5.2547411781519601E-2</v>
      </c>
    </row>
    <row r="10" spans="1:13">
      <c r="A10">
        <v>15</v>
      </c>
      <c r="B10">
        <v>19</v>
      </c>
      <c r="C10" s="697">
        <v>2639939.0867818333</v>
      </c>
      <c r="D10" s="697">
        <v>158052.73892263323</v>
      </c>
      <c r="E10" s="697">
        <f t="shared" ref="E10:E52" si="3">E9+D10</f>
        <v>779859.56425592036</v>
      </c>
      <c r="F10" s="697">
        <f t="shared" si="2"/>
        <v>6914712.9073548857</v>
      </c>
      <c r="G10" s="163">
        <f t="shared" si="0"/>
        <v>0.42987184060729489</v>
      </c>
      <c r="H10" s="163">
        <f t="shared" si="1"/>
        <v>8.4998711451137562E-2</v>
      </c>
    </row>
    <row r="11" spans="1:13">
      <c r="A11">
        <v>20</v>
      </c>
      <c r="B11">
        <v>24</v>
      </c>
      <c r="C11" s="697">
        <v>2475367.9437205885</v>
      </c>
      <c r="D11" s="697">
        <v>114018.33498235</v>
      </c>
      <c r="E11" s="697">
        <f t="shared" si="3"/>
        <v>893877.89923827036</v>
      </c>
      <c r="F11" s="697">
        <f t="shared" si="2"/>
        <v>9390080.8510754742</v>
      </c>
      <c r="G11" s="163">
        <f t="shared" si="0"/>
        <v>0.49272068387128237</v>
      </c>
      <c r="H11" s="163">
        <f t="shared" si="1"/>
        <v>0.11542702979243923</v>
      </c>
    </row>
    <row r="12" spans="1:13">
      <c r="A12">
        <v>25</v>
      </c>
      <c r="B12">
        <v>29</v>
      </c>
      <c r="C12" s="697">
        <v>2390697.9613078739</v>
      </c>
      <c r="D12" s="697">
        <v>89587.27025570313</v>
      </c>
      <c r="E12" s="697">
        <f t="shared" si="3"/>
        <v>983465.16949397349</v>
      </c>
      <c r="F12" s="697">
        <f t="shared" si="2"/>
        <v>11780778.812383348</v>
      </c>
      <c r="G12" s="163">
        <f t="shared" si="0"/>
        <v>0.54210270920624948</v>
      </c>
      <c r="H12" s="163">
        <f t="shared" si="1"/>
        <v>0.14481454723569981</v>
      </c>
    </row>
    <row r="13" spans="1:13">
      <c r="A13">
        <v>30</v>
      </c>
      <c r="B13">
        <v>34</v>
      </c>
      <c r="C13" s="697">
        <v>2296945.3148127683</v>
      </c>
      <c r="D13" s="697">
        <v>72632.949454284972</v>
      </c>
      <c r="E13" s="697">
        <f t="shared" si="3"/>
        <v>1056098.1189482585</v>
      </c>
      <c r="F13" s="697">
        <f t="shared" si="2"/>
        <v>14077724.127196116</v>
      </c>
      <c r="G13" s="163">
        <f t="shared" si="0"/>
        <v>0.58213922488383874</v>
      </c>
      <c r="H13" s="163">
        <f t="shared" si="1"/>
        <v>0.17304961565410762</v>
      </c>
    </row>
    <row r="14" spans="1:13">
      <c r="A14">
        <v>35</v>
      </c>
      <c r="B14">
        <v>39</v>
      </c>
      <c r="C14" s="697">
        <v>2235760.037326023</v>
      </c>
      <c r="D14" s="697">
        <v>61137.455669245683</v>
      </c>
      <c r="E14" s="697">
        <f t="shared" si="3"/>
        <v>1117235.5746175041</v>
      </c>
      <c r="F14" s="697">
        <f t="shared" si="2"/>
        <v>16313484.164522139</v>
      </c>
      <c r="G14" s="163">
        <f t="shared" si="0"/>
        <v>0.61583922909377753</v>
      </c>
      <c r="H14" s="163">
        <f t="shared" si="1"/>
        <v>0.20053256756155777</v>
      </c>
    </row>
    <row r="15" spans="1:13">
      <c r="A15">
        <v>40</v>
      </c>
      <c r="B15">
        <v>44</v>
      </c>
      <c r="C15" s="697">
        <v>2276608.6295983512</v>
      </c>
      <c r="D15" s="697">
        <v>54788.252964997897</v>
      </c>
      <c r="E15" s="697">
        <f t="shared" si="3"/>
        <v>1172023.827582502</v>
      </c>
      <c r="F15" s="697">
        <f t="shared" si="2"/>
        <v>18590092.794120491</v>
      </c>
      <c r="G15" s="163">
        <f t="shared" si="0"/>
        <v>0.6460394449085225</v>
      </c>
      <c r="H15" s="163">
        <f t="shared" si="1"/>
        <v>0.22851764844446368</v>
      </c>
    </row>
    <row r="16" spans="1:13">
      <c r="A16">
        <v>45</v>
      </c>
      <c r="B16">
        <v>49</v>
      </c>
      <c r="C16" s="697">
        <v>2314182.7636697702</v>
      </c>
      <c r="D16" s="697">
        <v>49725.371796274325</v>
      </c>
      <c r="E16" s="697">
        <f t="shared" si="3"/>
        <v>1221749.1993787764</v>
      </c>
      <c r="F16" s="697">
        <f t="shared" si="2"/>
        <v>20904275.557790261</v>
      </c>
      <c r="G16" s="163">
        <f t="shared" si="0"/>
        <v>0.67344891461136747</v>
      </c>
      <c r="H16" s="163">
        <f t="shared" si="1"/>
        <v>0.25696460721337205</v>
      </c>
    </row>
    <row r="17" spans="1:8">
      <c r="A17">
        <v>50</v>
      </c>
      <c r="B17">
        <v>54</v>
      </c>
      <c r="C17" s="697">
        <v>2359593.097345788</v>
      </c>
      <c r="D17" s="697">
        <v>45812.14049992431</v>
      </c>
      <c r="E17" s="697">
        <f t="shared" si="3"/>
        <v>1267561.3398787007</v>
      </c>
      <c r="F17" s="697">
        <f t="shared" si="2"/>
        <v>23263868.655136049</v>
      </c>
      <c r="G17" s="163">
        <f t="shared" si="0"/>
        <v>0.69870134474300571</v>
      </c>
      <c r="H17" s="163">
        <f t="shared" si="1"/>
        <v>0.2859697699020588</v>
      </c>
    </row>
    <row r="18" spans="1:8">
      <c r="A18">
        <v>55</v>
      </c>
      <c r="B18">
        <v>59</v>
      </c>
      <c r="C18" s="697">
        <v>2431350.4245849065</v>
      </c>
      <c r="D18" s="697">
        <v>43067.652911240002</v>
      </c>
      <c r="E18" s="697">
        <f t="shared" si="3"/>
        <v>1310628.9927899407</v>
      </c>
      <c r="F18" s="697">
        <f t="shared" si="2"/>
        <v>25695219.079720955</v>
      </c>
      <c r="G18" s="163">
        <f t="shared" si="0"/>
        <v>0.7224409666905226</v>
      </c>
      <c r="H18" s="163">
        <f t="shared" si="1"/>
        <v>0.31585700541635992</v>
      </c>
    </row>
    <row r="19" spans="1:8">
      <c r="A19">
        <v>60</v>
      </c>
      <c r="B19">
        <v>64</v>
      </c>
      <c r="C19" s="697">
        <v>2485426.2748862505</v>
      </c>
      <c r="D19" s="697">
        <v>40487.975269297836</v>
      </c>
      <c r="E19" s="697">
        <f t="shared" si="3"/>
        <v>1351116.9680592385</v>
      </c>
      <c r="F19" s="697">
        <f t="shared" si="2"/>
        <v>28180645.354607206</v>
      </c>
      <c r="G19" s="163">
        <f t="shared" si="0"/>
        <v>0.74475862649646707</v>
      </c>
      <c r="H19" s="163">
        <f t="shared" si="1"/>
        <v>0.34640896521608289</v>
      </c>
    </row>
    <row r="20" spans="1:8">
      <c r="A20">
        <v>65</v>
      </c>
      <c r="B20">
        <v>69</v>
      </c>
      <c r="C20" s="697">
        <v>2602419.7095365152</v>
      </c>
      <c r="D20" s="697">
        <v>39220.74756906624</v>
      </c>
      <c r="E20" s="697">
        <f t="shared" si="3"/>
        <v>1390337.7156283048</v>
      </c>
      <c r="F20" s="697">
        <f t="shared" si="2"/>
        <v>30783065.064143721</v>
      </c>
      <c r="G20" s="163">
        <f t="shared" si="0"/>
        <v>0.76637776886551012</v>
      </c>
      <c r="H20" s="163">
        <f t="shared" si="1"/>
        <v>0.37839906009483976</v>
      </c>
    </row>
    <row r="21" spans="1:8">
      <c r="A21">
        <v>70</v>
      </c>
      <c r="B21">
        <v>74</v>
      </c>
      <c r="C21" s="697">
        <v>2598712.1746200696</v>
      </c>
      <c r="D21" s="697">
        <v>36442.092064596247</v>
      </c>
      <c r="E21" s="697">
        <f t="shared" si="3"/>
        <v>1426779.807692901</v>
      </c>
      <c r="F21" s="697">
        <f t="shared" si="2"/>
        <v>33381777.238763791</v>
      </c>
      <c r="G21" s="163">
        <f t="shared" si="0"/>
        <v>0.78646526911478276</v>
      </c>
      <c r="H21" s="163">
        <f t="shared" si="1"/>
        <v>0.41034358031347978</v>
      </c>
    </row>
    <row r="22" spans="1:8">
      <c r="A22">
        <v>75</v>
      </c>
      <c r="B22">
        <v>79</v>
      </c>
      <c r="C22" s="697">
        <v>2662202.2166963853</v>
      </c>
      <c r="D22" s="697">
        <v>34906.545731565217</v>
      </c>
      <c r="E22" s="697">
        <f t="shared" si="3"/>
        <v>1461686.3534244662</v>
      </c>
      <c r="F22" s="697">
        <f t="shared" si="2"/>
        <v>36043979.455460176</v>
      </c>
      <c r="G22" s="163">
        <f t="shared" si="0"/>
        <v>0.80570635013837388</v>
      </c>
      <c r="H22" s="163">
        <f t="shared" si="1"/>
        <v>0.443068548229482</v>
      </c>
    </row>
    <row r="23" spans="1:8">
      <c r="A23">
        <v>80</v>
      </c>
      <c r="B23">
        <v>84</v>
      </c>
      <c r="C23" s="697">
        <v>2658990.4799508229</v>
      </c>
      <c r="D23" s="697">
        <v>32740.902833867818</v>
      </c>
      <c r="E23" s="697">
        <f t="shared" si="3"/>
        <v>1494427.256258334</v>
      </c>
      <c r="F23" s="697">
        <f t="shared" si="2"/>
        <v>38702969.935410999</v>
      </c>
      <c r="G23" s="163">
        <f t="shared" si="0"/>
        <v>0.82375369200532655</v>
      </c>
      <c r="H23" s="163">
        <f t="shared" si="1"/>
        <v>0.47575403605591998</v>
      </c>
    </row>
    <row r="24" spans="1:8">
      <c r="A24">
        <v>85</v>
      </c>
      <c r="B24">
        <v>89</v>
      </c>
      <c r="C24" s="697">
        <v>2645204.7022955716</v>
      </c>
      <c r="D24" s="697">
        <v>30696.857518824982</v>
      </c>
      <c r="E24" s="697">
        <f t="shared" si="3"/>
        <v>1525124.113777159</v>
      </c>
      <c r="F24" s="697">
        <f t="shared" si="2"/>
        <v>41348174.63770657</v>
      </c>
      <c r="G24" s="163">
        <f t="shared" si="0"/>
        <v>0.84067432136898324</v>
      </c>
      <c r="H24" s="163">
        <f t="shared" si="1"/>
        <v>0.5082700630019501</v>
      </c>
    </row>
    <row r="25" spans="1:8">
      <c r="A25">
        <v>90</v>
      </c>
      <c r="B25">
        <v>94</v>
      </c>
      <c r="C25" s="697">
        <v>2574691.8483769521</v>
      </c>
      <c r="D25" s="697">
        <v>28249.83178523276</v>
      </c>
      <c r="E25" s="697">
        <f t="shared" si="3"/>
        <v>1553373.9455623918</v>
      </c>
      <c r="F25" s="697">
        <f t="shared" si="2"/>
        <v>43922866.486083522</v>
      </c>
      <c r="G25" s="163">
        <f t="shared" si="0"/>
        <v>0.85624610857653138</v>
      </c>
      <c r="H25" s="163">
        <f t="shared" si="1"/>
        <v>0.53991931473921484</v>
      </c>
    </row>
    <row r="26" spans="1:8">
      <c r="A26">
        <v>95</v>
      </c>
      <c r="B26">
        <v>99</v>
      </c>
      <c r="C26" s="697">
        <v>2456475.8431366235</v>
      </c>
      <c r="D26" s="697">
        <v>25570.665212024469</v>
      </c>
      <c r="E26" s="697">
        <f t="shared" si="3"/>
        <v>1578944.6107744162</v>
      </c>
      <c r="F26" s="697">
        <f t="shared" si="2"/>
        <v>46379342.329220146</v>
      </c>
      <c r="G26" s="163">
        <f t="shared" si="0"/>
        <v>0.87034109365340706</v>
      </c>
      <c r="H26" s="163">
        <f t="shared" si="1"/>
        <v>0.57011540301865316</v>
      </c>
    </row>
    <row r="27" spans="1:8">
      <c r="A27">
        <v>100</v>
      </c>
      <c r="B27">
        <v>104</v>
      </c>
      <c r="C27" s="697">
        <v>2365071.7666919827</v>
      </c>
      <c r="D27" s="697">
        <v>23420.096394820837</v>
      </c>
      <c r="E27" s="697">
        <f t="shared" si="3"/>
        <v>1602364.7071692371</v>
      </c>
      <c r="F27" s="697">
        <f t="shared" si="2"/>
        <v>48744414.095912129</v>
      </c>
      <c r="G27" s="163">
        <f t="shared" si="0"/>
        <v>0.88325064866290115</v>
      </c>
      <c r="H27" s="163">
        <f t="shared" si="1"/>
        <v>0.59918791193575638</v>
      </c>
    </row>
    <row r="28" spans="1:8">
      <c r="A28">
        <v>105</v>
      </c>
      <c r="B28">
        <v>109</v>
      </c>
      <c r="C28" s="697">
        <v>2270822.3264473155</v>
      </c>
      <c r="D28" s="697">
        <v>21435.342463057488</v>
      </c>
      <c r="E28" s="697">
        <f t="shared" si="3"/>
        <v>1623800.0496322946</v>
      </c>
      <c r="F28" s="697">
        <f t="shared" si="2"/>
        <v>51015236.422359444</v>
      </c>
      <c r="G28" s="163">
        <f t="shared" si="0"/>
        <v>0.89506617358684548</v>
      </c>
      <c r="H28" s="163">
        <f t="shared" si="1"/>
        <v>0.62710186501936049</v>
      </c>
    </row>
    <row r="29" spans="1:8">
      <c r="A29">
        <v>110</v>
      </c>
      <c r="B29">
        <v>114</v>
      </c>
      <c r="C29" s="697">
        <v>2139859.9276690483</v>
      </c>
      <c r="D29" s="697">
        <v>19294.823032849701</v>
      </c>
      <c r="E29" s="697">
        <f t="shared" si="3"/>
        <v>1643094.8726651443</v>
      </c>
      <c r="F29" s="697">
        <f t="shared" si="2"/>
        <v>53155096.350028493</v>
      </c>
      <c r="G29" s="163">
        <f t="shared" si="0"/>
        <v>0.90570180783624643</v>
      </c>
      <c r="H29" s="163">
        <f t="shared" si="1"/>
        <v>0.65340597033432302</v>
      </c>
    </row>
    <row r="30" spans="1:8">
      <c r="A30">
        <v>115</v>
      </c>
      <c r="B30">
        <v>119</v>
      </c>
      <c r="C30" s="697">
        <v>2041692.8854114115</v>
      </c>
      <c r="D30" s="697">
        <v>17624.614914068952</v>
      </c>
      <c r="E30" s="697">
        <f t="shared" si="3"/>
        <v>1660719.4875792132</v>
      </c>
      <c r="F30" s="697">
        <f t="shared" si="2"/>
        <v>55196789.235439904</v>
      </c>
      <c r="G30" s="163">
        <f t="shared" si="0"/>
        <v>0.91541679499593365</v>
      </c>
      <c r="H30" s="163">
        <f t="shared" si="1"/>
        <v>0.67850336291794522</v>
      </c>
    </row>
    <row r="31" spans="1:8">
      <c r="A31">
        <v>120</v>
      </c>
      <c r="B31">
        <v>124</v>
      </c>
      <c r="C31" s="697">
        <v>1923903.9834147394</v>
      </c>
      <c r="D31" s="697">
        <v>15922.248756899964</v>
      </c>
      <c r="E31" s="697">
        <f t="shared" si="3"/>
        <v>1676641.7363361132</v>
      </c>
      <c r="F31" s="697">
        <f t="shared" si="2"/>
        <v>57120693.218854643</v>
      </c>
      <c r="G31" s="163">
        <f t="shared" si="0"/>
        <v>0.92419340900882496</v>
      </c>
      <c r="H31" s="163">
        <f t="shared" si="1"/>
        <v>0.70215284218584428</v>
      </c>
    </row>
    <row r="32" spans="1:8">
      <c r="A32">
        <v>125</v>
      </c>
      <c r="B32">
        <v>129</v>
      </c>
      <c r="C32" s="697">
        <v>1808903.6972345486</v>
      </c>
      <c r="D32" s="697">
        <v>14377.65797557286</v>
      </c>
      <c r="E32" s="697">
        <f t="shared" si="3"/>
        <v>1691019.394311686</v>
      </c>
      <c r="F32" s="697">
        <f t="shared" si="2"/>
        <v>58929596.916089192</v>
      </c>
      <c r="G32" s="163">
        <f t="shared" si="0"/>
        <v>0.93211861834248066</v>
      </c>
      <c r="H32" s="163">
        <f t="shared" si="1"/>
        <v>0.72438868703785442</v>
      </c>
    </row>
    <row r="33" spans="1:8">
      <c r="A33">
        <v>130</v>
      </c>
      <c r="B33">
        <v>134</v>
      </c>
      <c r="C33" s="697">
        <v>1612392.3997185081</v>
      </c>
      <c r="D33" s="697">
        <v>12332.607721830485</v>
      </c>
      <c r="E33" s="697">
        <f t="shared" si="3"/>
        <v>1703352.0020335165</v>
      </c>
      <c r="F33" s="697">
        <f t="shared" si="2"/>
        <v>60541989.3158077</v>
      </c>
      <c r="G33" s="163">
        <f t="shared" si="0"/>
        <v>0.93891656123355649</v>
      </c>
      <c r="H33" s="163">
        <f t="shared" si="1"/>
        <v>0.74420892804654548</v>
      </c>
    </row>
    <row r="34" spans="1:8">
      <c r="A34">
        <v>135</v>
      </c>
      <c r="B34">
        <v>139</v>
      </c>
      <c r="C34" s="697">
        <v>1540003.8756112009</v>
      </c>
      <c r="D34" s="697">
        <v>11354.802367092343</v>
      </c>
      <c r="E34" s="697">
        <f t="shared" si="3"/>
        <v>1714706.8044006089</v>
      </c>
      <c r="F34" s="697">
        <f t="shared" si="2"/>
        <v>62081993.191418901</v>
      </c>
      <c r="G34" s="163">
        <f t="shared" si="0"/>
        <v>0.94517552120147219</v>
      </c>
      <c r="H34" s="163">
        <f t="shared" si="1"/>
        <v>0.76313933727835603</v>
      </c>
    </row>
    <row r="35" spans="1:8">
      <c r="A35">
        <v>140</v>
      </c>
      <c r="B35">
        <v>144</v>
      </c>
      <c r="C35" s="697">
        <v>1447195.0376824066</v>
      </c>
      <c r="D35" s="697">
        <v>10292.582161585568</v>
      </c>
      <c r="E35" s="697">
        <f t="shared" si="3"/>
        <v>1724999.3865621944</v>
      </c>
      <c r="F35" s="697">
        <f t="shared" si="2"/>
        <v>63529188.229101308</v>
      </c>
      <c r="G35" s="163">
        <f t="shared" si="0"/>
        <v>0.95084896734638691</v>
      </c>
      <c r="H35" s="163">
        <f t="shared" si="1"/>
        <v>0.78092889919793251</v>
      </c>
    </row>
    <row r="36" spans="1:8">
      <c r="A36">
        <v>145</v>
      </c>
      <c r="B36">
        <v>149</v>
      </c>
      <c r="C36" s="697">
        <v>1317577.6656688899</v>
      </c>
      <c r="D36" s="697">
        <v>9051.4828675459139</v>
      </c>
      <c r="E36" s="697">
        <f t="shared" si="3"/>
        <v>1734050.8694297404</v>
      </c>
      <c r="F36" s="697">
        <f t="shared" si="2"/>
        <v>64846765.894770198</v>
      </c>
      <c r="G36" s="163">
        <f t="shared" si="0"/>
        <v>0.9558382984757805</v>
      </c>
      <c r="H36" s="163">
        <f t="shared" si="1"/>
        <v>0.7971251470131574</v>
      </c>
    </row>
    <row r="37" spans="1:8">
      <c r="A37">
        <v>150</v>
      </c>
      <c r="B37">
        <v>154</v>
      </c>
      <c r="C37" s="697">
        <v>1203714.3303143904</v>
      </c>
      <c r="D37" s="697">
        <v>7994.2873555377591</v>
      </c>
      <c r="E37" s="697">
        <f t="shared" si="3"/>
        <v>1742045.1567852781</v>
      </c>
      <c r="F37" s="697">
        <f t="shared" si="2"/>
        <v>66050480.225084588</v>
      </c>
      <c r="G37" s="163">
        <f t="shared" si="0"/>
        <v>0.96024488547859232</v>
      </c>
      <c r="H37" s="163">
        <f t="shared" si="1"/>
        <v>0.81192173631524756</v>
      </c>
    </row>
    <row r="38" spans="1:8">
      <c r="A38">
        <v>155</v>
      </c>
      <c r="B38">
        <v>159</v>
      </c>
      <c r="C38" s="697">
        <v>1122565.7096093595</v>
      </c>
      <c r="D38" s="697">
        <v>7220.484556825133</v>
      </c>
      <c r="E38" s="697">
        <f t="shared" si="3"/>
        <v>1749265.6413421032</v>
      </c>
      <c r="F38" s="697">
        <f t="shared" si="2"/>
        <v>67173045.934693947</v>
      </c>
      <c r="G38" s="163">
        <f t="shared" si="0"/>
        <v>0.96422493923286079</v>
      </c>
      <c r="H38" s="163">
        <f t="shared" si="1"/>
        <v>0.82572081085593263</v>
      </c>
    </row>
    <row r="39" spans="1:8">
      <c r="A39">
        <v>160</v>
      </c>
      <c r="B39">
        <v>164</v>
      </c>
      <c r="C39" s="697">
        <v>1025349.4449686706</v>
      </c>
      <c r="D39" s="697">
        <v>6391.4101296314038</v>
      </c>
      <c r="E39" s="697">
        <f t="shared" si="3"/>
        <v>1755657.0514717347</v>
      </c>
      <c r="F39" s="697">
        <f t="shared" si="2"/>
        <v>68198395.379662618</v>
      </c>
      <c r="G39" s="163">
        <f t="shared" si="0"/>
        <v>0.96774799307797488</v>
      </c>
      <c r="H39" s="163">
        <f t="shared" si="1"/>
        <v>0.83832486004455109</v>
      </c>
    </row>
    <row r="40" spans="1:8">
      <c r="A40">
        <v>165</v>
      </c>
      <c r="B40">
        <v>169</v>
      </c>
      <c r="C40" s="697">
        <v>967835.86156669259</v>
      </c>
      <c r="D40" s="697">
        <v>5851.7580479313619</v>
      </c>
      <c r="E40" s="697">
        <f t="shared" si="3"/>
        <v>1761508.809519666</v>
      </c>
      <c r="F40" s="697">
        <f t="shared" si="2"/>
        <v>69166231.241229311</v>
      </c>
      <c r="G40" s="163">
        <f t="shared" si="0"/>
        <v>0.97097358152767588</v>
      </c>
      <c r="H40" s="163">
        <f t="shared" si="1"/>
        <v>0.85022192681096287</v>
      </c>
    </row>
    <row r="41" spans="1:8">
      <c r="A41">
        <v>170</v>
      </c>
      <c r="B41">
        <v>174</v>
      </c>
      <c r="C41" s="697">
        <v>846918.8514315635</v>
      </c>
      <c r="D41" s="697">
        <v>4970.4268083577044</v>
      </c>
      <c r="E41" s="697">
        <f t="shared" si="3"/>
        <v>1766479.2363280237</v>
      </c>
      <c r="F41" s="697">
        <f t="shared" si="2"/>
        <v>70013150.092660874</v>
      </c>
      <c r="G41" s="163">
        <f t="shared" si="0"/>
        <v>0.97371336522546403</v>
      </c>
      <c r="H41" s="163">
        <f t="shared" si="1"/>
        <v>0.86063262817193931</v>
      </c>
    </row>
    <row r="42" spans="1:8">
      <c r="A42">
        <v>175</v>
      </c>
      <c r="B42">
        <v>179</v>
      </c>
      <c r="C42" s="697">
        <v>787043.75545665622</v>
      </c>
      <c r="D42" s="697">
        <v>4490.0661099369172</v>
      </c>
      <c r="E42" s="697">
        <f t="shared" si="3"/>
        <v>1770969.3024379606</v>
      </c>
      <c r="F42" s="697">
        <f t="shared" si="2"/>
        <v>70800193.84811753</v>
      </c>
      <c r="G42" s="163">
        <f t="shared" si="0"/>
        <v>0.97618836594558556</v>
      </c>
      <c r="H42" s="163">
        <f t="shared" si="1"/>
        <v>0.87030731835297681</v>
      </c>
    </row>
    <row r="43" spans="1:8">
      <c r="A43">
        <v>180</v>
      </c>
      <c r="B43">
        <v>184</v>
      </c>
      <c r="C43" s="697">
        <v>717531.45808771253</v>
      </c>
      <c r="D43" s="697">
        <v>3979.5572505253367</v>
      </c>
      <c r="E43" s="697">
        <f t="shared" si="3"/>
        <v>1774948.859688486</v>
      </c>
      <c r="F43" s="697">
        <f t="shared" si="2"/>
        <v>71517725.306205243</v>
      </c>
      <c r="G43" s="163">
        <f t="shared" si="0"/>
        <v>0.9783819655095245</v>
      </c>
      <c r="H43" s="163">
        <f t="shared" si="1"/>
        <v>0.87912753260919563</v>
      </c>
    </row>
    <row r="44" spans="1:8">
      <c r="A44">
        <v>185</v>
      </c>
      <c r="B44">
        <v>189</v>
      </c>
      <c r="C44" s="697">
        <v>663499.41324725747</v>
      </c>
      <c r="D44" s="697">
        <v>3582.6064641727135</v>
      </c>
      <c r="E44" s="697">
        <f t="shared" si="3"/>
        <v>1778531.4661526587</v>
      </c>
      <c r="F44" s="697">
        <f t="shared" si="2"/>
        <v>72181224.7194525</v>
      </c>
      <c r="G44" s="163">
        <f t="shared" si="0"/>
        <v>0.98035675905635355</v>
      </c>
      <c r="H44" s="163">
        <f t="shared" si="1"/>
        <v>0.88728356105610562</v>
      </c>
    </row>
    <row r="45" spans="1:8">
      <c r="A45">
        <v>190</v>
      </c>
      <c r="B45">
        <v>194</v>
      </c>
      <c r="C45" s="697">
        <v>628354.49109739065</v>
      </c>
      <c r="D45" s="697">
        <v>3304.2384443744086</v>
      </c>
      <c r="E45" s="697">
        <f t="shared" si="3"/>
        <v>1781835.7045970331</v>
      </c>
      <c r="F45" s="697">
        <f t="shared" si="2"/>
        <v>72809579.210549891</v>
      </c>
      <c r="G45" s="163">
        <f t="shared" si="0"/>
        <v>0.98217811142156286</v>
      </c>
      <c r="H45" s="163">
        <f t="shared" si="1"/>
        <v>0.89500757256510188</v>
      </c>
    </row>
    <row r="46" spans="1:8">
      <c r="A46">
        <v>195</v>
      </c>
      <c r="B46">
        <v>199</v>
      </c>
      <c r="C46" s="697">
        <v>573902.31206399202</v>
      </c>
      <c r="D46" s="697">
        <v>2940.4506351104937</v>
      </c>
      <c r="E46" s="697">
        <f t="shared" si="3"/>
        <v>1784776.1552321436</v>
      </c>
      <c r="F46" s="697">
        <f t="shared" si="2"/>
        <v>73383481.522613883</v>
      </c>
      <c r="G46" s="163">
        <f t="shared" si="0"/>
        <v>0.983798937766029</v>
      </c>
      <c r="H46" s="163">
        <f t="shared" si="1"/>
        <v>0.90206223378934181</v>
      </c>
    </row>
    <row r="47" spans="1:8">
      <c r="A47">
        <v>200</v>
      </c>
      <c r="B47">
        <v>299</v>
      </c>
      <c r="C47" s="697">
        <v>5377413.0233744532</v>
      </c>
      <c r="D47" s="697">
        <v>23182.930861709174</v>
      </c>
      <c r="E47" s="697">
        <f t="shared" si="3"/>
        <v>1807959.0860938528</v>
      </c>
      <c r="F47" s="697">
        <f t="shared" si="2"/>
        <v>78760894.545988336</v>
      </c>
      <c r="G47" s="163">
        <f t="shared" si="0"/>
        <v>0.99657776310454116</v>
      </c>
      <c r="H47" s="163">
        <f t="shared" si="1"/>
        <v>0.96816377467055825</v>
      </c>
    </row>
    <row r="48" spans="1:8">
      <c r="A48">
        <v>300</v>
      </c>
      <c r="B48">
        <v>399</v>
      </c>
      <c r="C48" s="697">
        <v>1337292.1142230332</v>
      </c>
      <c r="D48" s="697">
        <v>3998.6510858193506</v>
      </c>
      <c r="E48" s="697">
        <f t="shared" si="3"/>
        <v>1811957.7371796721</v>
      </c>
      <c r="F48" s="697">
        <f t="shared" si="2"/>
        <v>80098186.660211369</v>
      </c>
      <c r="G48" s="163">
        <f t="shared" si="0"/>
        <v>0.99878188751487329</v>
      </c>
      <c r="H48" s="163">
        <f t="shared" si="1"/>
        <v>0.98460236121286016</v>
      </c>
    </row>
    <row r="49" spans="1:8">
      <c r="A49">
        <v>400</v>
      </c>
      <c r="B49">
        <v>499</v>
      </c>
      <c r="C49" s="697">
        <v>523385.65545932949</v>
      </c>
      <c r="D49" s="697">
        <v>1199.8968073548749</v>
      </c>
      <c r="E49" s="697">
        <f t="shared" si="3"/>
        <v>1813157.633987027</v>
      </c>
      <c r="F49" s="697">
        <f t="shared" si="2"/>
        <v>80621572.315670699</v>
      </c>
      <c r="G49" s="163">
        <f t="shared" si="0"/>
        <v>0.99944329101975771</v>
      </c>
      <c r="H49" s="163">
        <f t="shared" si="1"/>
        <v>0.99103604933586709</v>
      </c>
    </row>
    <row r="50" spans="1:8">
      <c r="A50">
        <v>500</v>
      </c>
      <c r="B50">
        <v>999</v>
      </c>
      <c r="C50" s="697">
        <v>559821.8431263715</v>
      </c>
      <c r="D50" s="697">
        <v>898.41519746812992</v>
      </c>
      <c r="E50" s="697">
        <f t="shared" si="3"/>
        <v>1814056.0491844951</v>
      </c>
      <c r="F50" s="697">
        <f t="shared" si="2"/>
        <v>81181394.15879707</v>
      </c>
      <c r="G50" s="163">
        <f t="shared" si="0"/>
        <v>0.99993851273949597</v>
      </c>
      <c r="H50" s="163">
        <f t="shared" si="1"/>
        <v>0.99791762720402843</v>
      </c>
    </row>
    <row r="51" spans="1:8">
      <c r="A51">
        <v>1000</v>
      </c>
      <c r="B51">
        <v>1999</v>
      </c>
      <c r="C51" s="697">
        <v>125115.36532926559</v>
      </c>
      <c r="D51" s="697">
        <v>95.469176464015618</v>
      </c>
      <c r="E51" s="697">
        <f t="shared" si="3"/>
        <v>1814151.5183609591</v>
      </c>
      <c r="F51" s="697">
        <f t="shared" si="2"/>
        <v>81306509.524126336</v>
      </c>
      <c r="G51" s="163">
        <f t="shared" si="0"/>
        <v>0.9999911369714588</v>
      </c>
      <c r="H51" s="163">
        <f t="shared" si="1"/>
        <v>0.99945560064966699</v>
      </c>
    </row>
    <row r="52" spans="1:8">
      <c r="A52">
        <v>2000</v>
      </c>
      <c r="B52">
        <v>10000</v>
      </c>
      <c r="C52" s="697">
        <v>44287.320951536298</v>
      </c>
      <c r="D52" s="697">
        <v>16.079019194003195</v>
      </c>
      <c r="E52" s="697">
        <f t="shared" si="3"/>
        <v>1814167.5973801531</v>
      </c>
      <c r="F52" s="697">
        <f t="shared" si="2"/>
        <v>81350796.845077872</v>
      </c>
      <c r="G52" s="163">
        <f t="shared" si="0"/>
        <v>1</v>
      </c>
      <c r="H52" s="163">
        <f t="shared" si="1"/>
        <v>1</v>
      </c>
    </row>
    <row r="53" spans="1:8">
      <c r="C53" s="697"/>
      <c r="D53" s="697"/>
      <c r="E53" s="697"/>
      <c r="F53" s="697"/>
    </row>
    <row r="54" spans="1:8">
      <c r="A54" s="685"/>
      <c r="B54" s="686"/>
      <c r="D54" s="687" t="s">
        <v>912</v>
      </c>
      <c r="E54" s="688">
        <f>MAX(E6:E52)/12</f>
        <v>151180.63311501275</v>
      </c>
    </row>
    <row r="55" spans="1:8">
      <c r="A55" s="685"/>
      <c r="B55" s="686"/>
      <c r="D55" s="687" t="s">
        <v>913</v>
      </c>
      <c r="E55" s="688">
        <f>MAX(F6:F52)/E54/12</f>
        <v>44.841941264168149</v>
      </c>
    </row>
    <row r="56" spans="1:8">
      <c r="A56" s="689"/>
      <c r="B56" s="690"/>
      <c r="D56" s="691" t="s">
        <v>914</v>
      </c>
      <c r="E56" s="692">
        <f>VLOOKUP(B3,[17]!Percentiles_All_Bills,9,0)</f>
        <v>25</v>
      </c>
    </row>
  </sheetData>
  <conditionalFormatting sqref="M2:M3">
    <cfRule type="cellIs" dxfId="19" priority="1" operator="equal">
      <formula>0</formula>
    </cfRule>
    <cfRule type="cellIs" dxfId="18" priority="2" operator="lessThan">
      <formula>0</formula>
    </cfRule>
    <cfRule type="cellIs" dxfId="17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Proposed Billing Activity
&amp;RSchedule H-5
Proposed
Page &amp;P of &amp;N
</oddHead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42C51-DD15-4ED8-ACD6-A2175A7F33E8}">
  <sheetPr codeName="Sheet79">
    <tabColor theme="9" tint="0.79998168889431442"/>
  </sheetPr>
  <dimension ref="A1:M53"/>
  <sheetViews>
    <sheetView zoomScale="80" zoomScaleNormal="80" workbookViewId="0"/>
  </sheetViews>
  <sheetFormatPr defaultRowHeight="15"/>
  <cols>
    <col min="1" max="1" width="25" customWidth="1"/>
    <col min="2" max="2" width="11.14062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Residential CARES Gas Service</v>
      </c>
      <c r="J1" s="682" t="s">
        <v>518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518</v>
      </c>
      <c r="J2" s="682" t="s">
        <v>900</v>
      </c>
      <c r="K2" s="683">
        <f>E49</f>
        <v>69685.695402055382</v>
      </c>
      <c r="L2" s="683">
        <f>VLOOKUP($J1,Summary!$B:$P,12,0)</f>
        <v>69685.695402055382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5752</v>
      </c>
      <c r="J3" s="682" t="s">
        <v>902</v>
      </c>
      <c r="K3" s="683">
        <f>F49</f>
        <v>2494386.7258533677</v>
      </c>
      <c r="L3" s="683">
        <f>VLOOKUP($J1,Summary!$B:$P,13,0)</f>
        <v>2494386.7258533677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4</v>
      </c>
      <c r="C7" s="697">
        <v>14414.728759147412</v>
      </c>
      <c r="D7" s="697">
        <v>6396.0658100353139</v>
      </c>
      <c r="E7" s="697">
        <f>D7</f>
        <v>6396.0658100353139</v>
      </c>
      <c r="F7" s="697">
        <f>C7</f>
        <v>14414.728759147412</v>
      </c>
      <c r="G7" s="163">
        <f t="shared" ref="G7:G49" si="0">E7/MAX($E$7:$E$49)</f>
        <v>9.1784487090684347E-2</v>
      </c>
      <c r="H7" s="163">
        <f t="shared" ref="H7:H49" si="1">F7/MAX($F$7:$F$49)</f>
        <v>5.7788668492115688E-3</v>
      </c>
    </row>
    <row r="8" spans="1:13">
      <c r="A8">
        <v>5</v>
      </c>
      <c r="B8">
        <v>9</v>
      </c>
      <c r="C8" s="697">
        <v>76235.915129854926</v>
      </c>
      <c r="D8" s="697">
        <v>11351.644469600997</v>
      </c>
      <c r="E8" s="697">
        <f>E7+D8</f>
        <v>17747.710279636311</v>
      </c>
      <c r="F8" s="697">
        <f>F7+C8</f>
        <v>90650.643889002342</v>
      </c>
      <c r="G8" s="163">
        <f t="shared" si="0"/>
        <v>0.25468225834929159</v>
      </c>
      <c r="H8" s="163">
        <f t="shared" si="1"/>
        <v>3.6341856276511965E-2</v>
      </c>
    </row>
    <row r="9" spans="1:13">
      <c r="A9">
        <v>10</v>
      </c>
      <c r="B9">
        <v>14</v>
      </c>
      <c r="C9" s="697">
        <v>100853.4080458377</v>
      </c>
      <c r="D9" s="697">
        <v>8772.5856752319341</v>
      </c>
      <c r="E9" s="697">
        <f>E8+D9</f>
        <v>26520.295954868245</v>
      </c>
      <c r="F9" s="697">
        <f t="shared" ref="F9:F49" si="2">F8+C9</f>
        <v>191504.05193484004</v>
      </c>
      <c r="G9" s="163">
        <f t="shared" si="0"/>
        <v>0.38057015578101022</v>
      </c>
      <c r="H9" s="163">
        <f t="shared" si="1"/>
        <v>7.6774002182569981E-2</v>
      </c>
    </row>
    <row r="10" spans="1:13">
      <c r="A10">
        <v>15</v>
      </c>
      <c r="B10">
        <v>19</v>
      </c>
      <c r="C10" s="697">
        <v>116886.8490041258</v>
      </c>
      <c r="D10" s="697">
        <v>7122.9344904299687</v>
      </c>
      <c r="E10" s="697">
        <f t="shared" ref="E10:E49" si="3">E9+D10</f>
        <v>33643.230445298213</v>
      </c>
      <c r="F10" s="697">
        <f t="shared" si="2"/>
        <v>308390.90093896585</v>
      </c>
      <c r="G10" s="163">
        <f t="shared" si="0"/>
        <v>0.48278531556859378</v>
      </c>
      <c r="H10" s="163">
        <f t="shared" si="1"/>
        <v>0.12363395689313597</v>
      </c>
    </row>
    <row r="11" spans="1:13">
      <c r="A11">
        <v>20</v>
      </c>
      <c r="B11">
        <v>24</v>
      </c>
      <c r="C11" s="697">
        <v>95489.295817986014</v>
      </c>
      <c r="D11" s="697">
        <v>4485.1961932165432</v>
      </c>
      <c r="E11" s="697">
        <f t="shared" si="3"/>
        <v>38128.426638514757</v>
      </c>
      <c r="F11" s="697">
        <f t="shared" si="2"/>
        <v>403880.19675695186</v>
      </c>
      <c r="G11" s="163">
        <f t="shared" si="0"/>
        <v>0.54714854201469532</v>
      </c>
      <c r="H11" s="163">
        <f t="shared" si="1"/>
        <v>0.1619156294294255</v>
      </c>
    </row>
    <row r="12" spans="1:13">
      <c r="A12">
        <v>25</v>
      </c>
      <c r="B12">
        <v>29</v>
      </c>
      <c r="C12" s="697">
        <v>91715.368172348361</v>
      </c>
      <c r="D12" s="697">
        <v>3503.7341859648732</v>
      </c>
      <c r="E12" s="697">
        <f t="shared" si="3"/>
        <v>41632.16082447963</v>
      </c>
      <c r="F12" s="697">
        <f t="shared" si="2"/>
        <v>495595.56492930022</v>
      </c>
      <c r="G12" s="163">
        <f t="shared" si="0"/>
        <v>0.59742764399896753</v>
      </c>
      <c r="H12" s="163">
        <f t="shared" si="1"/>
        <v>0.19868433382548145</v>
      </c>
    </row>
    <row r="13" spans="1:13">
      <c r="A13">
        <v>30</v>
      </c>
      <c r="B13">
        <v>34</v>
      </c>
      <c r="C13" s="697">
        <v>86656.777519320371</v>
      </c>
      <c r="D13" s="697">
        <v>2790.1157158899368</v>
      </c>
      <c r="E13" s="697">
        <f t="shared" si="3"/>
        <v>44422.276540369567</v>
      </c>
      <c r="F13" s="697">
        <f t="shared" si="2"/>
        <v>582252.34244862059</v>
      </c>
      <c r="G13" s="163">
        <f t="shared" si="0"/>
        <v>0.63746621575737805</v>
      </c>
      <c r="H13" s="163">
        <f t="shared" si="1"/>
        <v>0.23342504849540649</v>
      </c>
    </row>
    <row r="14" spans="1:13">
      <c r="A14">
        <v>35</v>
      </c>
      <c r="B14">
        <v>39</v>
      </c>
      <c r="C14" s="697">
        <v>84047.880939124851</v>
      </c>
      <c r="D14" s="697">
        <v>2340.5550086145886</v>
      </c>
      <c r="E14" s="697">
        <f t="shared" si="3"/>
        <v>46762.831548984155</v>
      </c>
      <c r="F14" s="697">
        <f t="shared" si="2"/>
        <v>666300.22338774544</v>
      </c>
      <c r="G14" s="163">
        <f t="shared" si="0"/>
        <v>0.67105352510559702</v>
      </c>
      <c r="H14" s="163">
        <f t="shared" si="1"/>
        <v>0.26711985614812556</v>
      </c>
    </row>
    <row r="15" spans="1:13">
      <c r="A15">
        <v>40</v>
      </c>
      <c r="B15">
        <v>44</v>
      </c>
      <c r="C15" s="697">
        <v>90791.441482219263</v>
      </c>
      <c r="D15" s="697">
        <v>2226.035333708649</v>
      </c>
      <c r="E15" s="697">
        <f t="shared" si="3"/>
        <v>48988.866882692804</v>
      </c>
      <c r="F15" s="697">
        <f t="shared" si="2"/>
        <v>757091.6648699647</v>
      </c>
      <c r="G15" s="163">
        <f t="shared" si="0"/>
        <v>0.7029974602398511</v>
      </c>
      <c r="H15" s="163">
        <f t="shared" si="1"/>
        <v>0.30351815820016925</v>
      </c>
    </row>
    <row r="16" spans="1:13">
      <c r="A16">
        <v>45</v>
      </c>
      <c r="B16">
        <v>49</v>
      </c>
      <c r="C16" s="697">
        <v>86619.967691028607</v>
      </c>
      <c r="D16" s="697">
        <v>1897.6194064990923</v>
      </c>
      <c r="E16" s="697">
        <f t="shared" si="3"/>
        <v>50886.486289191897</v>
      </c>
      <c r="F16" s="697">
        <f t="shared" si="2"/>
        <v>843711.63256099331</v>
      </c>
      <c r="G16" s="163">
        <f t="shared" si="0"/>
        <v>0.73022857841339694</v>
      </c>
      <c r="H16" s="163">
        <f t="shared" si="1"/>
        <v>0.3382441158045959</v>
      </c>
    </row>
    <row r="17" spans="1:8">
      <c r="A17">
        <v>50</v>
      </c>
      <c r="B17">
        <v>54</v>
      </c>
      <c r="C17" s="697">
        <v>93296.350297489436</v>
      </c>
      <c r="D17" s="697">
        <v>1845.5650088145921</v>
      </c>
      <c r="E17" s="697">
        <f t="shared" si="3"/>
        <v>52732.051298006489</v>
      </c>
      <c r="F17" s="697">
        <f t="shared" si="2"/>
        <v>937007.98285848275</v>
      </c>
      <c r="G17" s="163">
        <f t="shared" si="0"/>
        <v>0.75671270830786819</v>
      </c>
      <c r="H17" s="163">
        <f t="shared" si="1"/>
        <v>0.37564663616381216</v>
      </c>
    </row>
    <row r="18" spans="1:8">
      <c r="A18">
        <v>55</v>
      </c>
      <c r="B18">
        <v>59</v>
      </c>
      <c r="C18" s="697">
        <v>95605.246777106076</v>
      </c>
      <c r="D18" s="697">
        <v>1726.3131159373006</v>
      </c>
      <c r="E18" s="697">
        <f t="shared" si="3"/>
        <v>54458.364413943789</v>
      </c>
      <c r="F18" s="697">
        <f t="shared" si="2"/>
        <v>1032613.2296355888</v>
      </c>
      <c r="G18" s="163">
        <f t="shared" si="0"/>
        <v>0.78148555596300384</v>
      </c>
      <c r="H18" s="163">
        <f t="shared" si="1"/>
        <v>0.41397479345642207</v>
      </c>
    </row>
    <row r="19" spans="1:8">
      <c r="A19">
        <v>60</v>
      </c>
      <c r="B19">
        <v>64</v>
      </c>
      <c r="C19" s="697">
        <v>97235.001924733631</v>
      </c>
      <c r="D19" s="697">
        <v>1612.7398846256401</v>
      </c>
      <c r="E19" s="697">
        <f t="shared" si="3"/>
        <v>56071.104298569429</v>
      </c>
      <c r="F19" s="697">
        <f t="shared" si="2"/>
        <v>1129848.2315603225</v>
      </c>
      <c r="G19" s="163">
        <f t="shared" si="0"/>
        <v>0.80462861100924898</v>
      </c>
      <c r="H19" s="163">
        <f t="shared" si="1"/>
        <v>0.45295631982397766</v>
      </c>
    </row>
    <row r="20" spans="1:8">
      <c r="A20">
        <v>65</v>
      </c>
      <c r="B20">
        <v>69</v>
      </c>
      <c r="C20" s="697">
        <v>91703.404978154227</v>
      </c>
      <c r="D20" s="697">
        <v>1409.254511858926</v>
      </c>
      <c r="E20" s="697">
        <f t="shared" si="3"/>
        <v>57480.358810428355</v>
      </c>
      <c r="F20" s="697">
        <f t="shared" si="2"/>
        <v>1221551.6365384767</v>
      </c>
      <c r="G20" s="163">
        <f t="shared" si="0"/>
        <v>0.82485162096456555</v>
      </c>
      <c r="H20" s="163">
        <f t="shared" si="1"/>
        <v>0.48972022817374689</v>
      </c>
    </row>
    <row r="21" spans="1:8">
      <c r="A21">
        <v>70</v>
      </c>
      <c r="B21">
        <v>74</v>
      </c>
      <c r="C21" s="697">
        <v>98980.708031481598</v>
      </c>
      <c r="D21" s="697">
        <v>1414.9331734245134</v>
      </c>
      <c r="E21" s="697">
        <f t="shared" si="3"/>
        <v>58895.291983852869</v>
      </c>
      <c r="F21" s="697">
        <f t="shared" si="2"/>
        <v>1320532.3445699583</v>
      </c>
      <c r="G21" s="163">
        <f t="shared" si="0"/>
        <v>0.84515612055032674</v>
      </c>
      <c r="H21" s="163">
        <f t="shared" si="1"/>
        <v>0.52940160837256867</v>
      </c>
    </row>
    <row r="22" spans="1:8">
      <c r="A22">
        <v>75</v>
      </c>
      <c r="B22">
        <v>79</v>
      </c>
      <c r="C22" s="697">
        <v>94432.853746005334</v>
      </c>
      <c r="D22" s="697">
        <v>1262.5557547479839</v>
      </c>
      <c r="E22" s="697">
        <f t="shared" si="3"/>
        <v>60157.847738600853</v>
      </c>
      <c r="F22" s="697">
        <f t="shared" si="2"/>
        <v>1414965.1983159636</v>
      </c>
      <c r="G22" s="163">
        <f t="shared" si="0"/>
        <v>0.86327398171915914</v>
      </c>
      <c r="H22" s="163">
        <f t="shared" si="1"/>
        <v>0.56725975312905119</v>
      </c>
    </row>
    <row r="23" spans="1:8">
      <c r="A23">
        <v>80</v>
      </c>
      <c r="B23">
        <v>84</v>
      </c>
      <c r="C23" s="697">
        <v>94778.866131951101</v>
      </c>
      <c r="D23" s="697">
        <v>1189.679597989707</v>
      </c>
      <c r="E23" s="697">
        <f t="shared" si="3"/>
        <v>61347.52733659056</v>
      </c>
      <c r="F23" s="697">
        <f t="shared" si="2"/>
        <v>1509744.0644479147</v>
      </c>
      <c r="G23" s="163">
        <f t="shared" si="0"/>
        <v>0.88034605929728749</v>
      </c>
      <c r="H23" s="163">
        <f t="shared" si="1"/>
        <v>0.60525661430122002</v>
      </c>
    </row>
    <row r="24" spans="1:8">
      <c r="A24">
        <v>85</v>
      </c>
      <c r="B24">
        <v>89</v>
      </c>
      <c r="C24" s="697">
        <v>84184.997549512191</v>
      </c>
      <c r="D24" s="697">
        <v>994.71221757136664</v>
      </c>
      <c r="E24" s="697">
        <f t="shared" si="3"/>
        <v>62342.239554161926</v>
      </c>
      <c r="F24" s="697">
        <f t="shared" si="2"/>
        <v>1593929.0619974269</v>
      </c>
      <c r="G24" s="163">
        <f t="shared" si="0"/>
        <v>0.89462032623015397</v>
      </c>
      <c r="H24" s="163">
        <f t="shared" si="1"/>
        <v>0.63900639202292076</v>
      </c>
    </row>
    <row r="25" spans="1:8">
      <c r="A25">
        <v>90</v>
      </c>
      <c r="B25">
        <v>94</v>
      </c>
      <c r="C25" s="697">
        <v>79780.701594374608</v>
      </c>
      <c r="D25" s="697">
        <v>892.49630939082999</v>
      </c>
      <c r="E25" s="697">
        <f t="shared" si="3"/>
        <v>63234.735863552756</v>
      </c>
      <c r="F25" s="697">
        <f t="shared" si="2"/>
        <v>1673709.7635918015</v>
      </c>
      <c r="G25" s="163">
        <f t="shared" si="0"/>
        <v>0.90742777981501843</v>
      </c>
      <c r="H25" s="163">
        <f t="shared" si="1"/>
        <v>0.67099048685772644</v>
      </c>
    </row>
    <row r="26" spans="1:8">
      <c r="A26">
        <v>95</v>
      </c>
      <c r="B26">
        <v>99</v>
      </c>
      <c r="C26" s="697">
        <v>79024.259622973856</v>
      </c>
      <c r="D26" s="697">
        <v>838.54902451780072</v>
      </c>
      <c r="E26" s="697">
        <f t="shared" si="3"/>
        <v>64073.284888070557</v>
      </c>
      <c r="F26" s="697">
        <f t="shared" si="2"/>
        <v>1752734.0232147754</v>
      </c>
      <c r="G26" s="163">
        <f t="shared" si="0"/>
        <v>0.91946108191066012</v>
      </c>
      <c r="H26" s="163">
        <f t="shared" si="1"/>
        <v>0.70267132399653798</v>
      </c>
    </row>
    <row r="27" spans="1:8">
      <c r="A27">
        <v>100</v>
      </c>
      <c r="B27">
        <v>104</v>
      </c>
      <c r="C27" s="697">
        <v>71910.760305544827</v>
      </c>
      <c r="D27" s="697">
        <v>724.97579320612567</v>
      </c>
      <c r="E27" s="697">
        <f t="shared" si="3"/>
        <v>64798.260681276683</v>
      </c>
      <c r="F27" s="697">
        <f t="shared" si="2"/>
        <v>1824644.7835203202</v>
      </c>
      <c r="G27" s="163">
        <f t="shared" si="0"/>
        <v>0.92986459139741118</v>
      </c>
      <c r="H27" s="163">
        <f t="shared" si="1"/>
        <v>0.73150035822776494</v>
      </c>
    </row>
    <row r="28" spans="1:8">
      <c r="A28">
        <v>105</v>
      </c>
      <c r="B28">
        <v>109</v>
      </c>
      <c r="C28" s="697">
        <v>65913.519031070871</v>
      </c>
      <c r="D28" s="697">
        <v>634.11720815682202</v>
      </c>
      <c r="E28" s="697">
        <f t="shared" si="3"/>
        <v>65432.377889433505</v>
      </c>
      <c r="F28" s="697">
        <f t="shared" si="2"/>
        <v>1890558.3025513911</v>
      </c>
      <c r="G28" s="163">
        <f t="shared" si="0"/>
        <v>0.93896426679705025</v>
      </c>
      <c r="H28" s="163">
        <f t="shared" si="1"/>
        <v>0.75792509756264925</v>
      </c>
    </row>
    <row r="29" spans="1:8">
      <c r="A29">
        <v>110</v>
      </c>
      <c r="B29">
        <v>114</v>
      </c>
      <c r="C29" s="697">
        <v>61188.97756979242</v>
      </c>
      <c r="D29" s="697">
        <v>562.1874949927078</v>
      </c>
      <c r="E29" s="697">
        <f t="shared" si="3"/>
        <v>65994.565384426212</v>
      </c>
      <c r="F29" s="697">
        <f t="shared" si="2"/>
        <v>1951747.2801211835</v>
      </c>
      <c r="G29" s="163">
        <f t="shared" si="0"/>
        <v>0.94703174021105774</v>
      </c>
      <c r="H29" s="163">
        <f t="shared" si="1"/>
        <v>0.78245576754080148</v>
      </c>
    </row>
    <row r="30" spans="1:8">
      <c r="A30">
        <v>115</v>
      </c>
      <c r="B30">
        <v>119</v>
      </c>
      <c r="C30" s="697">
        <v>54294.496730700601</v>
      </c>
      <c r="D30" s="697">
        <v>477.9540151033143</v>
      </c>
      <c r="E30" s="697">
        <f t="shared" si="3"/>
        <v>66472.519399529527</v>
      </c>
      <c r="F30" s="697">
        <f t="shared" si="2"/>
        <v>2006041.7768518841</v>
      </c>
      <c r="G30" s="163">
        <f t="shared" si="0"/>
        <v>0.95389045077347279</v>
      </c>
      <c r="H30" s="163">
        <f t="shared" si="1"/>
        <v>0.80422243915108493</v>
      </c>
    </row>
    <row r="31" spans="1:8">
      <c r="A31">
        <v>120</v>
      </c>
      <c r="B31">
        <v>124</v>
      </c>
      <c r="C31" s="697">
        <v>54782.226955570048</v>
      </c>
      <c r="D31" s="697">
        <v>461.86447400077304</v>
      </c>
      <c r="E31" s="697">
        <f t="shared" si="3"/>
        <v>66934.3838735303</v>
      </c>
      <c r="F31" s="697">
        <f t="shared" si="2"/>
        <v>2060824.0038074541</v>
      </c>
      <c r="G31" s="163">
        <f t="shared" si="0"/>
        <v>0.96051827404962753</v>
      </c>
      <c r="H31" s="163">
        <f t="shared" si="1"/>
        <v>0.8261846418792238</v>
      </c>
    </row>
    <row r="32" spans="1:8">
      <c r="A32">
        <v>125</v>
      </c>
      <c r="B32">
        <v>129</v>
      </c>
      <c r="C32" s="697">
        <v>46756.764142206172</v>
      </c>
      <c r="D32" s="697">
        <v>378.57743770552042</v>
      </c>
      <c r="E32" s="697">
        <f t="shared" si="3"/>
        <v>67312.96131123582</v>
      </c>
      <c r="F32" s="697">
        <f t="shared" si="2"/>
        <v>2107580.7679496603</v>
      </c>
      <c r="G32" s="163">
        <f t="shared" si="0"/>
        <v>0.96595091607926209</v>
      </c>
      <c r="H32" s="163">
        <f t="shared" si="1"/>
        <v>0.84492943540205245</v>
      </c>
    </row>
    <row r="33" spans="1:8">
      <c r="A33">
        <v>130</v>
      </c>
      <c r="B33">
        <v>134</v>
      </c>
      <c r="C33" s="697">
        <v>41043.878791287541</v>
      </c>
      <c r="D33" s="697">
        <v>319.8979348612047</v>
      </c>
      <c r="E33" s="697">
        <f t="shared" si="3"/>
        <v>67632.859246097025</v>
      </c>
      <c r="F33" s="697">
        <f t="shared" si="2"/>
        <v>2148624.6467409479</v>
      </c>
      <c r="G33" s="163">
        <f t="shared" si="0"/>
        <v>0.97054149859430394</v>
      </c>
      <c r="H33" s="163">
        <f t="shared" si="1"/>
        <v>0.86138393235951438</v>
      </c>
    </row>
    <row r="34" spans="1:8">
      <c r="A34">
        <v>135</v>
      </c>
      <c r="B34">
        <v>139</v>
      </c>
      <c r="C34" s="697">
        <v>35521.484301780816</v>
      </c>
      <c r="D34" s="697">
        <v>266.89709358240361</v>
      </c>
      <c r="E34" s="697">
        <f t="shared" si="3"/>
        <v>67899.756339679428</v>
      </c>
      <c r="F34" s="697">
        <f t="shared" si="2"/>
        <v>2184146.1310427287</v>
      </c>
      <c r="G34" s="163">
        <f t="shared" si="0"/>
        <v>0.9743715112251965</v>
      </c>
      <c r="H34" s="163">
        <f t="shared" si="1"/>
        <v>0.87562450056556451</v>
      </c>
    </row>
    <row r="35" spans="1:8">
      <c r="A35">
        <v>140</v>
      </c>
      <c r="B35">
        <v>144</v>
      </c>
      <c r="C35" s="697">
        <v>27723.322178120725</v>
      </c>
      <c r="D35" s="697">
        <v>200.64604198395682</v>
      </c>
      <c r="E35" s="697">
        <f t="shared" si="3"/>
        <v>68100.402381663385</v>
      </c>
      <c r="F35" s="697">
        <f t="shared" si="2"/>
        <v>2211869.4532208494</v>
      </c>
      <c r="G35" s="163">
        <f t="shared" si="0"/>
        <v>0.97725081150090332</v>
      </c>
      <c r="H35" s="163">
        <f t="shared" si="1"/>
        <v>0.88673878444575793</v>
      </c>
    </row>
    <row r="36" spans="1:8">
      <c r="A36">
        <v>145</v>
      </c>
      <c r="B36">
        <v>149</v>
      </c>
      <c r="C36" s="697">
        <v>29085.285824923776</v>
      </c>
      <c r="D36" s="697">
        <v>203.48537276672141</v>
      </c>
      <c r="E36" s="697">
        <f t="shared" si="3"/>
        <v>68303.887754430107</v>
      </c>
      <c r="F36" s="697">
        <f t="shared" si="2"/>
        <v>2240954.7390457732</v>
      </c>
      <c r="G36" s="163">
        <f t="shared" si="0"/>
        <v>0.9801708565918319</v>
      </c>
      <c r="H36" s="163">
        <f t="shared" si="1"/>
        <v>0.89839907974939548</v>
      </c>
    </row>
    <row r="37" spans="1:8">
      <c r="A37">
        <v>150</v>
      </c>
      <c r="B37">
        <v>154</v>
      </c>
      <c r="C37" s="697">
        <v>29080.684596387204</v>
      </c>
      <c r="D37" s="697">
        <v>196.86026760686946</v>
      </c>
      <c r="E37" s="697">
        <f t="shared" si="3"/>
        <v>68500.748022036976</v>
      </c>
      <c r="F37" s="697">
        <f t="shared" si="2"/>
        <v>2270035.4236421604</v>
      </c>
      <c r="G37" s="163">
        <f t="shared" si="0"/>
        <v>0.98299583044724193</v>
      </c>
      <c r="H37" s="163">
        <f t="shared" si="1"/>
        <v>0.91005753041984561</v>
      </c>
    </row>
    <row r="38" spans="1:8">
      <c r="A38">
        <v>155</v>
      </c>
      <c r="B38">
        <v>159</v>
      </c>
      <c r="C38" s="697">
        <v>23405.529319468886</v>
      </c>
      <c r="D38" s="697">
        <v>153.32386227077222</v>
      </c>
      <c r="E38" s="697">
        <f t="shared" si="3"/>
        <v>68654.071884307748</v>
      </c>
      <c r="F38" s="697">
        <f t="shared" si="2"/>
        <v>2293440.9529616293</v>
      </c>
      <c r="G38" s="163">
        <f t="shared" si="0"/>
        <v>0.98519605046924441</v>
      </c>
      <c r="H38" s="163">
        <f t="shared" si="1"/>
        <v>0.91944081051706539</v>
      </c>
    </row>
    <row r="39" spans="1:8">
      <c r="A39">
        <v>160</v>
      </c>
      <c r="B39">
        <v>164</v>
      </c>
      <c r="C39" s="697">
        <v>18039.576600202359</v>
      </c>
      <c r="D39" s="697">
        <v>114.51967490592506</v>
      </c>
      <c r="E39" s="697">
        <f t="shared" si="3"/>
        <v>68768.591559213673</v>
      </c>
      <c r="F39" s="697">
        <f t="shared" si="2"/>
        <v>2311480.5295618316</v>
      </c>
      <c r="G39" s="163">
        <f t="shared" si="0"/>
        <v>0.98683942468320895</v>
      </c>
      <c r="H39" s="163">
        <f t="shared" si="1"/>
        <v>0.92667287939124154</v>
      </c>
    </row>
    <row r="40" spans="1:8">
      <c r="A40">
        <v>165</v>
      </c>
      <c r="B40">
        <v>169</v>
      </c>
      <c r="C40" s="697">
        <v>19193.564717155881</v>
      </c>
      <c r="D40" s="697">
        <v>118.30544928299787</v>
      </c>
      <c r="E40" s="697">
        <f t="shared" si="3"/>
        <v>68886.897008496671</v>
      </c>
      <c r="F40" s="697">
        <f t="shared" si="2"/>
        <v>2330674.0942789875</v>
      </c>
      <c r="G40" s="163">
        <f t="shared" si="0"/>
        <v>0.98853712531747007</v>
      </c>
      <c r="H40" s="163">
        <f t="shared" si="1"/>
        <v>0.93436758226879535</v>
      </c>
    </row>
    <row r="41" spans="1:8">
      <c r="A41">
        <v>170</v>
      </c>
      <c r="B41">
        <v>174</v>
      </c>
      <c r="C41" s="697">
        <v>16305.833687649574</v>
      </c>
      <c r="D41" s="697">
        <v>97.483690209206543</v>
      </c>
      <c r="E41" s="697">
        <f t="shared" si="3"/>
        <v>68984.380698705878</v>
      </c>
      <c r="F41" s="697">
        <f t="shared" si="2"/>
        <v>2346979.9279666371</v>
      </c>
      <c r="G41" s="163">
        <f t="shared" si="0"/>
        <v>0.98993603064010149</v>
      </c>
      <c r="H41" s="163">
        <f t="shared" si="1"/>
        <v>0.94090459335799237</v>
      </c>
    </row>
    <row r="42" spans="1:8">
      <c r="A42">
        <v>175</v>
      </c>
      <c r="B42">
        <v>179</v>
      </c>
      <c r="C42" s="697">
        <v>15653.379481174052</v>
      </c>
      <c r="D42" s="697">
        <v>90.858585049281828</v>
      </c>
      <c r="E42" s="697">
        <f t="shared" si="3"/>
        <v>69075.23928375516</v>
      </c>
      <c r="F42" s="697">
        <f t="shared" si="2"/>
        <v>2362633.3074478111</v>
      </c>
      <c r="G42" s="163">
        <f t="shared" si="0"/>
        <v>0.99123986472721315</v>
      </c>
      <c r="H42" s="163">
        <f t="shared" si="1"/>
        <v>0.94718003546122875</v>
      </c>
    </row>
    <row r="43" spans="1:8">
      <c r="A43">
        <v>180</v>
      </c>
      <c r="B43">
        <v>184</v>
      </c>
      <c r="C43" s="697">
        <v>13895.710180229507</v>
      </c>
      <c r="D43" s="697">
        <v>78.554818323929794</v>
      </c>
      <c r="E43" s="697">
        <f t="shared" si="3"/>
        <v>69153.794102079089</v>
      </c>
      <c r="F43" s="697">
        <f t="shared" si="2"/>
        <v>2376529.0176280406</v>
      </c>
      <c r="G43" s="163">
        <f t="shared" si="0"/>
        <v>0.99236713794836284</v>
      </c>
      <c r="H43" s="163">
        <f t="shared" si="1"/>
        <v>0.95275082768691122</v>
      </c>
    </row>
    <row r="44" spans="1:8">
      <c r="A44">
        <v>185</v>
      </c>
      <c r="B44">
        <v>189</v>
      </c>
      <c r="C44" s="697">
        <v>10680.371678923722</v>
      </c>
      <c r="D44" s="697">
        <v>58.679502844373928</v>
      </c>
      <c r="E44" s="697">
        <f t="shared" si="3"/>
        <v>69212.473604923463</v>
      </c>
      <c r="F44" s="697">
        <f t="shared" si="2"/>
        <v>2387209.3893069644</v>
      </c>
      <c r="G44" s="163">
        <f t="shared" si="0"/>
        <v>0.99320919746295644</v>
      </c>
      <c r="H44" s="163">
        <f t="shared" si="1"/>
        <v>0.95703259024130016</v>
      </c>
    </row>
    <row r="45" spans="1:8">
      <c r="A45">
        <v>190</v>
      </c>
      <c r="B45">
        <v>194</v>
      </c>
      <c r="C45" s="697">
        <v>11131.292075500824</v>
      </c>
      <c r="D45" s="697">
        <v>59.62594643860939</v>
      </c>
      <c r="E45" s="697">
        <f t="shared" si="3"/>
        <v>69272.099551362073</v>
      </c>
      <c r="F45" s="697">
        <f t="shared" si="2"/>
        <v>2398340.6813824652</v>
      </c>
      <c r="G45" s="163">
        <f t="shared" si="0"/>
        <v>0.99406483858262384</v>
      </c>
      <c r="H45" s="163">
        <f t="shared" si="1"/>
        <v>0.96149512684804572</v>
      </c>
    </row>
    <row r="46" spans="1:8">
      <c r="A46">
        <v>195</v>
      </c>
      <c r="B46">
        <v>199</v>
      </c>
      <c r="C46" s="697">
        <v>9970.8622385957278</v>
      </c>
      <c r="D46" s="697">
        <v>52.054397684507421</v>
      </c>
      <c r="E46" s="697">
        <f t="shared" si="3"/>
        <v>69324.15394904658</v>
      </c>
      <c r="F46" s="697">
        <f t="shared" si="2"/>
        <v>2408311.5436210609</v>
      </c>
      <c r="G46" s="163">
        <f t="shared" si="0"/>
        <v>0.99481182686169856</v>
      </c>
      <c r="H46" s="163">
        <f t="shared" si="1"/>
        <v>0.96549244696495118</v>
      </c>
    </row>
    <row r="47" spans="1:8">
      <c r="A47">
        <v>200</v>
      </c>
      <c r="B47">
        <v>299</v>
      </c>
      <c r="C47" s="697">
        <v>71383.459515262395</v>
      </c>
      <c r="D47" s="697">
        <v>317.0586040783819</v>
      </c>
      <c r="E47" s="697">
        <f t="shared" si="3"/>
        <v>69641.212553124962</v>
      </c>
      <c r="F47" s="697">
        <f t="shared" si="2"/>
        <v>2479695.0031363233</v>
      </c>
      <c r="G47" s="163">
        <f t="shared" si="0"/>
        <v>0.99936166456151765</v>
      </c>
      <c r="H47" s="163">
        <f t="shared" si="1"/>
        <v>0.99411008623291242</v>
      </c>
    </row>
    <row r="48" spans="1:8">
      <c r="A48">
        <v>300</v>
      </c>
      <c r="B48">
        <v>399</v>
      </c>
      <c r="C48" s="697">
        <v>12012.887463094201</v>
      </c>
      <c r="D48" s="697">
        <v>37.85774377056805</v>
      </c>
      <c r="E48" s="697">
        <f t="shared" si="3"/>
        <v>69679.07029689553</v>
      </c>
      <c r="F48" s="697">
        <f t="shared" si="2"/>
        <v>2491707.8905994175</v>
      </c>
      <c r="G48" s="163">
        <f t="shared" si="0"/>
        <v>0.99990492876448134</v>
      </c>
      <c r="H48" s="163">
        <f t="shared" si="1"/>
        <v>0.99892605455834693</v>
      </c>
    </row>
    <row r="49" spans="1:8">
      <c r="A49">
        <v>400</v>
      </c>
      <c r="B49">
        <v>499</v>
      </c>
      <c r="C49" s="697">
        <v>2678.8352539502084</v>
      </c>
      <c r="D49" s="697">
        <v>6.6251051598519552</v>
      </c>
      <c r="E49" s="697">
        <f t="shared" si="3"/>
        <v>69685.695402055382</v>
      </c>
      <c r="F49" s="697">
        <f t="shared" si="2"/>
        <v>2494386.7258533677</v>
      </c>
      <c r="G49" s="163">
        <f t="shared" si="0"/>
        <v>1</v>
      </c>
      <c r="H49" s="163">
        <f t="shared" si="1"/>
        <v>1</v>
      </c>
    </row>
    <row r="51" spans="1:8">
      <c r="A51" s="685"/>
      <c r="B51" s="685"/>
      <c r="C51" s="693" t="s">
        <v>912</v>
      </c>
      <c r="D51" s="694">
        <f>MAX(E6:E49)/12</f>
        <v>5807.1412835046149</v>
      </c>
    </row>
    <row r="52" spans="1:8">
      <c r="A52" s="685"/>
      <c r="B52" s="685"/>
      <c r="C52" s="693" t="s">
        <v>913</v>
      </c>
      <c r="D52" s="694">
        <f>MAX(F6:F49)/D51/12</f>
        <v>35.794817163865112</v>
      </c>
    </row>
    <row r="53" spans="1:8">
      <c r="A53" s="689"/>
      <c r="B53" s="689"/>
      <c r="C53" s="695" t="s">
        <v>914</v>
      </c>
      <c r="D53" s="696">
        <f>VLOOKUP(B3,[17]!Percentiles_All_Bills,9,0)</f>
        <v>21</v>
      </c>
    </row>
  </sheetData>
  <conditionalFormatting sqref="M2:M3">
    <cfRule type="cellIs" dxfId="16" priority="1" operator="equal">
      <formula>0</formula>
    </cfRule>
    <cfRule type="cellIs" dxfId="15" priority="2" operator="lessThan">
      <formula>0</formula>
    </cfRule>
    <cfRule type="cellIs" dxfId="14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Proposed Billing Activity
&amp;RSchedule H-5
Proposed
Page &amp;P of &amp;N
</oddHead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0D5BB-72F9-4DCB-9685-5E0F7D2ECA8D}">
  <sheetPr codeName="Sheet80">
    <tabColor theme="9" tint="0.79998168889431442"/>
  </sheetPr>
  <dimension ref="A1:M57"/>
  <sheetViews>
    <sheetView zoomScale="80" zoomScaleNormal="80" workbookViewId="0"/>
  </sheetViews>
  <sheetFormatPr defaultRowHeight="15"/>
  <cols>
    <col min="1" max="1" width="25" customWidth="1"/>
    <col min="2" max="2" width="9.14062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  <col min="9" max="9" width="8.85546875" customWidth="1"/>
  </cols>
  <sheetData>
    <row r="1" spans="1:13">
      <c r="A1" s="681" t="str">
        <f>VLOOKUP(B2,'Rate Codes'!$A$1:$C$20,3,0)</f>
        <v>Small Volume Commercial Service</v>
      </c>
      <c r="J1" s="682" t="s">
        <v>521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521</v>
      </c>
      <c r="J2" s="682" t="s">
        <v>900</v>
      </c>
      <c r="K2" s="683">
        <f>E53</f>
        <v>159201.40811471199</v>
      </c>
      <c r="L2" s="683">
        <f>VLOOKUP($J1,Summary!$B:$P,12,0)</f>
        <v>159201.40811471199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5753</v>
      </c>
      <c r="J3" s="682" t="s">
        <v>902</v>
      </c>
      <c r="K3" s="683">
        <f>F53</f>
        <v>36221648.273520097</v>
      </c>
      <c r="L3" s="683">
        <f>VLOOKUP($J1,Summary!$B:$P,13,0)</f>
        <v>36221648.273520097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9</v>
      </c>
      <c r="C7" s="697">
        <v>103573.90201337745</v>
      </c>
      <c r="D7" s="697">
        <v>55107.509475206389</v>
      </c>
      <c r="E7" s="697">
        <f>D7</f>
        <v>55107.509475206389</v>
      </c>
      <c r="F7" s="697">
        <f>C7</f>
        <v>103573.90201337745</v>
      </c>
      <c r="G7" s="163">
        <f t="shared" ref="G7:G52" si="0">E7/MAX($E$7:$E$52)</f>
        <v>0.3461614772548457</v>
      </c>
      <c r="H7" s="163">
        <f t="shared" ref="H7:H52" si="1">F7/MAX($F$7:$F$52)</f>
        <v>2.8661887940608418E-3</v>
      </c>
    </row>
    <row r="8" spans="1:13">
      <c r="A8">
        <v>10</v>
      </c>
      <c r="B8">
        <v>19</v>
      </c>
      <c r="C8" s="697">
        <v>160728.13740413025</v>
      </c>
      <c r="D8" s="697">
        <v>11250.009197750915</v>
      </c>
      <c r="E8" s="697">
        <f>E7+D8</f>
        <v>66357.518672957303</v>
      </c>
      <c r="F8" s="697">
        <f>F7+C8</f>
        <v>264302.03941750771</v>
      </c>
      <c r="G8" s="163">
        <f t="shared" si="0"/>
        <v>0.41682915648967239</v>
      </c>
      <c r="H8" s="163">
        <f t="shared" si="1"/>
        <v>7.314000234615519E-3</v>
      </c>
    </row>
    <row r="9" spans="1:13">
      <c r="A9">
        <v>20</v>
      </c>
      <c r="B9">
        <v>29</v>
      </c>
      <c r="C9" s="697">
        <v>187146.21377544454</v>
      </c>
      <c r="D9" s="697">
        <v>7555.5536649045098</v>
      </c>
      <c r="E9" s="697">
        <f>E8+D9</f>
        <v>73913.072337861813</v>
      </c>
      <c r="F9" s="697">
        <f t="shared" ref="F9:F52" si="2">F8+C9</f>
        <v>451448.25319295225</v>
      </c>
      <c r="G9" s="163">
        <f t="shared" si="0"/>
        <v>0.46428986816088902</v>
      </c>
      <c r="H9" s="163">
        <f t="shared" si="1"/>
        <v>1.2492876093756307E-2</v>
      </c>
    </row>
    <row r="10" spans="1:13">
      <c r="A10">
        <v>30</v>
      </c>
      <c r="B10">
        <v>39</v>
      </c>
      <c r="C10" s="697">
        <v>204974.85493843036</v>
      </c>
      <c r="D10" s="697">
        <v>5849.917649445284</v>
      </c>
      <c r="E10" s="697">
        <f t="shared" ref="E10:E52" si="3">E9+D10</f>
        <v>79762.989987307097</v>
      </c>
      <c r="F10" s="697">
        <f t="shared" si="2"/>
        <v>656423.10813138261</v>
      </c>
      <c r="G10" s="163">
        <f t="shared" si="0"/>
        <v>0.5010365140288584</v>
      </c>
      <c r="H10" s="163">
        <f t="shared" si="1"/>
        <v>1.8165121909240748E-2</v>
      </c>
    </row>
    <row r="11" spans="1:13">
      <c r="A11">
        <v>40</v>
      </c>
      <c r="B11">
        <v>49</v>
      </c>
      <c r="C11" s="697">
        <v>227811.40385694569</v>
      </c>
      <c r="D11" s="697">
        <v>5031.9529957991326</v>
      </c>
      <c r="E11" s="697">
        <f t="shared" si="3"/>
        <v>84794.94298310623</v>
      </c>
      <c r="F11" s="697">
        <f t="shared" si="2"/>
        <v>884234.5119883283</v>
      </c>
      <c r="G11" s="163">
        <f t="shared" si="0"/>
        <v>0.53264506065146455</v>
      </c>
      <c r="H11" s="163">
        <f t="shared" si="1"/>
        <v>2.4469320942021346E-2</v>
      </c>
    </row>
    <row r="12" spans="1:13">
      <c r="A12">
        <v>50</v>
      </c>
      <c r="B12">
        <v>59</v>
      </c>
      <c r="C12" s="697">
        <v>245969.38087766012</v>
      </c>
      <c r="D12" s="697">
        <v>4419.8409647084482</v>
      </c>
      <c r="E12" s="697">
        <f t="shared" si="3"/>
        <v>89214.783947814678</v>
      </c>
      <c r="F12" s="697">
        <f t="shared" si="2"/>
        <v>1130203.8928659884</v>
      </c>
      <c r="G12" s="163">
        <f t="shared" si="0"/>
        <v>0.56040858493599632</v>
      </c>
      <c r="H12" s="163">
        <f t="shared" si="1"/>
        <v>3.1276003604827428E-2</v>
      </c>
    </row>
    <row r="13" spans="1:13">
      <c r="A13">
        <v>60</v>
      </c>
      <c r="B13">
        <v>69</v>
      </c>
      <c r="C13" s="697">
        <v>254854.77330948762</v>
      </c>
      <c r="D13" s="697">
        <v>3875.2573071543884</v>
      </c>
      <c r="E13" s="697">
        <f t="shared" si="3"/>
        <v>93090.041254969066</v>
      </c>
      <c r="F13" s="697">
        <f t="shared" si="2"/>
        <v>1385058.666175476</v>
      </c>
      <c r="G13" s="163">
        <f t="shared" si="0"/>
        <v>0.58475127084145795</v>
      </c>
      <c r="H13" s="163">
        <f t="shared" si="1"/>
        <v>3.8328570720414366E-2</v>
      </c>
    </row>
    <row r="14" spans="1:13">
      <c r="A14">
        <v>70</v>
      </c>
      <c r="B14">
        <v>79</v>
      </c>
      <c r="C14" s="697">
        <v>269248.75301028322</v>
      </c>
      <c r="D14" s="697">
        <v>3541.9721087313519</v>
      </c>
      <c r="E14" s="697">
        <f t="shared" si="3"/>
        <v>96632.013363700418</v>
      </c>
      <c r="F14" s="697">
        <f t="shared" si="2"/>
        <v>1654307.4191857593</v>
      </c>
      <c r="G14" s="163">
        <f t="shared" si="0"/>
        <v>0.60700040365892893</v>
      </c>
      <c r="H14" s="163">
        <f t="shared" si="1"/>
        <v>4.5779460796886093E-2</v>
      </c>
    </row>
    <row r="15" spans="1:13">
      <c r="A15">
        <v>80</v>
      </c>
      <c r="B15">
        <v>89</v>
      </c>
      <c r="C15" s="697">
        <v>282809.37947648834</v>
      </c>
      <c r="D15" s="697">
        <v>3277.3044511600747</v>
      </c>
      <c r="E15" s="697">
        <f t="shared" si="3"/>
        <v>99909.317814860493</v>
      </c>
      <c r="F15" s="697">
        <f t="shared" si="2"/>
        <v>1937116.7986622476</v>
      </c>
      <c r="G15" s="163">
        <f t="shared" si="0"/>
        <v>0.62758700902417175</v>
      </c>
      <c r="H15" s="163">
        <f t="shared" si="1"/>
        <v>5.3605612545094994E-2</v>
      </c>
    </row>
    <row r="16" spans="1:13">
      <c r="A16">
        <v>90</v>
      </c>
      <c r="B16">
        <v>99</v>
      </c>
      <c r="C16" s="697">
        <v>279557.1878814185</v>
      </c>
      <c r="D16" s="697">
        <v>2897.1850581873878</v>
      </c>
      <c r="E16" s="697">
        <f t="shared" si="3"/>
        <v>102806.50287304788</v>
      </c>
      <c r="F16" s="697">
        <f t="shared" si="2"/>
        <v>2216673.9865436661</v>
      </c>
      <c r="G16" s="163">
        <f t="shared" si="0"/>
        <v>0.64578586920082381</v>
      </c>
      <c r="H16" s="163">
        <f t="shared" si="1"/>
        <v>6.134176676569579E-2</v>
      </c>
    </row>
    <row r="17" spans="1:8">
      <c r="A17">
        <v>100</v>
      </c>
      <c r="B17">
        <v>109</v>
      </c>
      <c r="C17" s="697">
        <v>289003.34136829711</v>
      </c>
      <c r="D17" s="697">
        <v>2708.7591126736806</v>
      </c>
      <c r="E17" s="697">
        <f t="shared" si="3"/>
        <v>105515.26198572156</v>
      </c>
      <c r="F17" s="697">
        <f t="shared" si="2"/>
        <v>2505677.3279119632</v>
      </c>
      <c r="G17" s="163">
        <f t="shared" si="0"/>
        <v>0.66280111929831764</v>
      </c>
      <c r="H17" s="163">
        <f t="shared" si="1"/>
        <v>6.9339323315887033E-2</v>
      </c>
    </row>
    <row r="18" spans="1:8">
      <c r="A18">
        <v>110</v>
      </c>
      <c r="B18">
        <v>119</v>
      </c>
      <c r="C18" s="697">
        <v>268965.03461933415</v>
      </c>
      <c r="D18" s="697">
        <v>2300.3213695081795</v>
      </c>
      <c r="E18" s="697">
        <f t="shared" si="3"/>
        <v>107815.58335522974</v>
      </c>
      <c r="F18" s="697">
        <f t="shared" si="2"/>
        <v>2774642.3625312974</v>
      </c>
      <c r="G18" s="163">
        <f t="shared" si="0"/>
        <v>0.67725074061150914</v>
      </c>
      <c r="H18" s="163">
        <f t="shared" si="1"/>
        <v>7.6782362085639599E-2</v>
      </c>
    </row>
    <row r="19" spans="1:8">
      <c r="A19">
        <v>120</v>
      </c>
      <c r="B19">
        <v>129</v>
      </c>
      <c r="C19" s="697">
        <v>280916.81091569085</v>
      </c>
      <c r="D19" s="697">
        <v>2211.0096496693004</v>
      </c>
      <c r="E19" s="697">
        <f t="shared" si="3"/>
        <v>110026.59300489904</v>
      </c>
      <c r="F19" s="697">
        <f t="shared" si="2"/>
        <v>3055559.1734469882</v>
      </c>
      <c r="G19" s="163">
        <f t="shared" si="0"/>
        <v>0.69113934443053293</v>
      </c>
      <c r="H19" s="163">
        <f t="shared" si="1"/>
        <v>8.45561409996161E-2</v>
      </c>
    </row>
    <row r="20" spans="1:8">
      <c r="A20">
        <v>130</v>
      </c>
      <c r="B20">
        <v>139</v>
      </c>
      <c r="C20" s="697">
        <v>274795.1693980433</v>
      </c>
      <c r="D20" s="697">
        <v>2000.8003578535281</v>
      </c>
      <c r="E20" s="697">
        <f t="shared" si="3"/>
        <v>112027.39336275257</v>
      </c>
      <c r="F20" s="697">
        <f t="shared" si="2"/>
        <v>3330354.3428450315</v>
      </c>
      <c r="G20" s="163">
        <f t="shared" si="0"/>
        <v>0.70370750463523624</v>
      </c>
      <c r="H20" s="163">
        <f t="shared" si="1"/>
        <v>9.2160516425087616E-2</v>
      </c>
    </row>
    <row r="21" spans="1:8">
      <c r="A21">
        <v>140</v>
      </c>
      <c r="B21">
        <v>149</v>
      </c>
      <c r="C21" s="697">
        <v>272129.32914426969</v>
      </c>
      <c r="D21" s="697">
        <v>1845.0494317930279</v>
      </c>
      <c r="E21" s="697">
        <f t="shared" si="3"/>
        <v>113872.4427945456</v>
      </c>
      <c r="F21" s="697">
        <f t="shared" si="2"/>
        <v>3602483.6719893012</v>
      </c>
      <c r="G21" s="163">
        <f t="shared" si="0"/>
        <v>0.71529730506352529</v>
      </c>
      <c r="H21" s="163">
        <f t="shared" si="1"/>
        <v>9.9691120356837332E-2</v>
      </c>
    </row>
    <row r="22" spans="1:8">
      <c r="A22">
        <v>150</v>
      </c>
      <c r="B22">
        <v>159</v>
      </c>
      <c r="C22" s="697">
        <v>256026.36337093404</v>
      </c>
      <c r="D22" s="697">
        <v>1623.9484668260848</v>
      </c>
      <c r="E22" s="697">
        <f t="shared" si="3"/>
        <v>115496.39126137168</v>
      </c>
      <c r="F22" s="697">
        <f t="shared" si="2"/>
        <v>3858510.0353602353</v>
      </c>
      <c r="G22" s="163">
        <f t="shared" si="0"/>
        <v>0.72549824510991179</v>
      </c>
      <c r="H22" s="163">
        <f t="shared" si="1"/>
        <v>0.10677610875075863</v>
      </c>
    </row>
    <row r="23" spans="1:8">
      <c r="A23">
        <v>160</v>
      </c>
      <c r="B23">
        <v>169</v>
      </c>
      <c r="C23" s="697">
        <v>256157.65266556991</v>
      </c>
      <c r="D23" s="697">
        <v>1524.8342411512276</v>
      </c>
      <c r="E23" s="697">
        <f t="shared" si="3"/>
        <v>117021.22550252291</v>
      </c>
      <c r="F23" s="697">
        <f t="shared" si="2"/>
        <v>4114667.6880258052</v>
      </c>
      <c r="G23" s="163">
        <f t="shared" si="0"/>
        <v>0.73507659257130753</v>
      </c>
      <c r="H23" s="163">
        <f t="shared" si="1"/>
        <v>0.11386473029837743</v>
      </c>
    </row>
    <row r="24" spans="1:8">
      <c r="A24">
        <v>170</v>
      </c>
      <c r="B24">
        <v>179</v>
      </c>
      <c r="C24" s="697">
        <v>255853.90709408373</v>
      </c>
      <c r="D24" s="697">
        <v>1435.5225213123922</v>
      </c>
      <c r="E24" s="697">
        <f t="shared" si="3"/>
        <v>118456.7480238353</v>
      </c>
      <c r="F24" s="697">
        <f t="shared" si="2"/>
        <v>4370521.5951198889</v>
      </c>
      <c r="G24" s="163">
        <f t="shared" si="0"/>
        <v>0.74409392253853579</v>
      </c>
      <c r="H24" s="163">
        <f t="shared" si="1"/>
        <v>0.12094494632939103</v>
      </c>
    </row>
    <row r="25" spans="1:8">
      <c r="A25">
        <v>180</v>
      </c>
      <c r="B25">
        <v>189</v>
      </c>
      <c r="C25" s="697">
        <v>251597.01860871259</v>
      </c>
      <c r="D25" s="697">
        <v>1336.4082956375642</v>
      </c>
      <c r="E25" s="697">
        <f t="shared" si="3"/>
        <v>119793.15631947287</v>
      </c>
      <c r="F25" s="697">
        <f t="shared" si="2"/>
        <v>4622118.6137286015</v>
      </c>
      <c r="G25" s="163">
        <f t="shared" si="0"/>
        <v>0.75248865992077352</v>
      </c>
      <c r="H25" s="163">
        <f t="shared" si="1"/>
        <v>0.12790736197017927</v>
      </c>
    </row>
    <row r="26" spans="1:8">
      <c r="A26">
        <v>190</v>
      </c>
      <c r="B26">
        <v>199</v>
      </c>
      <c r="C26" s="697">
        <v>246556.84484009352</v>
      </c>
      <c r="D26" s="697">
        <v>1241.6507392231724</v>
      </c>
      <c r="E26" s="697">
        <f t="shared" si="3"/>
        <v>121034.80705869604</v>
      </c>
      <c r="F26" s="697">
        <f t="shared" si="2"/>
        <v>4868675.458568695</v>
      </c>
      <c r="G26" s="163">
        <f t="shared" si="0"/>
        <v>0.76028817142505301</v>
      </c>
      <c r="H26" s="163">
        <f t="shared" si="1"/>
        <v>0.13473030145630968</v>
      </c>
    </row>
    <row r="27" spans="1:8">
      <c r="A27">
        <v>200</v>
      </c>
      <c r="B27">
        <v>249</v>
      </c>
      <c r="C27" s="697">
        <v>1189235.1201215675</v>
      </c>
      <c r="D27" s="697">
        <v>5209.4872681617562</v>
      </c>
      <c r="E27" s="697">
        <f t="shared" si="3"/>
        <v>126244.29432685779</v>
      </c>
      <c r="F27" s="697">
        <f t="shared" si="2"/>
        <v>6057910.5786902625</v>
      </c>
      <c r="G27" s="163">
        <f t="shared" si="0"/>
        <v>0.7930119113592361</v>
      </c>
      <c r="H27" s="163">
        <f t="shared" si="1"/>
        <v>0.16763986948972981</v>
      </c>
    </row>
    <row r="28" spans="1:8">
      <c r="A28">
        <v>250</v>
      </c>
      <c r="B28">
        <v>299</v>
      </c>
      <c r="C28" s="697">
        <v>1184243.9016831517</v>
      </c>
      <c r="D28" s="697">
        <v>4231.4150191947847</v>
      </c>
      <c r="E28" s="697">
        <f t="shared" si="3"/>
        <v>130475.70934605258</v>
      </c>
      <c r="F28" s="697">
        <f t="shared" si="2"/>
        <v>7242154.4803734142</v>
      </c>
      <c r="G28" s="163">
        <f t="shared" si="0"/>
        <v>0.81959182556460985</v>
      </c>
      <c r="H28" s="163">
        <f t="shared" si="1"/>
        <v>0.20041131610376914</v>
      </c>
    </row>
    <row r="29" spans="1:8">
      <c r="A29">
        <v>300</v>
      </c>
      <c r="B29">
        <v>349</v>
      </c>
      <c r="C29" s="697">
        <v>1087035.3052172931</v>
      </c>
      <c r="D29" s="697">
        <v>3289.2852916262054</v>
      </c>
      <c r="E29" s="697">
        <f t="shared" si="3"/>
        <v>133764.99463767878</v>
      </c>
      <c r="F29" s="697">
        <f t="shared" si="2"/>
        <v>8329189.7855907073</v>
      </c>
      <c r="G29" s="163">
        <f t="shared" si="0"/>
        <v>0.84025368937419187</v>
      </c>
      <c r="H29" s="163">
        <f t="shared" si="1"/>
        <v>0.23049272029919957</v>
      </c>
    </row>
    <row r="30" spans="1:8">
      <c r="A30">
        <v>350</v>
      </c>
      <c r="B30">
        <v>399</v>
      </c>
      <c r="C30" s="697">
        <v>1093735.5097282408</v>
      </c>
      <c r="D30" s="697">
        <v>2864.51003873421</v>
      </c>
      <c r="E30" s="697">
        <f t="shared" si="3"/>
        <v>136629.50467641299</v>
      </c>
      <c r="F30" s="697">
        <f t="shared" si="2"/>
        <v>9422925.2953189481</v>
      </c>
      <c r="G30" s="163">
        <f t="shared" si="0"/>
        <v>0.85824729924810017</v>
      </c>
      <c r="H30" s="163">
        <f t="shared" si="1"/>
        <v>0.26075953849095423</v>
      </c>
    </row>
    <row r="31" spans="1:8">
      <c r="A31">
        <v>400</v>
      </c>
      <c r="B31">
        <v>449</v>
      </c>
      <c r="C31" s="697">
        <v>1024171.098131055</v>
      </c>
      <c r="D31" s="697">
        <v>2365.6714084146079</v>
      </c>
      <c r="E31" s="697">
        <f t="shared" si="3"/>
        <v>138995.1760848276</v>
      </c>
      <c r="F31" s="697">
        <f t="shared" si="2"/>
        <v>10447096.393450003</v>
      </c>
      <c r="G31" s="163">
        <f t="shared" si="0"/>
        <v>0.87310742116677964</v>
      </c>
      <c r="H31" s="163">
        <f t="shared" si="1"/>
        <v>0.28910130864348815</v>
      </c>
    </row>
    <row r="32" spans="1:8">
      <c r="A32">
        <v>450</v>
      </c>
      <c r="B32">
        <v>499</v>
      </c>
      <c r="C32" s="697">
        <v>1010751.7745497543</v>
      </c>
      <c r="D32" s="697">
        <v>2090.1120776923199</v>
      </c>
      <c r="E32" s="697">
        <f t="shared" si="3"/>
        <v>141085.28816251992</v>
      </c>
      <c r="F32" s="697">
        <f t="shared" si="2"/>
        <v>11457848.167999757</v>
      </c>
      <c r="G32" s="163">
        <f t="shared" si="0"/>
        <v>0.88623659886564998</v>
      </c>
      <c r="H32" s="163">
        <f t="shared" si="1"/>
        <v>0.31707172738292544</v>
      </c>
    </row>
    <row r="33" spans="1:8">
      <c r="A33">
        <v>500</v>
      </c>
      <c r="B33">
        <v>599</v>
      </c>
      <c r="C33" s="697">
        <v>1828201.202551052</v>
      </c>
      <c r="D33" s="697">
        <v>3269.6802799543657</v>
      </c>
      <c r="E33" s="697">
        <f t="shared" si="3"/>
        <v>144354.96844247429</v>
      </c>
      <c r="F33" s="697">
        <f t="shared" si="2"/>
        <v>13286049.370550809</v>
      </c>
      <c r="G33" s="163">
        <f t="shared" si="0"/>
        <v>0.90677531249358612</v>
      </c>
      <c r="H33" s="163">
        <f t="shared" si="1"/>
        <v>0.36766333104157295</v>
      </c>
    </row>
    <row r="34" spans="1:8">
      <c r="A34">
        <v>600</v>
      </c>
      <c r="B34">
        <v>699</v>
      </c>
      <c r="C34" s="697">
        <v>1641128.4217709098</v>
      </c>
      <c r="D34" s="697">
        <v>2485.4798130764975</v>
      </c>
      <c r="E34" s="697">
        <f t="shared" si="3"/>
        <v>146840.44825555079</v>
      </c>
      <c r="F34" s="697">
        <f t="shared" si="2"/>
        <v>14927177.792321719</v>
      </c>
      <c r="G34" s="163">
        <f t="shared" si="0"/>
        <v>0.92238801885566102</v>
      </c>
      <c r="H34" s="163">
        <f t="shared" si="1"/>
        <v>0.41307809094399511</v>
      </c>
    </row>
    <row r="35" spans="1:8">
      <c r="A35">
        <v>700</v>
      </c>
      <c r="B35">
        <v>799</v>
      </c>
      <c r="C35" s="697">
        <v>1442606.7694501374</v>
      </c>
      <c r="D35" s="697">
        <v>1888.6161243973766</v>
      </c>
      <c r="E35" s="697">
        <f t="shared" si="3"/>
        <v>148729.06437994816</v>
      </c>
      <c r="F35" s="697">
        <f t="shared" si="2"/>
        <v>16369784.561771857</v>
      </c>
      <c r="G35" s="163">
        <f t="shared" si="0"/>
        <v>0.9342514863542758</v>
      </c>
      <c r="H35" s="163">
        <f t="shared" si="1"/>
        <v>0.45299918377199583</v>
      </c>
    </row>
    <row r="36" spans="1:8">
      <c r="A36">
        <v>800</v>
      </c>
      <c r="B36">
        <v>899</v>
      </c>
      <c r="C36" s="697">
        <v>1337034.5998675618</v>
      </c>
      <c r="D36" s="697">
        <v>1545.5284201383765</v>
      </c>
      <c r="E36" s="697">
        <f t="shared" si="3"/>
        <v>150274.59280008654</v>
      </c>
      <c r="F36" s="697">
        <f t="shared" si="2"/>
        <v>17706819.161639418</v>
      </c>
      <c r="G36" s="163">
        <f t="shared" si="0"/>
        <v>0.94395982567407677</v>
      </c>
      <c r="H36" s="163">
        <f t="shared" si="1"/>
        <v>0.48999878997508228</v>
      </c>
    </row>
    <row r="37" spans="1:8">
      <c r="A37">
        <v>900</v>
      </c>
      <c r="B37">
        <v>999</v>
      </c>
      <c r="C37" s="697">
        <v>1179648.7763709277</v>
      </c>
      <c r="D37" s="697">
        <v>1219.8673929209763</v>
      </c>
      <c r="E37" s="697">
        <f t="shared" si="3"/>
        <v>151494.46019300752</v>
      </c>
      <c r="F37" s="697">
        <f t="shared" si="2"/>
        <v>18886467.938010346</v>
      </c>
      <c r="G37" s="163">
        <f t="shared" si="0"/>
        <v>0.95162250364319323</v>
      </c>
      <c r="H37" s="163">
        <f t="shared" si="1"/>
        <v>0.52264307620970962</v>
      </c>
    </row>
    <row r="38" spans="1:8">
      <c r="A38">
        <v>1000</v>
      </c>
      <c r="B38">
        <v>1499</v>
      </c>
      <c r="C38" s="697">
        <v>4385771.1804780886</v>
      </c>
      <c r="D38" s="697">
        <v>3564.8446223486389</v>
      </c>
      <c r="E38" s="697">
        <f t="shared" si="3"/>
        <v>155059.30481535615</v>
      </c>
      <c r="F38" s="697">
        <f t="shared" si="2"/>
        <v>23272239.118488435</v>
      </c>
      <c r="G38" s="163">
        <f t="shared" si="0"/>
        <v>0.97401531167258526</v>
      </c>
      <c r="H38" s="163">
        <f t="shared" si="1"/>
        <v>0.64401002257789519</v>
      </c>
    </row>
    <row r="39" spans="1:8">
      <c r="A39">
        <v>1500</v>
      </c>
      <c r="B39">
        <v>1999</v>
      </c>
      <c r="C39" s="697">
        <v>2689146.3288164884</v>
      </c>
      <c r="D39" s="697">
        <v>1528.1017430965148</v>
      </c>
      <c r="E39" s="697">
        <f t="shared" si="3"/>
        <v>156587.40655845267</v>
      </c>
      <c r="F39" s="697">
        <f t="shared" si="2"/>
        <v>25961385.447304923</v>
      </c>
      <c r="G39" s="163">
        <f t="shared" si="0"/>
        <v>0.98361418416425517</v>
      </c>
      <c r="H39" s="163">
        <f t="shared" si="1"/>
        <v>0.71842646265995536</v>
      </c>
    </row>
    <row r="40" spans="1:8">
      <c r="A40">
        <v>2000</v>
      </c>
      <c r="B40">
        <v>2999</v>
      </c>
      <c r="C40" s="697">
        <v>3149920.5724130906</v>
      </c>
      <c r="D40" s="697">
        <v>1283.0390971972956</v>
      </c>
      <c r="E40" s="697">
        <f t="shared" si="3"/>
        <v>157870.44565564996</v>
      </c>
      <c r="F40" s="697">
        <f t="shared" si="2"/>
        <v>29111306.019718014</v>
      </c>
      <c r="G40" s="163">
        <f t="shared" si="0"/>
        <v>0.99167367938534401</v>
      </c>
      <c r="H40" s="163">
        <f t="shared" si="1"/>
        <v>0.80559385590604571</v>
      </c>
    </row>
    <row r="41" spans="1:8">
      <c r="A41">
        <v>3000</v>
      </c>
      <c r="B41">
        <v>3999</v>
      </c>
      <c r="C41" s="697">
        <v>1777618.1076188907</v>
      </c>
      <c r="D41" s="697">
        <v>502.1061322648311</v>
      </c>
      <c r="E41" s="697">
        <f t="shared" si="3"/>
        <v>158372.5517879148</v>
      </c>
      <c r="F41" s="697">
        <f t="shared" si="2"/>
        <v>30888924.127336904</v>
      </c>
      <c r="G41" s="163">
        <f t="shared" si="0"/>
        <v>0.99482769237084667</v>
      </c>
      <c r="H41" s="163">
        <f t="shared" si="1"/>
        <v>0.85478567933970229</v>
      </c>
    </row>
    <row r="42" spans="1:8">
      <c r="A42">
        <v>4000</v>
      </c>
      <c r="B42">
        <v>4999</v>
      </c>
      <c r="C42" s="697">
        <v>1427060.1142472774</v>
      </c>
      <c r="D42" s="697">
        <v>315.85852138130576</v>
      </c>
      <c r="E42" s="697">
        <f t="shared" si="3"/>
        <v>158688.4103092961</v>
      </c>
      <c r="F42" s="697">
        <f t="shared" si="2"/>
        <v>32315984.241584182</v>
      </c>
      <c r="G42" s="163">
        <f t="shared" si="0"/>
        <v>0.99681177863070713</v>
      </c>
      <c r="H42" s="163">
        <f t="shared" si="1"/>
        <v>0.89427655134893147</v>
      </c>
    </row>
    <row r="43" spans="1:8">
      <c r="A43">
        <v>5000</v>
      </c>
      <c r="B43">
        <v>5999</v>
      </c>
      <c r="C43" s="697">
        <v>1018721.479782559</v>
      </c>
      <c r="D43" s="697">
        <v>181.89094162307447</v>
      </c>
      <c r="E43" s="697">
        <f t="shared" si="3"/>
        <v>158870.30125091918</v>
      </c>
      <c r="F43" s="697">
        <f t="shared" si="2"/>
        <v>33334705.721366741</v>
      </c>
      <c r="G43" s="163">
        <f t="shared" si="0"/>
        <v>0.99795433864931671</v>
      </c>
      <c r="H43" s="163">
        <f t="shared" si="1"/>
        <v>0.92246751483358147</v>
      </c>
    </row>
    <row r="44" spans="1:8">
      <c r="A44">
        <v>6000</v>
      </c>
      <c r="B44">
        <v>6999</v>
      </c>
      <c r="C44" s="697">
        <v>666849.4808434695</v>
      </c>
      <c r="D44" s="697">
        <v>101.29256030500983</v>
      </c>
      <c r="E44" s="697">
        <f t="shared" si="3"/>
        <v>158971.59381122419</v>
      </c>
      <c r="F44" s="697">
        <f t="shared" si="2"/>
        <v>34001555.20221021</v>
      </c>
      <c r="G44" s="163">
        <f t="shared" si="0"/>
        <v>0.99859061458782339</v>
      </c>
      <c r="H44" s="163">
        <f t="shared" si="1"/>
        <v>0.94092116456739161</v>
      </c>
    </row>
    <row r="45" spans="1:8">
      <c r="A45">
        <v>7000</v>
      </c>
      <c r="B45">
        <v>7999</v>
      </c>
      <c r="C45" s="697">
        <v>507005.87724640965</v>
      </c>
      <c r="D45" s="697">
        <v>66.439206221606582</v>
      </c>
      <c r="E45" s="697">
        <f t="shared" si="3"/>
        <v>159038.03301744579</v>
      </c>
      <c r="F45" s="697">
        <f t="shared" si="2"/>
        <v>34508561.07945662</v>
      </c>
      <c r="G45" s="163">
        <f t="shared" si="0"/>
        <v>0.99900795687007005</v>
      </c>
      <c r="H45" s="163">
        <f t="shared" si="1"/>
        <v>0.95495148046394784</v>
      </c>
    </row>
    <row r="46" spans="1:8">
      <c r="A46">
        <v>8000</v>
      </c>
      <c r="B46">
        <v>8999</v>
      </c>
      <c r="C46" s="697">
        <v>406903.3531928733</v>
      </c>
      <c r="D46" s="697">
        <v>46.834194549621316</v>
      </c>
      <c r="E46" s="697">
        <f t="shared" si="3"/>
        <v>159084.86721199541</v>
      </c>
      <c r="F46" s="697">
        <f t="shared" si="2"/>
        <v>34915464.432649493</v>
      </c>
      <c r="G46" s="163">
        <f t="shared" si="0"/>
        <v>0.99930214897066993</v>
      </c>
      <c r="H46" s="163">
        <f t="shared" si="1"/>
        <v>0.96621167061335989</v>
      </c>
    </row>
    <row r="47" spans="1:8">
      <c r="A47">
        <v>9000</v>
      </c>
      <c r="B47">
        <v>9999</v>
      </c>
      <c r="C47" s="697">
        <v>473403.60616780818</v>
      </c>
      <c r="D47" s="697">
        <v>49.0125291798322</v>
      </c>
      <c r="E47" s="697">
        <f t="shared" si="3"/>
        <v>159133.87974117525</v>
      </c>
      <c r="F47" s="697">
        <f t="shared" si="2"/>
        <v>35388868.038817301</v>
      </c>
      <c r="G47" s="163">
        <f t="shared" si="0"/>
        <v>0.99961002442478608</v>
      </c>
      <c r="H47" s="163">
        <f t="shared" si="1"/>
        <v>0.97931211468942558</v>
      </c>
    </row>
    <row r="48" spans="1:8">
      <c r="A48">
        <v>10000</v>
      </c>
      <c r="B48">
        <v>10999</v>
      </c>
      <c r="C48" s="697">
        <v>245858.11876357347</v>
      </c>
      <c r="D48" s="697">
        <v>22.872513617301593</v>
      </c>
      <c r="E48" s="697">
        <f t="shared" si="3"/>
        <v>159156.75225479255</v>
      </c>
      <c r="F48" s="697">
        <f t="shared" si="2"/>
        <v>35634726.157580875</v>
      </c>
      <c r="G48" s="163">
        <f t="shared" si="0"/>
        <v>0.99975369963670724</v>
      </c>
      <c r="H48" s="163">
        <f t="shared" si="1"/>
        <v>0.98611571840842061</v>
      </c>
    </row>
    <row r="49" spans="1:8">
      <c r="A49">
        <v>11000</v>
      </c>
      <c r="B49">
        <v>11999</v>
      </c>
      <c r="C49" s="697">
        <v>176641.95758350194</v>
      </c>
      <c r="D49" s="697">
        <v>15.248342411505291</v>
      </c>
      <c r="E49" s="697">
        <f t="shared" si="3"/>
        <v>159172.00059720405</v>
      </c>
      <c r="F49" s="697">
        <f t="shared" si="2"/>
        <v>35811368.115164377</v>
      </c>
      <c r="G49" s="163">
        <f t="shared" si="0"/>
        <v>0.99984948311132105</v>
      </c>
      <c r="H49" s="163">
        <f t="shared" si="1"/>
        <v>0.99100391118232423</v>
      </c>
    </row>
    <row r="50" spans="1:8">
      <c r="A50">
        <v>12000</v>
      </c>
      <c r="B50">
        <v>12999</v>
      </c>
      <c r="C50" s="697">
        <v>82050.246041208506</v>
      </c>
      <c r="D50" s="697">
        <v>6.5350038906908594</v>
      </c>
      <c r="E50" s="697">
        <f t="shared" si="3"/>
        <v>159178.53560109474</v>
      </c>
      <c r="F50" s="697">
        <f t="shared" si="2"/>
        <v>35893418.361205585</v>
      </c>
      <c r="G50" s="163">
        <f t="shared" si="0"/>
        <v>0.99989053317187016</v>
      </c>
      <c r="H50" s="163">
        <f t="shared" si="1"/>
        <v>0.99327447829606375</v>
      </c>
    </row>
    <row r="51" spans="1:8">
      <c r="A51">
        <v>13000</v>
      </c>
      <c r="B51">
        <v>13999</v>
      </c>
      <c r="C51" s="697">
        <v>194794.37149851769</v>
      </c>
      <c r="D51" s="697">
        <v>14.159175096399849</v>
      </c>
      <c r="E51" s="697">
        <f t="shared" si="3"/>
        <v>159192.69477619114</v>
      </c>
      <c r="F51" s="697">
        <f t="shared" si="2"/>
        <v>36088212.732704103</v>
      </c>
      <c r="G51" s="163">
        <f t="shared" si="0"/>
        <v>0.99997947496972595</v>
      </c>
      <c r="H51" s="163">
        <f t="shared" si="1"/>
        <v>0.99866500075280251</v>
      </c>
    </row>
    <row r="52" spans="1:8">
      <c r="A52">
        <v>14000</v>
      </c>
      <c r="B52">
        <v>14999</v>
      </c>
      <c r="C52" s="697">
        <v>48242.14005151391</v>
      </c>
      <c r="D52" s="697">
        <v>3.2675019452581182</v>
      </c>
      <c r="E52" s="697">
        <f t="shared" si="3"/>
        <v>159195.9622781364</v>
      </c>
      <c r="F52" s="697">
        <f t="shared" si="2"/>
        <v>36136454.872755617</v>
      </c>
      <c r="G52" s="163">
        <f t="shared" si="0"/>
        <v>1</v>
      </c>
      <c r="H52" s="163">
        <f t="shared" si="1"/>
        <v>1</v>
      </c>
    </row>
    <row r="53" spans="1:8">
      <c r="A53">
        <v>15000</v>
      </c>
      <c r="B53">
        <v>15999</v>
      </c>
      <c r="C53" s="697">
        <v>85193.400764480233</v>
      </c>
      <c r="D53" s="697">
        <v>5.4458365755854174</v>
      </c>
      <c r="E53" s="697">
        <v>159201.40811471199</v>
      </c>
      <c r="F53" s="697">
        <v>36221648.273520097</v>
      </c>
      <c r="G53" s="163">
        <v>1</v>
      </c>
      <c r="H53" s="163">
        <v>1</v>
      </c>
    </row>
    <row r="54" spans="1:8">
      <c r="D54" s="697"/>
      <c r="E54" s="697"/>
      <c r="F54" s="697"/>
    </row>
    <row r="55" spans="1:8">
      <c r="A55" s="685"/>
      <c r="B55" s="686"/>
      <c r="D55" s="687" t="s">
        <v>912</v>
      </c>
      <c r="E55" s="688">
        <f>MAX(E6:E52)/12</f>
        <v>13266.330189844701</v>
      </c>
    </row>
    <row r="56" spans="1:8">
      <c r="A56" s="685"/>
      <c r="B56" s="686"/>
      <c r="D56" s="687" t="s">
        <v>913</v>
      </c>
      <c r="E56" s="688">
        <f>MAX(F6:F52)/E55/12</f>
        <v>226.99353900459138</v>
      </c>
    </row>
    <row r="57" spans="1:8">
      <c r="A57" s="689"/>
      <c r="B57" s="689"/>
      <c r="D57" s="695" t="s">
        <v>914</v>
      </c>
      <c r="E57" s="696">
        <f>VLOOKUP(B3,[17]!Percentiles_All_Bills,9,0)</f>
        <v>39</v>
      </c>
    </row>
  </sheetData>
  <conditionalFormatting sqref="M2:M3">
    <cfRule type="cellIs" dxfId="13" priority="1" operator="equal">
      <formula>0</formula>
    </cfRule>
    <cfRule type="cellIs" dxfId="12" priority="2" operator="lessThan">
      <formula>0</formula>
    </cfRule>
    <cfRule type="cellIs" dxfId="11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Proposed Billing Activity
&amp;RSchedule H-5
Proposed
Page &amp;P of &amp;N
</oddHead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27D37-8560-4541-9B49-91AFD029B9FF}">
  <sheetPr codeName="Sheet81">
    <tabColor theme="9" tint="0.79998168889431442"/>
  </sheetPr>
  <dimension ref="A1:N20"/>
  <sheetViews>
    <sheetView zoomScale="80" zoomScaleNormal="80" workbookViewId="0"/>
  </sheetViews>
  <sheetFormatPr defaultRowHeight="15"/>
  <cols>
    <col min="1" max="1" width="25" customWidth="1"/>
    <col min="2" max="2" width="7.710937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4">
      <c r="A1" s="681" t="str">
        <f>VLOOKUP(B2,'Rate Codes'!$A$1:$C$20,3,0)</f>
        <v>Large Volume Industrial Service</v>
      </c>
      <c r="K1" s="682" t="s">
        <v>522</v>
      </c>
      <c r="L1" s="683"/>
      <c r="M1" s="683" t="s">
        <v>898</v>
      </c>
      <c r="N1" s="683" t="s">
        <v>48</v>
      </c>
    </row>
    <row r="2" spans="1:14">
      <c r="A2" t="s">
        <v>899</v>
      </c>
      <c r="B2" t="s">
        <v>522</v>
      </c>
      <c r="K2" s="682" t="s">
        <v>900</v>
      </c>
      <c r="L2" s="683">
        <f>E16</f>
        <v>506.50925925925924</v>
      </c>
      <c r="M2" s="683">
        <f>VLOOKUP($K1,Summary!$B:$P,12,0)</f>
        <v>506.50925925925924</v>
      </c>
      <c r="N2" s="683">
        <f>L2-M2</f>
        <v>0</v>
      </c>
    </row>
    <row r="3" spans="1:14">
      <c r="A3" t="s">
        <v>901</v>
      </c>
      <c r="B3" s="142" t="str">
        <f>VLOOKUP(B2,'Rate Codes'!$A$1:$C$20,2,0)</f>
        <v>5759</v>
      </c>
      <c r="K3" s="682" t="s">
        <v>902</v>
      </c>
      <c r="L3" s="683">
        <f>F16</f>
        <v>7053235.6826057564</v>
      </c>
      <c r="M3" s="683">
        <f>VLOOKUP($K1,Summary!$B:$P,13,0)</f>
        <v>7053235.6826057564</v>
      </c>
      <c r="N3" s="683">
        <f>L3-M3</f>
        <v>0</v>
      </c>
    </row>
    <row r="5" spans="1:14">
      <c r="A5" t="s">
        <v>903</v>
      </c>
    </row>
    <row r="6" spans="1:14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4">
      <c r="A7">
        <v>0</v>
      </c>
      <c r="B7">
        <v>499</v>
      </c>
      <c r="C7" s="697">
        <v>9918.658086533771</v>
      </c>
      <c r="D7" s="697">
        <v>69.645023148148155</v>
      </c>
      <c r="E7" s="697">
        <f>D7</f>
        <v>69.645023148148155</v>
      </c>
      <c r="F7" s="697">
        <f>C7</f>
        <v>9918.658086533771</v>
      </c>
      <c r="G7" s="163">
        <f t="shared" ref="G7:G16" si="0">E7/MAX($E$7:$E$16)</f>
        <v>0.13750000000000001</v>
      </c>
      <c r="H7" s="163">
        <f t="shared" ref="H7:H16" si="1">F7/MAX($F$7:$F$16)</f>
        <v>1.4062564378778009E-3</v>
      </c>
    </row>
    <row r="8" spans="1:14">
      <c r="A8">
        <v>500</v>
      </c>
      <c r="B8">
        <v>1999</v>
      </c>
      <c r="C8" s="697">
        <v>29410.611217947055</v>
      </c>
      <c r="D8" s="697">
        <v>37.988194444444431</v>
      </c>
      <c r="E8" s="697">
        <f>E7+D8</f>
        <v>107.63321759259259</v>
      </c>
      <c r="F8" s="697">
        <f>F7+C8</f>
        <v>39329.269304480826</v>
      </c>
      <c r="G8" s="163">
        <f t="shared" si="0"/>
        <v>0.21249999999999999</v>
      </c>
      <c r="H8" s="163">
        <f t="shared" si="1"/>
        <v>5.5760605591944389E-3</v>
      </c>
    </row>
    <row r="9" spans="1:14">
      <c r="A9">
        <v>2000</v>
      </c>
      <c r="B9">
        <v>2999</v>
      </c>
      <c r="C9" s="697">
        <v>21404.085093742935</v>
      </c>
      <c r="D9" s="697">
        <v>12.662731481481472</v>
      </c>
      <c r="E9" s="697">
        <f>E8+D9</f>
        <v>120.29594907407406</v>
      </c>
      <c r="F9" s="697">
        <f t="shared" ref="F9:F16" si="2">F8+C9</f>
        <v>60733.354398223761</v>
      </c>
      <c r="G9" s="163">
        <f t="shared" si="0"/>
        <v>0.23749999999999999</v>
      </c>
      <c r="H9" s="163">
        <f t="shared" si="1"/>
        <v>8.6107082098504824E-3</v>
      </c>
    </row>
    <row r="10" spans="1:14">
      <c r="A10">
        <v>5000</v>
      </c>
      <c r="B10">
        <v>9999</v>
      </c>
      <c r="C10" s="697">
        <v>81610.971440664478</v>
      </c>
      <c r="D10" s="697">
        <v>12.662731481481501</v>
      </c>
      <c r="E10" s="697">
        <f t="shared" ref="E10:E16" si="3">E9+D10</f>
        <v>132.95868055555556</v>
      </c>
      <c r="F10" s="697">
        <f t="shared" si="2"/>
        <v>142344.32583888824</v>
      </c>
      <c r="G10" s="163">
        <f t="shared" si="0"/>
        <v>0.26250000000000001</v>
      </c>
      <c r="H10" s="163">
        <f t="shared" si="1"/>
        <v>2.0181422008898529E-2</v>
      </c>
    </row>
    <row r="11" spans="1:14">
      <c r="A11">
        <v>10000</v>
      </c>
      <c r="B11">
        <v>14999</v>
      </c>
      <c r="C11" s="697">
        <v>1061734.4366777965</v>
      </c>
      <c r="D11" s="697">
        <v>126.62731481481475</v>
      </c>
      <c r="E11" s="697">
        <f t="shared" si="3"/>
        <v>259.58599537037031</v>
      </c>
      <c r="F11" s="697">
        <f t="shared" si="2"/>
        <v>1204078.7625166848</v>
      </c>
      <c r="G11" s="163">
        <f t="shared" si="0"/>
        <v>0.51249999999999996</v>
      </c>
      <c r="H11" s="163">
        <f t="shared" si="1"/>
        <v>0.17071296305695663</v>
      </c>
    </row>
    <row r="12" spans="1:14">
      <c r="A12">
        <v>15000</v>
      </c>
      <c r="B12">
        <v>19999</v>
      </c>
      <c r="C12" s="697">
        <v>418554.73601849377</v>
      </c>
      <c r="D12" s="697">
        <v>37.988194444444503</v>
      </c>
      <c r="E12" s="697">
        <f t="shared" si="3"/>
        <v>297.57418981481482</v>
      </c>
      <c r="F12" s="697">
        <f t="shared" si="2"/>
        <v>1622633.4985351786</v>
      </c>
      <c r="G12" s="163">
        <f t="shared" si="0"/>
        <v>0.58750000000000002</v>
      </c>
      <c r="H12" s="163">
        <f t="shared" si="1"/>
        <v>0.23005519332592481</v>
      </c>
    </row>
    <row r="13" spans="1:14">
      <c r="A13">
        <v>20000</v>
      </c>
      <c r="B13">
        <v>29999</v>
      </c>
      <c r="C13" s="697">
        <v>1100427.7325763041</v>
      </c>
      <c r="D13" s="697">
        <v>75.976388888888891</v>
      </c>
      <c r="E13" s="697">
        <f t="shared" si="3"/>
        <v>373.55057870370371</v>
      </c>
      <c r="F13" s="697">
        <f t="shared" si="2"/>
        <v>2723061.2311114827</v>
      </c>
      <c r="G13" s="163">
        <f t="shared" si="0"/>
        <v>0.73750000000000004</v>
      </c>
      <c r="H13" s="163">
        <f t="shared" si="1"/>
        <v>0.38607262732293551</v>
      </c>
    </row>
    <row r="14" spans="1:14">
      <c r="A14">
        <v>30000</v>
      </c>
      <c r="B14">
        <v>49999</v>
      </c>
      <c r="C14" s="697">
        <v>2328496.5912547298</v>
      </c>
      <c r="D14" s="697">
        <v>88.639120370370335</v>
      </c>
      <c r="E14" s="697">
        <f t="shared" si="3"/>
        <v>462.18969907407404</v>
      </c>
      <c r="F14" s="697">
        <f t="shared" si="2"/>
        <v>5051557.8223662125</v>
      </c>
      <c r="G14" s="163">
        <f t="shared" si="0"/>
        <v>0.91249999999999998</v>
      </c>
      <c r="H14" s="163">
        <f t="shared" si="1"/>
        <v>0.71620431383344307</v>
      </c>
    </row>
    <row r="15" spans="1:14">
      <c r="A15">
        <v>50000</v>
      </c>
      <c r="B15">
        <v>59999</v>
      </c>
      <c r="C15" s="697">
        <v>434546.72954485193</v>
      </c>
      <c r="D15" s="697">
        <v>12.662731481481501</v>
      </c>
      <c r="E15" s="697">
        <f t="shared" si="3"/>
        <v>474.85243055555554</v>
      </c>
      <c r="F15" s="697">
        <f t="shared" si="2"/>
        <v>5486104.5519110644</v>
      </c>
      <c r="G15" s="163">
        <f t="shared" si="0"/>
        <v>0.9375</v>
      </c>
      <c r="H15" s="163">
        <f t="shared" si="1"/>
        <v>0.77781387136127444</v>
      </c>
    </row>
    <row r="16" spans="1:14">
      <c r="A16">
        <v>60000</v>
      </c>
      <c r="B16">
        <v>99999</v>
      </c>
      <c r="C16" s="697">
        <v>1567131.130694692</v>
      </c>
      <c r="D16" s="697">
        <v>31.656828703703695</v>
      </c>
      <c r="E16" s="697">
        <f t="shared" si="3"/>
        <v>506.50925925925924</v>
      </c>
      <c r="F16" s="697">
        <f t="shared" si="2"/>
        <v>7053235.6826057564</v>
      </c>
      <c r="G16" s="163">
        <f t="shared" si="0"/>
        <v>1</v>
      </c>
      <c r="H16" s="163">
        <f t="shared" si="1"/>
        <v>1</v>
      </c>
    </row>
    <row r="18" spans="1:4">
      <c r="A18" s="685"/>
      <c r="B18" s="685"/>
      <c r="C18" s="693" t="s">
        <v>912</v>
      </c>
      <c r="D18" s="694">
        <f>MAX(E6:E16)/12</f>
        <v>42.209104938271601</v>
      </c>
    </row>
    <row r="19" spans="1:4">
      <c r="A19" s="685"/>
      <c r="B19" s="685"/>
      <c r="C19" s="693" t="s">
        <v>913</v>
      </c>
      <c r="D19" s="694">
        <f>MAX(F6:F16)/D18/12</f>
        <v>13925.186072453464</v>
      </c>
    </row>
    <row r="20" spans="1:4">
      <c r="A20" s="689"/>
      <c r="B20" s="689"/>
      <c r="C20" s="695" t="s">
        <v>914</v>
      </c>
      <c r="D20" s="696">
        <f>VLOOKUP(B3,[17]!Percentiles_All_Bills,9,0)</f>
        <v>13945</v>
      </c>
    </row>
  </sheetData>
  <conditionalFormatting sqref="N2:N3">
    <cfRule type="cellIs" dxfId="10" priority="1" operator="equal">
      <formula>0</formula>
    </cfRule>
    <cfRule type="cellIs" dxfId="9" priority="2" operator="lessThan">
      <formula>0</formula>
    </cfRule>
    <cfRule type="cellIs" dxfId="8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Proposed Billing Activity
&amp;RSchedule H-5
Proposed
Page &amp;P of &amp;N
</oddHead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17F80-8B86-44F1-B872-8342044C3C9C}">
  <sheetPr codeName="Sheet82">
    <tabColor theme="9" tint="0.79998168889431442"/>
  </sheetPr>
  <dimension ref="A1:P48"/>
  <sheetViews>
    <sheetView zoomScaleNormal="100" zoomScaleSheetLayoutView="100" workbookViewId="0"/>
  </sheetViews>
  <sheetFormatPr defaultColWidth="9.140625" defaultRowHeight="9"/>
  <cols>
    <col min="1" max="4" width="12.28515625" style="714" customWidth="1"/>
    <col min="5" max="5" width="18.42578125" style="714" bestFit="1" customWidth="1"/>
    <col min="6" max="6" width="22" style="714" bestFit="1" customWidth="1"/>
    <col min="7" max="7" width="19.85546875" style="714" bestFit="1" customWidth="1"/>
    <col min="8" max="8" width="23.28515625" style="714" bestFit="1" customWidth="1"/>
    <col min="9" max="9" width="9.28515625" style="714" bestFit="1" customWidth="1"/>
    <col min="10" max="10" width="9.7109375" style="714" customWidth="1"/>
    <col min="11" max="11" width="11.28515625" style="714" bestFit="1" customWidth="1"/>
    <col min="12" max="12" width="9.140625" style="714"/>
    <col min="13" max="14" width="9.28515625" style="714" bestFit="1" customWidth="1"/>
    <col min="15" max="15" width="10.42578125" style="714" bestFit="1" customWidth="1"/>
    <col min="16" max="16" width="7.140625" style="714" bestFit="1" customWidth="1"/>
    <col min="17" max="16384" width="9.140625" style="714"/>
  </cols>
  <sheetData>
    <row r="1" spans="1:16" s="700" customFormat="1" ht="15">
      <c r="A1" s="681" t="str">
        <f>VLOOKUP(B2,'Rate Codes'!$A$1:$C$20,3,0)</f>
        <v>Transportation LV Industrial</v>
      </c>
      <c r="B1"/>
      <c r="C1"/>
      <c r="D1"/>
      <c r="E1"/>
      <c r="F1"/>
      <c r="G1"/>
      <c r="H1"/>
      <c r="I1"/>
      <c r="J1" s="682" t="str">
        <f>B2</f>
        <v>GTILVS</v>
      </c>
      <c r="K1" s="683"/>
      <c r="L1" s="683" t="s">
        <v>898</v>
      </c>
      <c r="M1" s="683" t="s">
        <v>48</v>
      </c>
      <c r="N1"/>
      <c r="O1"/>
      <c r="P1"/>
    </row>
    <row r="2" spans="1:16" s="700" customFormat="1" ht="15">
      <c r="A2" t="s">
        <v>899</v>
      </c>
      <c r="B2" t="s">
        <v>543</v>
      </c>
      <c r="C2"/>
      <c r="D2"/>
      <c r="E2"/>
      <c r="F2"/>
      <c r="G2"/>
      <c r="H2"/>
      <c r="I2"/>
      <c r="J2" s="682" t="s">
        <v>900</v>
      </c>
      <c r="K2" s="683">
        <f>E14</f>
        <v>150</v>
      </c>
      <c r="L2" s="683">
        <f>VLOOKUP($J1,Summary!$B:$P,12,0)</f>
        <v>276</v>
      </c>
      <c r="M2" s="683">
        <f>K2-L2</f>
        <v>-126</v>
      </c>
      <c r="N2"/>
      <c r="O2"/>
      <c r="P2"/>
    </row>
    <row r="3" spans="1:16" s="700" customFormat="1" ht="15">
      <c r="A3" t="s">
        <v>901</v>
      </c>
      <c r="B3" s="142" t="str">
        <f>VLOOKUP(B2,'Rate Codes'!$A$1:$C$20,2,0)</f>
        <v>5756</v>
      </c>
      <c r="C3"/>
      <c r="D3" s="701"/>
      <c r="E3" s="701"/>
      <c r="F3" s="701"/>
      <c r="G3" s="701"/>
      <c r="H3" s="701"/>
      <c r="I3" s="701"/>
      <c r="J3" s="682" t="s">
        <v>902</v>
      </c>
      <c r="K3" s="683">
        <f>F14</f>
        <v>20564752</v>
      </c>
      <c r="L3" s="683">
        <f>VLOOKUP($J1,Summary!$B:$P,13,0)</f>
        <v>20564752</v>
      </c>
      <c r="M3" s="683">
        <f>K3-L3</f>
        <v>0</v>
      </c>
      <c r="N3" s="702"/>
      <c r="O3" s="703"/>
      <c r="P3" s="702"/>
    </row>
    <row r="4" spans="1:16" s="700" customFormat="1" ht="15">
      <c r="A4"/>
      <c r="B4"/>
      <c r="C4"/>
      <c r="D4" s="701"/>
      <c r="E4" s="701"/>
      <c r="F4" s="701"/>
      <c r="G4" s="701"/>
      <c r="H4" s="701"/>
      <c r="I4" s="701"/>
      <c r="J4" s="701"/>
      <c r="K4" s="701"/>
      <c r="M4" s="704"/>
      <c r="N4" s="702"/>
      <c r="O4" s="703"/>
      <c r="P4" s="702"/>
    </row>
    <row r="5" spans="1:16" s="700" customFormat="1" ht="15">
      <c r="A5" t="s">
        <v>903</v>
      </c>
      <c r="B5"/>
      <c r="C5"/>
      <c r="D5" s="701"/>
      <c r="E5" s="701"/>
      <c r="F5" s="701"/>
      <c r="G5" s="701"/>
      <c r="H5" s="701"/>
      <c r="I5" s="701"/>
      <c r="J5" s="701"/>
      <c r="K5" s="701"/>
      <c r="M5" s="704"/>
      <c r="N5" s="702"/>
      <c r="O5" s="703"/>
      <c r="P5" s="702"/>
    </row>
    <row r="6" spans="1:16" s="700" customFormat="1" ht="15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1"/>
      <c r="J6" s="707"/>
      <c r="K6" s="707"/>
    </row>
    <row r="7" spans="1:16" s="700" customFormat="1" ht="11.1" customHeight="1">
      <c r="A7" s="708">
        <v>0</v>
      </c>
      <c r="B7" s="708">
        <v>999</v>
      </c>
      <c r="C7" s="709">
        <v>2181</v>
      </c>
      <c r="D7" s="709">
        <v>7</v>
      </c>
      <c r="E7" s="710">
        <f>D7</f>
        <v>7</v>
      </c>
      <c r="F7" s="710">
        <f>C7</f>
        <v>2181</v>
      </c>
      <c r="G7" s="711">
        <f>E7/MAX($E$7:$E$14)</f>
        <v>4.6666666666666669E-2</v>
      </c>
      <c r="H7" s="712">
        <f>F7/MAX($F$7:$F$14)</f>
        <v>1.0605525415526527E-4</v>
      </c>
      <c r="I7" s="709"/>
      <c r="J7" s="713"/>
    </row>
    <row r="8" spans="1:16" s="700" customFormat="1" ht="11.1" customHeight="1">
      <c r="A8" s="708">
        <f t="shared" ref="A8:A14" si="0">B7+1</f>
        <v>1000</v>
      </c>
      <c r="B8" s="708">
        <v>9999</v>
      </c>
      <c r="C8" s="709">
        <v>35838</v>
      </c>
      <c r="D8" s="709">
        <v>8</v>
      </c>
      <c r="E8" s="707">
        <f t="shared" ref="E8:E14" si="1">E7+D8</f>
        <v>15</v>
      </c>
      <c r="F8" s="707">
        <f t="shared" ref="F8:F14" si="2">F7+C8</f>
        <v>38019</v>
      </c>
      <c r="G8" s="711">
        <f t="shared" ref="G8:G14" si="3">E8/MAX($E$7:$E$14)</f>
        <v>0.1</v>
      </c>
      <c r="H8" s="712">
        <f t="shared" ref="H8:H14" si="4">F8/MAX($F$7:$F$14)</f>
        <v>1.8487458540710825E-3</v>
      </c>
      <c r="I8" s="709"/>
      <c r="J8" s="713"/>
    </row>
    <row r="9" spans="1:16" s="700" customFormat="1" ht="11.1" customHeight="1">
      <c r="A9" s="708">
        <f t="shared" si="0"/>
        <v>10000</v>
      </c>
      <c r="B9" s="708">
        <v>49999</v>
      </c>
      <c r="C9" s="709">
        <v>1988320</v>
      </c>
      <c r="D9" s="709">
        <v>64</v>
      </c>
      <c r="E9" s="707">
        <f t="shared" si="1"/>
        <v>79</v>
      </c>
      <c r="F9" s="707">
        <f t="shared" si="2"/>
        <v>2026339</v>
      </c>
      <c r="G9" s="711">
        <f t="shared" si="3"/>
        <v>0.52666666666666662</v>
      </c>
      <c r="H9" s="712">
        <f t="shared" si="4"/>
        <v>9.8534570219956943E-2</v>
      </c>
      <c r="I9" s="709"/>
      <c r="J9" s="713"/>
    </row>
    <row r="10" spans="1:16" s="700" customFormat="1" ht="11.1" customHeight="1">
      <c r="A10" s="708">
        <f t="shared" si="0"/>
        <v>50000</v>
      </c>
      <c r="B10" s="708">
        <v>99999</v>
      </c>
      <c r="C10" s="709">
        <v>2441804</v>
      </c>
      <c r="D10" s="709">
        <v>32</v>
      </c>
      <c r="E10" s="707">
        <f t="shared" si="1"/>
        <v>111</v>
      </c>
      <c r="F10" s="707">
        <f t="shared" si="2"/>
        <v>4468143</v>
      </c>
      <c r="G10" s="711">
        <f t="shared" si="3"/>
        <v>0.74</v>
      </c>
      <c r="H10" s="712">
        <f t="shared" si="4"/>
        <v>0.21727191263964671</v>
      </c>
      <c r="I10" s="709"/>
      <c r="J10" s="713"/>
    </row>
    <row r="11" spans="1:16" s="700" customFormat="1" ht="11.1" customHeight="1">
      <c r="A11" s="708">
        <f t="shared" si="0"/>
        <v>100000</v>
      </c>
      <c r="B11" s="708">
        <v>199999</v>
      </c>
      <c r="C11" s="709">
        <v>861321</v>
      </c>
      <c r="D11" s="709">
        <v>7</v>
      </c>
      <c r="E11" s="707">
        <f t="shared" si="1"/>
        <v>118</v>
      </c>
      <c r="F11" s="707">
        <f t="shared" si="2"/>
        <v>5329464</v>
      </c>
      <c r="G11" s="711">
        <f t="shared" si="3"/>
        <v>0.78666666666666663</v>
      </c>
      <c r="H11" s="712">
        <f t="shared" si="4"/>
        <v>0.25915527695155283</v>
      </c>
      <c r="I11" s="709"/>
      <c r="J11" s="713"/>
    </row>
    <row r="12" spans="1:16" s="700" customFormat="1" ht="11.1" customHeight="1">
      <c r="A12" s="708">
        <f t="shared" si="0"/>
        <v>200000</v>
      </c>
      <c r="B12" s="708">
        <v>499999</v>
      </c>
      <c r="C12" s="709">
        <v>6615959</v>
      </c>
      <c r="D12" s="709">
        <v>21</v>
      </c>
      <c r="E12" s="707">
        <f t="shared" si="1"/>
        <v>139</v>
      </c>
      <c r="F12" s="707">
        <f t="shared" si="2"/>
        <v>11945423</v>
      </c>
      <c r="G12" s="711">
        <f t="shared" si="3"/>
        <v>0.92666666666666664</v>
      </c>
      <c r="H12" s="712">
        <f t="shared" si="4"/>
        <v>0.58086880892120651</v>
      </c>
      <c r="I12" s="709"/>
      <c r="J12" s="713"/>
    </row>
    <row r="13" spans="1:16" s="700" customFormat="1" ht="11.1" customHeight="1">
      <c r="A13" s="708">
        <f t="shared" si="0"/>
        <v>500000</v>
      </c>
      <c r="B13" s="700">
        <v>999999</v>
      </c>
      <c r="C13" s="709">
        <v>8619329</v>
      </c>
      <c r="D13" s="709">
        <v>11</v>
      </c>
      <c r="E13" s="707">
        <f t="shared" si="1"/>
        <v>150</v>
      </c>
      <c r="F13" s="707">
        <f t="shared" si="2"/>
        <v>20564752</v>
      </c>
      <c r="G13" s="711">
        <f t="shared" si="3"/>
        <v>1</v>
      </c>
      <c r="H13" s="712">
        <f t="shared" si="4"/>
        <v>1</v>
      </c>
      <c r="I13" s="709"/>
      <c r="J13" s="713"/>
    </row>
    <row r="14" spans="1:16" s="700" customFormat="1" ht="11.1" customHeight="1">
      <c r="A14" s="708">
        <f t="shared" si="0"/>
        <v>1000000</v>
      </c>
      <c r="B14" s="700">
        <v>1999999</v>
      </c>
      <c r="C14" s="709">
        <v>0</v>
      </c>
      <c r="D14" s="709">
        <v>0</v>
      </c>
      <c r="E14" s="707">
        <f t="shared" si="1"/>
        <v>150</v>
      </c>
      <c r="F14" s="707">
        <f t="shared" si="2"/>
        <v>20564752</v>
      </c>
      <c r="G14" s="711">
        <f t="shared" si="3"/>
        <v>1</v>
      </c>
      <c r="H14" s="712">
        <f t="shared" si="4"/>
        <v>1</v>
      </c>
      <c r="I14" s="709"/>
      <c r="J14" s="713"/>
    </row>
    <row r="15" spans="1:16" ht="11.25">
      <c r="E15" s="707"/>
      <c r="F15" s="707"/>
      <c r="G15" s="715"/>
      <c r="H15" s="701"/>
      <c r="I15" s="708"/>
      <c r="J15" s="716"/>
    </row>
    <row r="16" spans="1:16" ht="11.25">
      <c r="B16" s="700"/>
      <c r="C16" s="701"/>
      <c r="D16" s="717" t="s">
        <v>912</v>
      </c>
      <c r="E16" s="718">
        <f>+E14/12</f>
        <v>12.5</v>
      </c>
      <c r="F16" s="707"/>
      <c r="G16" s="707"/>
      <c r="H16" s="715"/>
      <c r="I16" s="701"/>
    </row>
    <row r="17" spans="2:9" ht="11.25">
      <c r="B17" s="700"/>
      <c r="C17" s="701"/>
      <c r="D17" s="717" t="s">
        <v>913</v>
      </c>
      <c r="E17" s="718">
        <f>F14/E14</f>
        <v>137098.34666666668</v>
      </c>
      <c r="F17" s="707"/>
      <c r="G17" s="707"/>
      <c r="H17" s="715"/>
      <c r="I17" s="701"/>
    </row>
    <row r="18" spans="2:9" ht="11.25">
      <c r="B18" s="700"/>
      <c r="C18" s="701"/>
      <c r="D18" s="719" t="s">
        <v>914</v>
      </c>
      <c r="E18" s="708">
        <v>41854</v>
      </c>
      <c r="F18" s="707"/>
      <c r="G18" s="707"/>
      <c r="H18" s="715"/>
      <c r="I18" s="701"/>
    </row>
    <row r="19" spans="2:9" ht="11.25">
      <c r="F19" s="707"/>
      <c r="G19" s="707"/>
      <c r="H19" s="715"/>
      <c r="I19" s="701"/>
    </row>
    <row r="20" spans="2:9" ht="11.25">
      <c r="F20" s="707"/>
      <c r="G20" s="707"/>
      <c r="H20" s="715"/>
      <c r="I20" s="701"/>
    </row>
    <row r="21" spans="2:9" ht="11.25">
      <c r="F21" s="707"/>
      <c r="G21" s="707"/>
      <c r="H21" s="715"/>
      <c r="I21" s="701"/>
    </row>
    <row r="22" spans="2:9" ht="11.25">
      <c r="F22" s="707"/>
      <c r="G22" s="707"/>
      <c r="H22" s="715"/>
      <c r="I22" s="701"/>
    </row>
    <row r="23" spans="2:9" ht="11.25">
      <c r="F23" s="707"/>
      <c r="G23" s="707"/>
      <c r="H23" s="715"/>
      <c r="I23" s="701"/>
    </row>
    <row r="24" spans="2:9" ht="11.25">
      <c r="F24" s="707"/>
      <c r="G24" s="707"/>
      <c r="H24" s="715"/>
      <c r="I24" s="701"/>
    </row>
    <row r="25" spans="2:9" ht="11.25">
      <c r="F25" s="707"/>
      <c r="G25" s="707"/>
      <c r="H25" s="715"/>
      <c r="I25" s="701"/>
    </row>
    <row r="26" spans="2:9" ht="11.25">
      <c r="F26" s="707"/>
      <c r="G26" s="707"/>
      <c r="H26" s="715"/>
      <c r="I26" s="701"/>
    </row>
    <row r="27" spans="2:9" ht="11.25">
      <c r="F27" s="707"/>
      <c r="G27" s="707"/>
      <c r="H27" s="715"/>
      <c r="I27" s="701"/>
    </row>
    <row r="28" spans="2:9" ht="11.25">
      <c r="F28" s="707"/>
      <c r="G28" s="707"/>
      <c r="H28" s="715"/>
      <c r="I28" s="701"/>
    </row>
    <row r="29" spans="2:9" ht="11.25">
      <c r="F29" s="707"/>
      <c r="G29" s="707"/>
      <c r="H29" s="715"/>
      <c r="I29" s="701"/>
    </row>
    <row r="30" spans="2:9" ht="11.25">
      <c r="F30" s="707"/>
      <c r="G30" s="707"/>
      <c r="H30" s="715"/>
      <c r="I30" s="701"/>
    </row>
    <row r="31" spans="2:9" ht="11.25">
      <c r="F31" s="707"/>
      <c r="G31" s="707"/>
      <c r="H31" s="715"/>
      <c r="I31" s="701"/>
    </row>
    <row r="32" spans="2:9" ht="11.25">
      <c r="F32" s="707"/>
      <c r="G32" s="707"/>
      <c r="H32" s="715"/>
      <c r="I32" s="701"/>
    </row>
    <row r="33" spans="6:9" ht="11.25">
      <c r="F33" s="707"/>
      <c r="G33" s="707"/>
      <c r="H33" s="715"/>
      <c r="I33" s="701"/>
    </row>
    <row r="34" spans="6:9" ht="11.25">
      <c r="F34" s="707"/>
      <c r="G34" s="707"/>
      <c r="H34" s="715"/>
      <c r="I34" s="701"/>
    </row>
    <row r="35" spans="6:9" ht="11.25">
      <c r="F35" s="707"/>
      <c r="G35" s="707"/>
      <c r="H35" s="715"/>
      <c r="I35" s="701"/>
    </row>
    <row r="36" spans="6:9" ht="11.25">
      <c r="F36" s="707"/>
      <c r="G36" s="707"/>
      <c r="H36" s="715"/>
      <c r="I36" s="701"/>
    </row>
    <row r="37" spans="6:9" ht="11.25">
      <c r="F37" s="707"/>
      <c r="G37" s="707"/>
      <c r="H37" s="715"/>
      <c r="I37" s="701"/>
    </row>
    <row r="38" spans="6:9" ht="11.25">
      <c r="F38" s="707"/>
      <c r="G38" s="707"/>
      <c r="H38" s="715"/>
      <c r="I38" s="701"/>
    </row>
    <row r="39" spans="6:9" ht="11.25">
      <c r="F39" s="707"/>
      <c r="G39" s="707"/>
      <c r="H39" s="715"/>
      <c r="I39" s="701"/>
    </row>
    <row r="40" spans="6:9" ht="11.25">
      <c r="F40" s="707"/>
      <c r="G40" s="707"/>
      <c r="H40" s="715"/>
      <c r="I40" s="701"/>
    </row>
    <row r="41" spans="6:9" ht="11.25">
      <c r="F41" s="707"/>
      <c r="G41" s="707"/>
      <c r="H41" s="715"/>
      <c r="I41" s="701"/>
    </row>
    <row r="42" spans="6:9" ht="11.25">
      <c r="F42" s="707"/>
      <c r="G42" s="707"/>
      <c r="H42" s="715"/>
      <c r="I42" s="701"/>
    </row>
    <row r="43" spans="6:9" ht="11.25">
      <c r="F43" s="707"/>
      <c r="G43" s="707"/>
      <c r="H43" s="715"/>
      <c r="I43" s="701"/>
    </row>
    <row r="44" spans="6:9" ht="11.25">
      <c r="F44" s="707"/>
      <c r="G44" s="707"/>
      <c r="H44" s="715"/>
      <c r="I44" s="701"/>
    </row>
    <row r="45" spans="6:9" ht="11.25">
      <c r="F45" s="707"/>
      <c r="G45" s="707"/>
      <c r="H45" s="715"/>
      <c r="I45" s="701"/>
    </row>
    <row r="46" spans="6:9" ht="11.25">
      <c r="F46" s="707"/>
      <c r="G46" s="707"/>
      <c r="H46" s="715"/>
      <c r="I46" s="701"/>
    </row>
    <row r="47" spans="6:9" ht="11.25">
      <c r="F47" s="707"/>
      <c r="G47" s="707"/>
      <c r="H47" s="715"/>
      <c r="I47" s="701"/>
    </row>
    <row r="48" spans="6:9" ht="11.25">
      <c r="F48" s="707"/>
      <c r="G48" s="707"/>
      <c r="H48" s="715"/>
      <c r="I48" s="701"/>
    </row>
  </sheetData>
  <conditionalFormatting sqref="M2:M3">
    <cfRule type="cellIs" dxfId="7" priority="1" operator="equal">
      <formula>0</formula>
    </cfRule>
    <cfRule type="cellIs" dxfId="6" priority="2" operator="lessThan">
      <formula>0</formula>
    </cfRule>
    <cfRule type="cellIs" dxfId="5" priority="3" operator="greaterThan">
      <formula>0</formula>
    </cfRule>
  </conditionalFormatting>
  <conditionalFormatting sqref="P3:P5">
    <cfRule type="cellIs" dxfId="4" priority="4" operator="notEqual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Proposed Billing Activity
&amp;RSchedule H-5
Proposed
Page &amp;P of &amp;N
</oddHeader>
  </headerFooter>
  <legacy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BEE89-0223-4140-8318-79CF38DE49D8}">
  <sheetPr codeName="Sheet83">
    <tabColor theme="9" tint="0.79998168889431442"/>
  </sheetPr>
  <dimension ref="A1:M48"/>
  <sheetViews>
    <sheetView zoomScaleNormal="100" zoomScaleSheetLayoutView="118" workbookViewId="0"/>
  </sheetViews>
  <sheetFormatPr defaultColWidth="9.140625" defaultRowHeight="9"/>
  <cols>
    <col min="1" max="4" width="12.28515625" style="714" customWidth="1"/>
    <col min="5" max="5" width="18.42578125" style="714" bestFit="1" customWidth="1"/>
    <col min="6" max="6" width="22" style="714" bestFit="1" customWidth="1"/>
    <col min="7" max="7" width="19.85546875" style="714" bestFit="1" customWidth="1"/>
    <col min="8" max="8" width="23.28515625" style="714" bestFit="1" customWidth="1"/>
    <col min="9" max="9" width="9.140625" style="714"/>
    <col min="10" max="11" width="9.28515625" style="714" bestFit="1" customWidth="1"/>
    <col min="12" max="12" width="10.42578125" style="714" bestFit="1" customWidth="1"/>
    <col min="13" max="13" width="7.140625" style="714" bestFit="1" customWidth="1"/>
    <col min="14" max="16384" width="9.140625" style="714"/>
  </cols>
  <sheetData>
    <row r="1" spans="1:13" ht="15">
      <c r="A1" s="681" t="str">
        <f>VLOOKUP(B2,'Rate Codes'!$A$1:$C$20,3,0)</f>
        <v>Transportation NSP LV Industrial</v>
      </c>
      <c r="B1"/>
      <c r="C1"/>
      <c r="D1"/>
      <c r="E1"/>
      <c r="F1"/>
      <c r="G1"/>
      <c r="H1"/>
      <c r="I1"/>
      <c r="J1" s="682" t="str">
        <f>B2</f>
        <v>GTNILVS</v>
      </c>
      <c r="K1" s="683"/>
      <c r="L1" s="683" t="s">
        <v>898</v>
      </c>
      <c r="M1" s="683" t="s">
        <v>48</v>
      </c>
    </row>
    <row r="2" spans="1:13" ht="15">
      <c r="A2" t="s">
        <v>899</v>
      </c>
      <c r="B2" t="s">
        <v>545</v>
      </c>
      <c r="C2"/>
      <c r="D2"/>
      <c r="E2"/>
      <c r="F2"/>
      <c r="G2"/>
      <c r="H2"/>
      <c r="I2"/>
      <c r="J2" s="682" t="s">
        <v>900</v>
      </c>
      <c r="K2" s="683">
        <f>E14</f>
        <v>132</v>
      </c>
      <c r="L2" s="683">
        <f>VLOOKUP($J1,Summary!$B:$P,12,0)</f>
        <v>168</v>
      </c>
      <c r="M2" s="683">
        <f>K2-L2</f>
        <v>-36</v>
      </c>
    </row>
    <row r="3" spans="1:13" ht="15">
      <c r="A3" t="s">
        <v>901</v>
      </c>
      <c r="B3" s="142" t="str">
        <f>VLOOKUP(B2,'Rate Codes'!$A$1:$C$20,2,0)</f>
        <v>5756</v>
      </c>
      <c r="C3"/>
      <c r="J3" s="682" t="s">
        <v>902</v>
      </c>
      <c r="K3" s="683">
        <f>F14</f>
        <v>14970375</v>
      </c>
      <c r="L3" s="683">
        <f>VLOOKUP($J1,Summary!$B:$P,13,0)</f>
        <v>14970375</v>
      </c>
      <c r="M3" s="683">
        <f>K3-L3</f>
        <v>0</v>
      </c>
    </row>
    <row r="4" spans="1:13" ht="15">
      <c r="A4"/>
      <c r="B4"/>
      <c r="C4"/>
    </row>
    <row r="5" spans="1:13" s="700" customFormat="1" ht="11.1" customHeight="1">
      <c r="A5" t="s">
        <v>903</v>
      </c>
      <c r="B5"/>
      <c r="C5"/>
      <c r="D5" s="701"/>
      <c r="E5" s="701"/>
      <c r="F5" s="701"/>
      <c r="G5" s="701"/>
      <c r="H5" s="701"/>
      <c r="I5" s="704"/>
      <c r="J5" s="702"/>
      <c r="K5" s="703"/>
      <c r="L5" s="702"/>
    </row>
    <row r="6" spans="1:13" s="700" customFormat="1" ht="11.1" customHeight="1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4"/>
      <c r="J6" s="702"/>
      <c r="K6" s="703"/>
      <c r="L6" s="702"/>
    </row>
    <row r="7" spans="1:13" s="700" customFormat="1" ht="11.1" customHeight="1">
      <c r="A7" s="708">
        <v>0</v>
      </c>
      <c r="B7" s="708">
        <v>999</v>
      </c>
      <c r="C7" s="709">
        <v>0</v>
      </c>
      <c r="D7" s="709">
        <v>0</v>
      </c>
      <c r="E7" s="710">
        <f>D7</f>
        <v>0</v>
      </c>
      <c r="F7" s="710">
        <f>C7</f>
        <v>0</v>
      </c>
      <c r="G7" s="711">
        <f>E7/MAX($E$7:$E$14)</f>
        <v>0</v>
      </c>
      <c r="H7" s="712">
        <f>F7/MAX($F$7:$F$14)</f>
        <v>0</v>
      </c>
    </row>
    <row r="8" spans="1:13" s="700" customFormat="1" ht="11.1" customHeight="1">
      <c r="A8" s="708">
        <f t="shared" ref="A8:A14" si="0">B7+1</f>
        <v>1000</v>
      </c>
      <c r="B8" s="708">
        <v>9999</v>
      </c>
      <c r="C8" s="709">
        <v>144479</v>
      </c>
      <c r="D8" s="709">
        <v>22</v>
      </c>
      <c r="E8" s="707">
        <f t="shared" ref="E8:E14" si="1">E7+D8</f>
        <v>22</v>
      </c>
      <c r="F8" s="707">
        <f t="shared" ref="F8:F14" si="2">F7+C8</f>
        <v>144479</v>
      </c>
      <c r="G8" s="711">
        <f t="shared" ref="G8:G14" si="3">E8/MAX($E$7:$E$14)</f>
        <v>0.16666666666666666</v>
      </c>
      <c r="H8" s="712">
        <f t="shared" ref="H8:H14" si="4">F8/MAX($F$7:$F$14)</f>
        <v>9.6509940465753195E-3</v>
      </c>
    </row>
    <row r="9" spans="1:13" s="700" customFormat="1" ht="11.1" customHeight="1">
      <c r="A9" s="708">
        <f t="shared" si="0"/>
        <v>10000</v>
      </c>
      <c r="B9" s="708">
        <v>49999</v>
      </c>
      <c r="C9" s="709">
        <v>1901663</v>
      </c>
      <c r="D9" s="709">
        <v>76</v>
      </c>
      <c r="E9" s="707">
        <f t="shared" si="1"/>
        <v>98</v>
      </c>
      <c r="F9" s="707">
        <f t="shared" si="2"/>
        <v>2046142</v>
      </c>
      <c r="G9" s="711">
        <f t="shared" si="3"/>
        <v>0.74242424242424243</v>
      </c>
      <c r="H9" s="712">
        <f t="shared" si="4"/>
        <v>0.13667940849845112</v>
      </c>
    </row>
    <row r="10" spans="1:13" s="700" customFormat="1" ht="11.1" customHeight="1">
      <c r="A10" s="708">
        <f t="shared" si="0"/>
        <v>50000</v>
      </c>
      <c r="B10" s="708">
        <v>99999</v>
      </c>
      <c r="C10" s="709">
        <v>482368</v>
      </c>
      <c r="D10" s="709">
        <v>8</v>
      </c>
      <c r="E10" s="707">
        <f t="shared" si="1"/>
        <v>106</v>
      </c>
      <c r="F10" s="707">
        <f t="shared" si="2"/>
        <v>2528510</v>
      </c>
      <c r="G10" s="711">
        <f t="shared" si="3"/>
        <v>0.80303030303030298</v>
      </c>
      <c r="H10" s="712">
        <f t="shared" si="4"/>
        <v>0.16890091263578902</v>
      </c>
    </row>
    <row r="11" spans="1:13" s="700" customFormat="1" ht="11.1" customHeight="1">
      <c r="A11" s="708">
        <f t="shared" si="0"/>
        <v>100000</v>
      </c>
      <c r="B11" s="708">
        <v>199999</v>
      </c>
      <c r="C11" s="709">
        <v>1017623</v>
      </c>
      <c r="D11" s="709">
        <v>7</v>
      </c>
      <c r="E11" s="707">
        <f t="shared" si="1"/>
        <v>113</v>
      </c>
      <c r="F11" s="707">
        <f t="shared" si="2"/>
        <v>3546133</v>
      </c>
      <c r="G11" s="711">
        <f t="shared" si="3"/>
        <v>0.85606060606060608</v>
      </c>
      <c r="H11" s="712">
        <f t="shared" si="4"/>
        <v>0.23687669814550405</v>
      </c>
    </row>
    <row r="12" spans="1:13" s="700" customFormat="1" ht="11.1" customHeight="1">
      <c r="A12" s="708">
        <f t="shared" si="0"/>
        <v>200000</v>
      </c>
      <c r="B12" s="708">
        <v>499999</v>
      </c>
      <c r="C12" s="709">
        <v>2988194</v>
      </c>
      <c r="D12" s="709">
        <v>12</v>
      </c>
      <c r="E12" s="707">
        <f t="shared" si="1"/>
        <v>125</v>
      </c>
      <c r="F12" s="707">
        <f t="shared" si="2"/>
        <v>6534327</v>
      </c>
      <c r="G12" s="711">
        <f t="shared" si="3"/>
        <v>0.94696969696969702</v>
      </c>
      <c r="H12" s="712">
        <f t="shared" si="4"/>
        <v>0.43648385561483932</v>
      </c>
    </row>
    <row r="13" spans="1:13" s="700" customFormat="1" ht="11.1" customHeight="1">
      <c r="A13" s="708">
        <f t="shared" si="0"/>
        <v>500000</v>
      </c>
      <c r="B13" s="700">
        <v>999999</v>
      </c>
      <c r="C13" s="709">
        <v>635221</v>
      </c>
      <c r="D13" s="709">
        <v>1</v>
      </c>
      <c r="E13" s="707">
        <f t="shared" si="1"/>
        <v>126</v>
      </c>
      <c r="F13" s="707">
        <f t="shared" si="2"/>
        <v>7169548</v>
      </c>
      <c r="G13" s="711">
        <f t="shared" si="3"/>
        <v>0.95454545454545459</v>
      </c>
      <c r="H13" s="712">
        <f t="shared" si="4"/>
        <v>0.47891572522398401</v>
      </c>
    </row>
    <row r="14" spans="1:13" s="700" customFormat="1" ht="11.1" customHeight="1">
      <c r="A14" s="708">
        <f t="shared" si="0"/>
        <v>1000000</v>
      </c>
      <c r="B14" s="700">
        <v>1999999</v>
      </c>
      <c r="C14" s="709">
        <v>7800827</v>
      </c>
      <c r="D14" s="709">
        <v>6</v>
      </c>
      <c r="E14" s="707">
        <f t="shared" si="1"/>
        <v>132</v>
      </c>
      <c r="F14" s="707">
        <f t="shared" si="2"/>
        <v>14970375</v>
      </c>
      <c r="G14" s="711">
        <f t="shared" si="3"/>
        <v>1</v>
      </c>
      <c r="H14" s="712">
        <f t="shared" si="4"/>
        <v>1</v>
      </c>
    </row>
    <row r="15" spans="1:13" ht="11.25">
      <c r="F15" s="707"/>
      <c r="G15" s="707"/>
      <c r="H15" s="715"/>
    </row>
    <row r="16" spans="1:13" ht="11.25">
      <c r="B16" s="700"/>
      <c r="C16" s="701"/>
      <c r="D16" s="717" t="s">
        <v>912</v>
      </c>
      <c r="E16" s="718">
        <f>+E13/12</f>
        <v>10.5</v>
      </c>
      <c r="F16" s="707"/>
      <c r="G16" s="707"/>
      <c r="H16" s="715"/>
    </row>
    <row r="17" spans="2:8" ht="11.25">
      <c r="B17" s="700"/>
      <c r="C17" s="701"/>
      <c r="D17" s="717" t="s">
        <v>915</v>
      </c>
      <c r="E17" s="718">
        <f>F13/E13</f>
        <v>56901.174603174601</v>
      </c>
      <c r="F17" s="707"/>
      <c r="G17" s="707"/>
      <c r="H17" s="715"/>
    </row>
    <row r="18" spans="2:8" ht="11.25">
      <c r="B18" s="700"/>
      <c r="C18" s="701"/>
      <c r="D18" s="719" t="s">
        <v>914</v>
      </c>
      <c r="E18" s="708">
        <v>25803</v>
      </c>
      <c r="F18" s="707"/>
      <c r="G18" s="707"/>
      <c r="H18" s="715"/>
    </row>
    <row r="19" spans="2:8" ht="11.25">
      <c r="F19" s="707"/>
      <c r="G19" s="707"/>
      <c r="H19" s="715"/>
    </row>
    <row r="20" spans="2:8" ht="11.25">
      <c r="F20" s="707"/>
      <c r="G20" s="707"/>
      <c r="H20" s="715"/>
    </row>
    <row r="21" spans="2:8" ht="11.25">
      <c r="F21" s="707"/>
      <c r="G21" s="707"/>
      <c r="H21" s="715"/>
    </row>
    <row r="22" spans="2:8" ht="11.25">
      <c r="F22" s="707"/>
      <c r="G22" s="707"/>
      <c r="H22" s="715"/>
    </row>
    <row r="23" spans="2:8" ht="11.25">
      <c r="F23" s="707"/>
      <c r="G23" s="707"/>
      <c r="H23" s="715"/>
    </row>
    <row r="24" spans="2:8" ht="11.25">
      <c r="F24" s="707"/>
      <c r="G24" s="707"/>
      <c r="H24" s="715"/>
    </row>
    <row r="25" spans="2:8" ht="11.25">
      <c r="F25" s="707"/>
      <c r="G25" s="707"/>
      <c r="H25" s="715"/>
    </row>
    <row r="26" spans="2:8" ht="11.25">
      <c r="F26" s="707"/>
      <c r="G26" s="707"/>
      <c r="H26" s="715"/>
    </row>
    <row r="27" spans="2:8" ht="11.25">
      <c r="F27" s="707"/>
      <c r="G27" s="707"/>
      <c r="H27" s="715"/>
    </row>
    <row r="28" spans="2:8" ht="11.25">
      <c r="F28" s="707"/>
      <c r="G28" s="707"/>
      <c r="H28" s="715"/>
    </row>
    <row r="29" spans="2:8" ht="11.25">
      <c r="F29" s="707"/>
      <c r="G29" s="707"/>
      <c r="H29" s="715"/>
    </row>
    <row r="30" spans="2:8" ht="11.25">
      <c r="F30" s="707"/>
      <c r="G30" s="707"/>
      <c r="H30" s="715"/>
    </row>
    <row r="31" spans="2:8" ht="11.25">
      <c r="F31" s="707"/>
      <c r="G31" s="707"/>
      <c r="H31" s="715"/>
    </row>
    <row r="32" spans="2:8" ht="11.25">
      <c r="F32" s="707"/>
      <c r="G32" s="707"/>
      <c r="H32" s="715"/>
    </row>
    <row r="33" spans="6:8" ht="11.25">
      <c r="F33" s="707"/>
      <c r="G33" s="707"/>
      <c r="H33" s="715"/>
    </row>
    <row r="34" spans="6:8" ht="11.25">
      <c r="F34" s="707"/>
      <c r="G34" s="707"/>
      <c r="H34" s="715"/>
    </row>
    <row r="35" spans="6:8" ht="11.25">
      <c r="F35" s="707"/>
      <c r="G35" s="707"/>
      <c r="H35" s="715"/>
    </row>
    <row r="36" spans="6:8" ht="11.25">
      <c r="F36" s="707"/>
      <c r="G36" s="707"/>
      <c r="H36" s="715"/>
    </row>
    <row r="37" spans="6:8" ht="11.25">
      <c r="F37" s="707"/>
      <c r="G37" s="707"/>
      <c r="H37" s="715"/>
    </row>
    <row r="38" spans="6:8" ht="11.25">
      <c r="F38" s="707"/>
      <c r="G38" s="707"/>
      <c r="H38" s="715"/>
    </row>
    <row r="39" spans="6:8" ht="11.25">
      <c r="F39" s="707"/>
      <c r="G39" s="707"/>
      <c r="H39" s="715"/>
    </row>
    <row r="40" spans="6:8" ht="11.25">
      <c r="F40" s="707"/>
      <c r="G40" s="707"/>
      <c r="H40" s="715"/>
    </row>
    <row r="41" spans="6:8" ht="11.25">
      <c r="F41" s="707"/>
      <c r="G41" s="707"/>
      <c r="H41" s="715"/>
    </row>
    <row r="42" spans="6:8" ht="11.25">
      <c r="F42" s="707"/>
      <c r="G42" s="707"/>
      <c r="H42" s="715"/>
    </row>
    <row r="43" spans="6:8" ht="11.25">
      <c r="F43" s="707"/>
      <c r="G43" s="707"/>
      <c r="H43" s="715"/>
    </row>
    <row r="44" spans="6:8" ht="11.25">
      <c r="F44" s="707"/>
      <c r="G44" s="707"/>
      <c r="H44" s="715"/>
    </row>
    <row r="45" spans="6:8" ht="11.25">
      <c r="F45" s="707"/>
      <c r="G45" s="707"/>
      <c r="H45" s="715"/>
    </row>
    <row r="46" spans="6:8" ht="11.25">
      <c r="F46" s="707"/>
      <c r="G46" s="707"/>
      <c r="H46" s="715"/>
    </row>
    <row r="47" spans="6:8" ht="11.25">
      <c r="F47" s="707"/>
      <c r="G47" s="707"/>
      <c r="H47" s="715"/>
    </row>
    <row r="48" spans="6:8" ht="11.25">
      <c r="F48" s="707"/>
      <c r="G48" s="707"/>
      <c r="H48" s="715"/>
    </row>
  </sheetData>
  <conditionalFormatting sqref="L5:L6">
    <cfRule type="cellIs" dxfId="3" priority="4" operator="notEqual">
      <formula>0</formula>
    </cfRule>
  </conditionalFormatting>
  <conditionalFormatting sqref="M2:M3">
    <cfRule type="cellIs" dxfId="2" priority="1" operator="equal">
      <formula>0</formula>
    </cfRule>
    <cfRule type="cellIs" dxfId="1" priority="2" operator="lessThan">
      <formula>0</formula>
    </cfRule>
    <cfRule type="cellIs" dxfId="0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Proposed Billing Activity
&amp;RSchedule H-5
Proposed
Page &amp;P of &amp;N
</oddHeader>
  </headerFooter>
  <legacy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31670-A964-4E59-A491-760A6471344C}">
  <sheetPr codeName="Sheet84">
    <tabColor theme="9" tint="0.79998168889431442"/>
  </sheetPr>
  <dimension ref="A1:C45"/>
  <sheetViews>
    <sheetView zoomScale="70" zoomScaleNormal="70" workbookViewId="0"/>
  </sheetViews>
  <sheetFormatPr defaultRowHeight="15"/>
  <cols>
    <col min="1" max="1" width="13" style="152" bestFit="1" customWidth="1"/>
    <col min="2" max="2" width="6.28515625" bestFit="1" customWidth="1"/>
    <col min="3" max="3" width="62.42578125" bestFit="1" customWidth="1"/>
    <col min="11" max="11" width="12.5703125" bestFit="1" customWidth="1"/>
    <col min="12" max="12" width="14" bestFit="1" customWidth="1"/>
    <col min="13" max="13" width="10.85546875" bestFit="1" customWidth="1"/>
    <col min="14" max="14" width="9.140625" bestFit="1" customWidth="1"/>
    <col min="15" max="15" width="6.42578125" bestFit="1" customWidth="1"/>
    <col min="16" max="16" width="10.7109375" bestFit="1" customWidth="1"/>
    <col min="17" max="17" width="7.42578125" bestFit="1" customWidth="1"/>
    <col min="18" max="18" width="8.42578125" bestFit="1" customWidth="1"/>
    <col min="19" max="19" width="10.7109375" bestFit="1" customWidth="1"/>
    <col min="21" max="21" width="8.28515625" bestFit="1" customWidth="1"/>
    <col min="22" max="22" width="9.85546875" bestFit="1" customWidth="1"/>
    <col min="23" max="23" width="6.5703125" bestFit="1" customWidth="1"/>
    <col min="24" max="24" width="7.5703125" bestFit="1" customWidth="1"/>
    <col min="25" max="25" width="9.5703125" bestFit="1" customWidth="1"/>
    <col min="27" max="27" width="7.7109375" bestFit="1" customWidth="1"/>
    <col min="29" max="29" width="10.140625" bestFit="1" customWidth="1"/>
    <col min="30" max="30" width="8.28515625" bestFit="1" customWidth="1"/>
    <col min="31" max="31" width="9.42578125" bestFit="1" customWidth="1"/>
    <col min="32" max="32" width="9.5703125" bestFit="1" customWidth="1"/>
    <col min="33" max="33" width="7.85546875" bestFit="1" customWidth="1"/>
    <col min="34" max="34" width="7.42578125" bestFit="1" customWidth="1"/>
    <col min="35" max="35" width="8.85546875" bestFit="1" customWidth="1"/>
    <col min="36" max="36" width="8.5703125" bestFit="1" customWidth="1"/>
    <col min="37" max="38" width="9.5703125" bestFit="1" customWidth="1"/>
    <col min="39" max="39" width="5.5703125" bestFit="1" customWidth="1"/>
    <col min="40" max="40" width="6.5703125" bestFit="1" customWidth="1"/>
    <col min="41" max="41" width="8.5703125" bestFit="1" customWidth="1"/>
    <col min="42" max="42" width="6.85546875" bestFit="1" customWidth="1"/>
    <col min="43" max="43" width="6.5703125" bestFit="1" customWidth="1"/>
    <col min="44" max="44" width="7.42578125" bestFit="1" customWidth="1"/>
    <col min="45" max="45" width="7.85546875" bestFit="1" customWidth="1"/>
    <col min="46" max="46" width="6.28515625" bestFit="1" customWidth="1"/>
    <col min="47" max="47" width="7.5703125" bestFit="1" customWidth="1"/>
    <col min="48" max="48" width="8.85546875" bestFit="1" customWidth="1"/>
    <col min="49" max="49" width="7.42578125" bestFit="1" customWidth="1"/>
    <col min="50" max="50" width="9.85546875" bestFit="1" customWidth="1"/>
    <col min="51" max="51" width="6.140625" bestFit="1" customWidth="1"/>
    <col min="52" max="52" width="5.7109375" bestFit="1" customWidth="1"/>
    <col min="53" max="53" width="8.42578125" bestFit="1" customWidth="1"/>
    <col min="54" max="54" width="9.140625" bestFit="1" customWidth="1"/>
    <col min="55" max="55" width="9.28515625" bestFit="1" customWidth="1"/>
    <col min="56" max="56" width="6.140625" bestFit="1" customWidth="1"/>
    <col min="57" max="57" width="8.42578125" bestFit="1" customWidth="1"/>
    <col min="58" max="58" width="8.140625" bestFit="1" customWidth="1"/>
    <col min="59" max="59" width="9.140625" bestFit="1" customWidth="1"/>
    <col min="60" max="60" width="7.42578125" bestFit="1" customWidth="1"/>
    <col min="61" max="62" width="8.42578125" bestFit="1" customWidth="1"/>
    <col min="63" max="63" width="8.85546875" bestFit="1" customWidth="1"/>
    <col min="64" max="64" width="6" bestFit="1" customWidth="1"/>
    <col min="65" max="65" width="7.140625" bestFit="1" customWidth="1"/>
    <col min="66" max="66" width="9" bestFit="1" customWidth="1"/>
    <col min="67" max="67" width="7.85546875" bestFit="1" customWidth="1"/>
    <col min="68" max="68" width="8.42578125" bestFit="1" customWidth="1"/>
    <col min="69" max="69" width="7.140625" bestFit="1" customWidth="1"/>
    <col min="70" max="70" width="8" bestFit="1" customWidth="1"/>
    <col min="71" max="71" width="8.5703125" bestFit="1" customWidth="1"/>
    <col min="72" max="72" width="8.140625" bestFit="1" customWidth="1"/>
    <col min="73" max="73" width="9.140625" bestFit="1" customWidth="1"/>
    <col min="74" max="74" width="9" bestFit="1" customWidth="1"/>
    <col min="75" max="75" width="9.5703125" bestFit="1" customWidth="1"/>
    <col min="76" max="76" width="6.85546875" bestFit="1" customWidth="1"/>
    <col min="77" max="77" width="7.7109375" bestFit="1" customWidth="1"/>
    <col min="78" max="78" width="8.5703125" bestFit="1" customWidth="1"/>
    <col min="79" max="79" width="8.140625" bestFit="1" customWidth="1"/>
    <col min="80" max="80" width="7.7109375" bestFit="1" customWidth="1"/>
    <col min="81" max="81" width="9.5703125" bestFit="1" customWidth="1"/>
    <col min="82" max="82" width="7.42578125" bestFit="1" customWidth="1"/>
    <col min="83" max="83" width="6.85546875" bestFit="1" customWidth="1"/>
    <col min="84" max="84" width="7.85546875" bestFit="1" customWidth="1"/>
    <col min="86" max="86" width="9.28515625" bestFit="1" customWidth="1"/>
    <col min="87" max="87" width="7.7109375" bestFit="1" customWidth="1"/>
    <col min="88" max="88" width="9.5703125" bestFit="1" customWidth="1"/>
    <col min="90" max="90" width="8.28515625" bestFit="1" customWidth="1"/>
    <col min="91" max="91" width="9.140625" bestFit="1" customWidth="1"/>
    <col min="92" max="92" width="7.5703125" bestFit="1" customWidth="1"/>
    <col min="93" max="93" width="6.140625" bestFit="1" customWidth="1"/>
    <col min="94" max="94" width="6.85546875" bestFit="1" customWidth="1"/>
    <col min="95" max="95" width="8.28515625" bestFit="1" customWidth="1"/>
    <col min="96" max="96" width="7.85546875" bestFit="1" customWidth="1"/>
    <col min="97" max="97" width="7.42578125" bestFit="1" customWidth="1"/>
    <col min="98" max="98" width="7.140625" bestFit="1" customWidth="1"/>
    <col min="99" max="99" width="8" bestFit="1" customWidth="1"/>
    <col min="100" max="100" width="9.140625" bestFit="1" customWidth="1"/>
    <col min="101" max="101" width="7.85546875" bestFit="1" customWidth="1"/>
    <col min="102" max="102" width="8.85546875" bestFit="1" customWidth="1"/>
    <col min="103" max="103" width="8.42578125" bestFit="1" customWidth="1"/>
    <col min="104" max="104" width="8.140625" bestFit="1" customWidth="1"/>
    <col min="105" max="106" width="9.140625" bestFit="1" customWidth="1"/>
    <col min="107" max="107" width="7.140625" bestFit="1" customWidth="1"/>
    <col min="108" max="109" width="8.140625" bestFit="1" customWidth="1"/>
    <col min="110" max="110" width="6.85546875" bestFit="1" customWidth="1"/>
    <col min="111" max="112" width="7.85546875" bestFit="1" customWidth="1"/>
    <col min="113" max="113" width="6.140625" bestFit="1" customWidth="1"/>
    <col min="114" max="117" width="7.140625" bestFit="1" customWidth="1"/>
    <col min="118" max="118" width="8.5703125" bestFit="1" customWidth="1"/>
    <col min="119" max="119" width="8.28515625" bestFit="1" customWidth="1"/>
    <col min="120" max="121" width="9.28515625" bestFit="1" customWidth="1"/>
    <col min="122" max="123" width="9" bestFit="1" customWidth="1"/>
    <col min="124" max="124" width="7.85546875" bestFit="1" customWidth="1"/>
    <col min="125" max="126" width="8.85546875" bestFit="1" customWidth="1"/>
    <col min="127" max="127" width="6.85546875" bestFit="1" customWidth="1"/>
    <col min="128" max="128" width="10.7109375" bestFit="1" customWidth="1"/>
  </cols>
  <sheetData>
    <row r="1" spans="1:3">
      <c r="A1" s="142" t="s">
        <v>916</v>
      </c>
      <c r="B1" s="142" t="s">
        <v>624</v>
      </c>
      <c r="C1" s="142" t="s">
        <v>320</v>
      </c>
    </row>
    <row r="2" spans="1:3">
      <c r="A2" t="s">
        <v>521</v>
      </c>
      <c r="B2" s="152" t="s">
        <v>765</v>
      </c>
      <c r="C2" t="s">
        <v>766</v>
      </c>
    </row>
    <row r="3" spans="1:3">
      <c r="A3" t="s">
        <v>535</v>
      </c>
      <c r="B3" s="152" t="s">
        <v>774</v>
      </c>
      <c r="C3" t="s">
        <v>775</v>
      </c>
    </row>
    <row r="4" spans="1:3">
      <c r="A4" t="s">
        <v>539</v>
      </c>
      <c r="B4" s="152" t="s">
        <v>777</v>
      </c>
      <c r="C4" t="s">
        <v>778</v>
      </c>
    </row>
    <row r="5" spans="1:3">
      <c r="A5" t="s">
        <v>540</v>
      </c>
      <c r="B5" s="152" t="s">
        <v>777</v>
      </c>
      <c r="C5" t="s">
        <v>781</v>
      </c>
    </row>
    <row r="6" spans="1:3">
      <c r="A6" t="s">
        <v>547</v>
      </c>
      <c r="B6" s="152" t="s">
        <v>777</v>
      </c>
      <c r="C6" t="s">
        <v>784</v>
      </c>
    </row>
    <row r="7" spans="1:3">
      <c r="A7" t="s">
        <v>548</v>
      </c>
      <c r="B7" s="152" t="s">
        <v>788</v>
      </c>
      <c r="C7" t="s">
        <v>789</v>
      </c>
    </row>
    <row r="8" spans="1:3">
      <c r="A8" t="s">
        <v>536</v>
      </c>
      <c r="B8" s="152" t="s">
        <v>793</v>
      </c>
      <c r="C8" t="s">
        <v>794</v>
      </c>
    </row>
    <row r="9" spans="1:3">
      <c r="A9" t="s">
        <v>522</v>
      </c>
      <c r="B9" s="152" t="s">
        <v>796</v>
      </c>
      <c r="C9" t="s">
        <v>797</v>
      </c>
    </row>
    <row r="10" spans="1:3">
      <c r="A10" t="s">
        <v>541</v>
      </c>
      <c r="B10" s="152" t="s">
        <v>799</v>
      </c>
      <c r="C10" t="s">
        <v>800</v>
      </c>
    </row>
    <row r="11" spans="1:3">
      <c r="A11" t="s">
        <v>537</v>
      </c>
      <c r="B11" s="152" t="s">
        <v>803</v>
      </c>
      <c r="C11" t="s">
        <v>804</v>
      </c>
    </row>
    <row r="12" spans="1:3">
      <c r="A12" t="s">
        <v>538</v>
      </c>
      <c r="B12" s="152" t="s">
        <v>806</v>
      </c>
      <c r="C12" t="s">
        <v>807</v>
      </c>
    </row>
    <row r="13" spans="1:3">
      <c r="A13" t="s">
        <v>516</v>
      </c>
      <c r="B13" s="152" t="s">
        <v>809</v>
      </c>
      <c r="C13" t="s">
        <v>810</v>
      </c>
    </row>
    <row r="14" spans="1:3">
      <c r="A14" t="s">
        <v>518</v>
      </c>
      <c r="B14" s="152" t="s">
        <v>812</v>
      </c>
      <c r="C14" t="s">
        <v>813</v>
      </c>
    </row>
    <row r="15" spans="1:3">
      <c r="A15" t="s">
        <v>542</v>
      </c>
      <c r="B15" s="152" t="s">
        <v>788</v>
      </c>
      <c r="C15" t="s">
        <v>816</v>
      </c>
    </row>
    <row r="16" spans="1:3">
      <c r="A16" t="s">
        <v>549</v>
      </c>
      <c r="B16" s="152" t="s">
        <v>788</v>
      </c>
      <c r="C16" t="s">
        <v>818</v>
      </c>
    </row>
    <row r="17" spans="1:3">
      <c r="A17" t="s">
        <v>543</v>
      </c>
      <c r="B17" s="152" t="s">
        <v>788</v>
      </c>
      <c r="C17" t="s">
        <v>821</v>
      </c>
    </row>
    <row r="18" spans="1:3">
      <c r="A18" t="s">
        <v>544</v>
      </c>
      <c r="B18" s="152" t="s">
        <v>788</v>
      </c>
      <c r="C18" t="s">
        <v>823</v>
      </c>
    </row>
    <row r="19" spans="1:3">
      <c r="A19" t="s">
        <v>545</v>
      </c>
      <c r="B19" s="152" t="s">
        <v>788</v>
      </c>
      <c r="C19" t="s">
        <v>825</v>
      </c>
    </row>
    <row r="20" spans="1:3">
      <c r="A20" t="s">
        <v>546</v>
      </c>
      <c r="B20" s="152" t="s">
        <v>788</v>
      </c>
      <c r="C20" t="s">
        <v>827</v>
      </c>
    </row>
    <row r="21" spans="1:3">
      <c r="A21"/>
      <c r="B21" s="152"/>
    </row>
    <row r="22" spans="1:3">
      <c r="A22"/>
      <c r="B22" s="152"/>
    </row>
    <row r="23" spans="1:3">
      <c r="A23"/>
      <c r="B23" s="152"/>
    </row>
    <row r="24" spans="1:3">
      <c r="A24"/>
      <c r="B24" s="152"/>
    </row>
    <row r="25" spans="1:3">
      <c r="A25"/>
      <c r="B25" s="152"/>
    </row>
    <row r="26" spans="1:3">
      <c r="A26"/>
      <c r="B26" s="152"/>
    </row>
    <row r="27" spans="1:3">
      <c r="A27"/>
      <c r="B27" s="152"/>
    </row>
    <row r="28" spans="1:3">
      <c r="A28"/>
      <c r="B28" s="152"/>
    </row>
    <row r="29" spans="1:3">
      <c r="A29"/>
      <c r="B29" s="152"/>
    </row>
    <row r="30" spans="1:3">
      <c r="A30"/>
      <c r="B30" s="152"/>
    </row>
    <row r="31" spans="1:3">
      <c r="A31"/>
      <c r="B31" s="152"/>
    </row>
    <row r="32" spans="1:3">
      <c r="A32"/>
      <c r="B32" s="152"/>
    </row>
    <row r="33" spans="1:2">
      <c r="A33"/>
      <c r="B33" s="152"/>
    </row>
    <row r="34" spans="1:2">
      <c r="A34"/>
      <c r="B34" s="152"/>
    </row>
    <row r="35" spans="1:2">
      <c r="A35"/>
      <c r="B35" s="152"/>
    </row>
    <row r="36" spans="1:2">
      <c r="A36"/>
      <c r="B36" s="152"/>
    </row>
    <row r="37" spans="1:2">
      <c r="A37"/>
      <c r="B37" s="152"/>
    </row>
    <row r="38" spans="1:2">
      <c r="A38"/>
      <c r="B38" s="152"/>
    </row>
    <row r="39" spans="1:2">
      <c r="A39"/>
      <c r="B39" s="152"/>
    </row>
    <row r="40" spans="1:2">
      <c r="A40"/>
      <c r="B40" s="152"/>
    </row>
    <row r="41" spans="1:2">
      <c r="A41"/>
      <c r="B41" s="152"/>
    </row>
    <row r="42" spans="1:2">
      <c r="A42"/>
      <c r="B42" s="152"/>
    </row>
    <row r="43" spans="1:2">
      <c r="A43"/>
      <c r="B43" s="152"/>
    </row>
    <row r="44" spans="1:2">
      <c r="A44"/>
      <c r="B44" s="152"/>
    </row>
    <row r="45" spans="1:2">
      <c r="A45"/>
      <c r="B45" s="152"/>
    </row>
  </sheetData>
  <autoFilter ref="B1:D45" xr:uid="{00000000-0001-0000-6600-000000000000}"/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74</vt:i4>
      </vt:variant>
      <vt:variant>
        <vt:lpstr>Named Ranges</vt:lpstr>
      </vt:variant>
      <vt:variant>
        <vt:i4>95</vt:i4>
      </vt:variant>
    </vt:vector>
  </HeadingPairs>
  <TitlesOfParts>
    <vt:vector size="169" baseType="lpstr">
      <vt:lpstr>Rate Changes</vt:lpstr>
      <vt:lpstr>Summary</vt:lpstr>
      <vt:lpstr>Revenue Proof Breakout</vt:lpstr>
      <vt:lpstr>Schedule G-1 Present Rates</vt:lpstr>
      <vt:lpstr>Schedule G-2 Proposed Rates</vt:lpstr>
      <vt:lpstr>G-3 COST OF SERVICE</vt:lpstr>
      <vt:lpstr>G-4 COST OF SERVICE</vt:lpstr>
      <vt:lpstr>G-5 Function Rate Base</vt:lpstr>
      <vt:lpstr>G-6 Function Expense</vt:lpstr>
      <vt:lpstr>G-6-1 Unit Cost</vt:lpstr>
      <vt:lpstr>G-7 Allocations</vt:lpstr>
      <vt:lpstr>Rev&amp;Expense</vt:lpstr>
      <vt:lpstr>Rate Base</vt:lpstr>
      <vt:lpstr>Function Allocators</vt:lpstr>
      <vt:lpstr>Functionalization RES</vt:lpstr>
      <vt:lpstr>Functionalization SMALL</vt:lpstr>
      <vt:lpstr>Functionalization LARGE</vt:lpstr>
      <vt:lpstr>Schedule H1</vt:lpstr>
      <vt:lpstr>Schedule H2</vt:lpstr>
      <vt:lpstr>Schedule H2-2</vt:lpstr>
      <vt:lpstr>Schedule H-3</vt:lpstr>
      <vt:lpstr>Lookup</vt:lpstr>
      <vt:lpstr>UNSG - ALL RATES</vt:lpstr>
      <vt:lpstr>UNSG- SOC Current</vt:lpstr>
      <vt:lpstr>UNSG Riders- Current</vt:lpstr>
      <vt:lpstr>PGA Calculation</vt:lpstr>
      <vt:lpstr>GRRES</vt:lpstr>
      <vt:lpstr>GRRESC</vt:lpstr>
      <vt:lpstr>GRCNG</vt:lpstr>
      <vt:lpstr>GGSVS</vt:lpstr>
      <vt:lpstr>GISVS</vt:lpstr>
      <vt:lpstr>GPSVS</vt:lpstr>
      <vt:lpstr>GGIRS</vt:lpstr>
      <vt:lpstr>GPCNGSV</vt:lpstr>
      <vt:lpstr>GGLVS</vt:lpstr>
      <vt:lpstr>GILVS</vt:lpstr>
      <vt:lpstr>GPLVS</vt:lpstr>
      <vt:lpstr>GTILVS</vt:lpstr>
      <vt:lpstr>GTNILVS</vt:lpstr>
      <vt:lpstr>GRRES Billed</vt:lpstr>
      <vt:lpstr>GRRESC Billed</vt:lpstr>
      <vt:lpstr>GGSVS Billed</vt:lpstr>
      <vt:lpstr>GGIRS Billed</vt:lpstr>
      <vt:lpstr>GISVS Billed</vt:lpstr>
      <vt:lpstr>GILVS Billed</vt:lpstr>
      <vt:lpstr>GGLVS Billed</vt:lpstr>
      <vt:lpstr>GPSVS Billed</vt:lpstr>
      <vt:lpstr>GPLVS Billed</vt:lpstr>
      <vt:lpstr>GTGLVS Billed</vt:lpstr>
      <vt:lpstr>GTILVS Billed</vt:lpstr>
      <vt:lpstr>GTPLVS Billed</vt:lpstr>
      <vt:lpstr>GTNGLVS Billed</vt:lpstr>
      <vt:lpstr>GTNILVS Billed</vt:lpstr>
      <vt:lpstr>GRRES Adjusted</vt:lpstr>
      <vt:lpstr>GRRESC Adjusted</vt:lpstr>
      <vt:lpstr>GGSVS Adjusted</vt:lpstr>
      <vt:lpstr>GGIRS Adjusted</vt:lpstr>
      <vt:lpstr>GGLVS Adjusted</vt:lpstr>
      <vt:lpstr>GISVS Adjusted</vt:lpstr>
      <vt:lpstr>GILVS Adjusted</vt:lpstr>
      <vt:lpstr>GPSVS Adjusted</vt:lpstr>
      <vt:lpstr>GPLVS Adjusted</vt:lpstr>
      <vt:lpstr>GTGLVS Adjusted</vt:lpstr>
      <vt:lpstr>GTPLVS Adjusted</vt:lpstr>
      <vt:lpstr>GTILVS Adjusted</vt:lpstr>
      <vt:lpstr>GTNGLVS Adjusted</vt:lpstr>
      <vt:lpstr>GTNILVS Adjusted</vt:lpstr>
      <vt:lpstr>GRRES Proposed</vt:lpstr>
      <vt:lpstr>GRRESC Proposed</vt:lpstr>
      <vt:lpstr>GGSVS Proposed</vt:lpstr>
      <vt:lpstr>GILVS Proposed</vt:lpstr>
      <vt:lpstr>GTILVS Proposed</vt:lpstr>
      <vt:lpstr>GTNILVS Proposed</vt:lpstr>
      <vt:lpstr>Rate Codes</vt:lpstr>
      <vt:lpstr>IRRIGATION_SERVICE_RATE_I_60</vt:lpstr>
      <vt:lpstr>LARGE_VOL_COMMERCIAL_RATE_C_22</vt:lpstr>
      <vt:lpstr>'Function Allocators'!Print_Area</vt:lpstr>
      <vt:lpstr>'Functionalization LARGE'!Print_Area</vt:lpstr>
      <vt:lpstr>'Functionalization RES'!Print_Area</vt:lpstr>
      <vt:lpstr>'Functionalization SMALL'!Print_Area</vt:lpstr>
      <vt:lpstr>'G-3 COST OF SERVICE'!Print_Area</vt:lpstr>
      <vt:lpstr>'G-4 COST OF SERVICE'!Print_Area</vt:lpstr>
      <vt:lpstr>'G-5 Function Rate Base'!Print_Area</vt:lpstr>
      <vt:lpstr>'G-6 Function Expense'!Print_Area</vt:lpstr>
      <vt:lpstr>'G-6-1 Unit Cost'!Print_Area</vt:lpstr>
      <vt:lpstr>'G-7 Allocations'!Print_Area</vt:lpstr>
      <vt:lpstr>GGIRS!Print_Area</vt:lpstr>
      <vt:lpstr>'GGIRS Adjusted'!Print_Area</vt:lpstr>
      <vt:lpstr>'GGIRS Billed'!Print_Area</vt:lpstr>
      <vt:lpstr>GGLVS!Print_Area</vt:lpstr>
      <vt:lpstr>'GGLVS Adjusted'!Print_Area</vt:lpstr>
      <vt:lpstr>'GGLVS Billed'!Print_Area</vt:lpstr>
      <vt:lpstr>GGSVS!Print_Area</vt:lpstr>
      <vt:lpstr>'GGSVS Adjusted'!Print_Area</vt:lpstr>
      <vt:lpstr>'GGSVS Billed'!Print_Area</vt:lpstr>
      <vt:lpstr>'GGSVS Proposed'!Print_Area</vt:lpstr>
      <vt:lpstr>GILVS!Print_Area</vt:lpstr>
      <vt:lpstr>'GILVS Adjusted'!Print_Area</vt:lpstr>
      <vt:lpstr>'GILVS Billed'!Print_Area</vt:lpstr>
      <vt:lpstr>'GILVS Proposed'!Print_Area</vt:lpstr>
      <vt:lpstr>GISVS!Print_Area</vt:lpstr>
      <vt:lpstr>'GISVS Adjusted'!Print_Area</vt:lpstr>
      <vt:lpstr>'GISVS Billed'!Print_Area</vt:lpstr>
      <vt:lpstr>GPCNGSV!Print_Area</vt:lpstr>
      <vt:lpstr>GPLVS!Print_Area</vt:lpstr>
      <vt:lpstr>'GPLVS Adjusted'!Print_Area</vt:lpstr>
      <vt:lpstr>'GPLVS Billed'!Print_Area</vt:lpstr>
      <vt:lpstr>GPSVS!Print_Area</vt:lpstr>
      <vt:lpstr>'GPSVS Adjusted'!Print_Area</vt:lpstr>
      <vt:lpstr>'GPSVS Billed'!Print_Area</vt:lpstr>
      <vt:lpstr>GRCNG!Print_Area</vt:lpstr>
      <vt:lpstr>GRRES!Print_Area</vt:lpstr>
      <vt:lpstr>'GRRES Adjusted'!Print_Area</vt:lpstr>
      <vt:lpstr>'GRRES Billed'!Print_Area</vt:lpstr>
      <vt:lpstr>'GRRES Proposed'!Print_Area</vt:lpstr>
      <vt:lpstr>GRRESC!Print_Area</vt:lpstr>
      <vt:lpstr>'GRRESC Adjusted'!Print_Area</vt:lpstr>
      <vt:lpstr>'GRRESC Billed'!Print_Area</vt:lpstr>
      <vt:lpstr>'GRRESC Proposed'!Print_Area</vt:lpstr>
      <vt:lpstr>'GTGLVS Adjusted'!Print_Area</vt:lpstr>
      <vt:lpstr>'GTGLVS Billed'!Print_Area</vt:lpstr>
      <vt:lpstr>GTILVS!Print_Area</vt:lpstr>
      <vt:lpstr>'GTILVS Adjusted'!Print_Area</vt:lpstr>
      <vt:lpstr>'GTILVS Billed'!Print_Area</vt:lpstr>
      <vt:lpstr>'GTILVS Proposed'!Print_Area</vt:lpstr>
      <vt:lpstr>'GTNGLVS Adjusted'!Print_Area</vt:lpstr>
      <vt:lpstr>'GTNGLVS Billed'!Print_Area</vt:lpstr>
      <vt:lpstr>GTNILVS!Print_Area</vt:lpstr>
      <vt:lpstr>'GTNILVS Adjusted'!Print_Area</vt:lpstr>
      <vt:lpstr>'GTNILVS Billed'!Print_Area</vt:lpstr>
      <vt:lpstr>'GTNILVS Proposed'!Print_Area</vt:lpstr>
      <vt:lpstr>'GTPLVS Adjusted'!Print_Area</vt:lpstr>
      <vt:lpstr>'GTPLVS Billed'!Print_Area</vt:lpstr>
      <vt:lpstr>'Rate Base'!Print_Area</vt:lpstr>
      <vt:lpstr>'Rev&amp;Expense'!Print_Area</vt:lpstr>
      <vt:lpstr>'Revenue Proof Breakout'!Print_Area</vt:lpstr>
      <vt:lpstr>'Schedule G-1 Present Rates'!Print_Area</vt:lpstr>
      <vt:lpstr>'Schedule G-2 Proposed Rates'!Print_Area</vt:lpstr>
      <vt:lpstr>'Schedule H1'!Print_Area</vt:lpstr>
      <vt:lpstr>'Schedule H2'!Print_Area</vt:lpstr>
      <vt:lpstr>'Schedule H2-2'!Print_Area</vt:lpstr>
      <vt:lpstr>'Schedule H-3'!Print_Area</vt:lpstr>
      <vt:lpstr>Summary!Print_Area</vt:lpstr>
      <vt:lpstr>'Function Allocators'!Print_Titles</vt:lpstr>
      <vt:lpstr>'Functionalization LARGE'!Print_Titles</vt:lpstr>
      <vt:lpstr>'Functionalization RES'!Print_Titles</vt:lpstr>
      <vt:lpstr>'Functionalization SMALL'!Print_Titles</vt:lpstr>
      <vt:lpstr>'G-4 COST OF SERVICE'!Print_Titles</vt:lpstr>
      <vt:lpstr>'G-5 Function Rate Base'!Print_Titles</vt:lpstr>
      <vt:lpstr>'G-6 Function Expense'!Print_Titles</vt:lpstr>
      <vt:lpstr>'G-7 Allocations'!Print_Titles</vt:lpstr>
      <vt:lpstr>GGIRS!Print_Titles</vt:lpstr>
      <vt:lpstr>GGLVS!Print_Titles</vt:lpstr>
      <vt:lpstr>GGSVS!Print_Titles</vt:lpstr>
      <vt:lpstr>GILVS!Print_Titles</vt:lpstr>
      <vt:lpstr>GISVS!Print_Titles</vt:lpstr>
      <vt:lpstr>GPCNGSV!Print_Titles</vt:lpstr>
      <vt:lpstr>GPLVS!Print_Titles</vt:lpstr>
      <vt:lpstr>GPSVS!Print_Titles</vt:lpstr>
      <vt:lpstr>GRCNG!Print_Titles</vt:lpstr>
      <vt:lpstr>GRRES!Print_Titles</vt:lpstr>
      <vt:lpstr>GRRESC!Print_Titles</vt:lpstr>
      <vt:lpstr>GTILVS!Print_Titles</vt:lpstr>
      <vt:lpstr>GTNILVS!Print_Titles</vt:lpstr>
      <vt:lpstr>'Rate Base'!Print_Titles</vt:lpstr>
      <vt:lpstr>'Rev&amp;Expense'!Print_Titles</vt:lpstr>
      <vt:lpstr>RESIDENTIAL_SERVICE_RATE_R_10</vt:lpstr>
      <vt:lpstr>RESIDENTIAL_SERVICE_RATE_R_12</vt:lpstr>
      <vt:lpstr>SMALL_VOL_PA_RATE_P_40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2026-10-19T21:37:33Z</dcterms:created>
  <dcterms:modified xsi:type="dcterms:W3CDTF">2026-10-19T21:38:04Z</dcterms:modified>
  <cp:category/>
  <cp:contentStatus/>
</cp:coreProperties>
</file>